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Inga\Desktop\Plano projektas\"/>
    </mc:Choice>
  </mc:AlternateContent>
  <xr:revisionPtr revIDLastSave="0" documentId="8_{16C723B6-FD81-4E4F-B595-D16C0953067D}" xr6:coauthVersionLast="47" xr6:coauthVersionMax="47" xr10:uidLastSave="{00000000-0000-0000-0000-000000000000}"/>
  <bookViews>
    <workbookView xWindow="-108" yWindow="-108" windowWidth="41496" windowHeight="16896" tabRatio="896" xr2:uid="{00000000-000D-0000-FFFF-FFFF00000000}"/>
  </bookViews>
  <sheets>
    <sheet name="I skyrius " sheetId="30" r:id="rId1"/>
    <sheet name="II skyrius" sheetId="31" r:id="rId2"/>
    <sheet name="III skyrius" sheetId="58" r:id="rId3"/>
    <sheet name="IV skyrius. Programos" sheetId="34" r:id="rId4"/>
    <sheet name="1 programa " sheetId="56" r:id="rId5"/>
    <sheet name="2 programa " sheetId="45" r:id="rId6"/>
    <sheet name="ĮV-E-123 stebėsenos rodikliai" sheetId="55" r:id="rId7"/>
    <sheet name="3 programa" sheetId="46" r:id="rId8"/>
    <sheet name="4 programa" sheetId="47" r:id="rId9"/>
    <sheet name="5 programa" sheetId="48" r:id="rId10"/>
    <sheet name="6 programa" sheetId="49" r:id="rId11"/>
    <sheet name="7 programa" sheetId="50" r:id="rId12"/>
    <sheet name="8 programa" sheetId="51" r:id="rId13"/>
    <sheet name="9 programa" sheetId="52" r:id="rId14"/>
    <sheet name="10 programa" sheetId="54" r:id="rId15"/>
    <sheet name="V skyrius VŠĮ+UAB rodikliai" sheetId="40" r:id="rId16"/>
    <sheet name="VI skyrius. Kita svarbi info-AN" sheetId="42" r:id="rId17"/>
    <sheet name="Prioritetai" sheetId="61" state="hidden" r:id="rId18"/>
    <sheet name="Suvestinė pagal FŠ" sheetId="60" state="hidden" r:id="rId19"/>
    <sheet name="Vertinimo kriterijai" sheetId="27" state="hidden" r:id="rId20"/>
    <sheet name="Lapas2" sheetId="28" state="hidden" r:id="rId21"/>
    <sheet name="Lapas3" sheetId="29" state="hidden" r:id="rId22"/>
    <sheet name="VERTINIMO KRITERIJAI (2 lentelė" sheetId="24" state="hidden" r:id="rId23"/>
    <sheet name="Lesu analize" sheetId="26" state="hidden" r:id="rId24"/>
  </sheets>
  <definedNames>
    <definedName name="_xlnm._FilterDatabase" localSheetId="15" hidden="1">'V skyrius VŠĮ+UAB rodikliai'!$A$6:$I$8</definedName>
    <definedName name="_Hlk122275804" localSheetId="1">'II skyrius'!$Q$126</definedName>
    <definedName name="_Hlk89418331" localSheetId="15">'V skyrius VŠĮ+UAB rodikliai'!#REF!</definedName>
    <definedName name="_Hlk92374825" localSheetId="15">'V skyrius VŠĮ+UAB rodikliai'!#REF!</definedName>
    <definedName name="_Hlk92374960" localSheetId="15">'V skyrius VŠĮ+UAB rodikliai'!$C$22</definedName>
    <definedName name="_Hlk92375563" localSheetId="15">'V skyrius VŠĮ+UAB rodikliai'!$C$38</definedName>
    <definedName name="_Hlk92375700" localSheetId="15">'V skyrius VŠĮ+UAB rodikliai'!$C$63</definedName>
    <definedName name="_Hlk92375786" localSheetId="15">'V skyrius VŠĮ+UAB rodikliai'!#REF!</definedName>
    <definedName name="_Hlk92376639" localSheetId="15">'V skyrius VŠĮ+UAB rodikliai'!$C$51</definedName>
    <definedName name="_Toc123901348" localSheetId="16">'VI skyrius. Kita svarbi info-AN'!#REF!</definedName>
    <definedName name="_Toc123901357" localSheetId="16">'VI skyrius. Kita svarbi info-AN'!#REF!</definedName>
    <definedName name="_Toc123901359" localSheetId="15">'V skyrius VŠĮ+UAB rodikliai'!$C$169</definedName>
    <definedName name="_Toc506024955" localSheetId="19">'Vertinimo kriterijai'!$A$1</definedName>
    <definedName name="Excel_BuiltIn__FilterDatabase_2">#REF!</definedName>
    <definedName name="_xlnm.Print_Area" localSheetId="22">'VERTINIMO KRITERIJAI (2 lentelė'!$A$1:$K$430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7" i="49" l="1"/>
  <c r="J17" i="49"/>
  <c r="I16" i="49"/>
  <c r="J16" i="49"/>
  <c r="H16" i="49"/>
  <c r="I18" i="49"/>
  <c r="I34" i="56"/>
  <c r="J34" i="56"/>
  <c r="H34" i="56"/>
  <c r="I19" i="56"/>
  <c r="J19" i="56"/>
  <c r="H19" i="56"/>
  <c r="I76" i="56"/>
  <c r="J76" i="56"/>
  <c r="H76" i="56"/>
  <c r="W10" i="34"/>
  <c r="U10" i="34"/>
  <c r="R10" i="34"/>
  <c r="P10" i="34"/>
  <c r="W9" i="34"/>
  <c r="U9" i="34"/>
  <c r="R9" i="34"/>
  <c r="P9" i="34"/>
  <c r="U8" i="34"/>
  <c r="S8" i="34"/>
  <c r="R8" i="34"/>
  <c r="P8" i="34"/>
  <c r="O8" i="34"/>
  <c r="H107" i="54" l="1"/>
  <c r="H101" i="49"/>
  <c r="H90" i="47"/>
  <c r="H80" i="47"/>
  <c r="C11" i="60" l="1"/>
  <c r="H101" i="51" l="1"/>
  <c r="J101" i="51"/>
  <c r="I101" i="51"/>
  <c r="I99" i="51" l="1"/>
  <c r="J99" i="51"/>
  <c r="H74" i="50"/>
  <c r="J12" i="60"/>
  <c r="K14" i="60"/>
  <c r="H173" i="52"/>
  <c r="H172" i="52"/>
  <c r="M14" i="60"/>
  <c r="H177" i="52"/>
  <c r="J14" i="60"/>
  <c r="H174" i="52"/>
  <c r="J10" i="60"/>
  <c r="J11" i="60"/>
  <c r="J13" i="60"/>
  <c r="J15" i="60"/>
  <c r="H67" i="48"/>
  <c r="M15" i="60"/>
  <c r="M12" i="60"/>
  <c r="M11" i="60"/>
  <c r="M10" i="60"/>
  <c r="M8" i="60"/>
  <c r="M6" i="60"/>
  <c r="H209" i="49"/>
  <c r="H174" i="54"/>
  <c r="H96" i="51"/>
  <c r="F25" i="60"/>
  <c r="C30" i="60" s="1"/>
  <c r="I14" i="34"/>
  <c r="J14" i="34"/>
  <c r="F52" i="54"/>
  <c r="F35" i="54"/>
  <c r="F32" i="54"/>
  <c r="F31" i="54"/>
  <c r="F30" i="54"/>
  <c r="F24" i="54"/>
  <c r="I174" i="54" l="1"/>
  <c r="J174" i="54"/>
  <c r="F84" i="51"/>
  <c r="F83" i="51"/>
  <c r="F82" i="51"/>
  <c r="F81" i="51"/>
  <c r="F80" i="51"/>
  <c r="F79" i="51"/>
  <c r="F53" i="51"/>
  <c r="F52" i="51"/>
  <c r="F43" i="51"/>
  <c r="F42" i="51"/>
  <c r="F40" i="51"/>
  <c r="F39" i="51"/>
  <c r="F37" i="51"/>
  <c r="F36" i="51"/>
  <c r="F35" i="51"/>
  <c r="F34" i="51"/>
  <c r="F33" i="51"/>
  <c r="F32" i="51"/>
  <c r="F29" i="51"/>
  <c r="F14" i="50"/>
  <c r="I69" i="50"/>
  <c r="J69" i="50"/>
  <c r="I70" i="50"/>
  <c r="J70" i="50"/>
  <c r="H69" i="50"/>
  <c r="H70" i="50"/>
  <c r="H77" i="50"/>
  <c r="I77" i="50"/>
  <c r="J77" i="50"/>
  <c r="F192" i="49"/>
  <c r="F58" i="48"/>
  <c r="F57" i="48"/>
  <c r="F56" i="48"/>
  <c r="F55" i="48"/>
  <c r="F53" i="48"/>
  <c r="F51" i="48"/>
  <c r="F48" i="48"/>
  <c r="F46" i="48"/>
  <c r="F43" i="48"/>
  <c r="F41" i="48"/>
  <c r="F38" i="48"/>
  <c r="F34" i="48"/>
  <c r="F36" i="48"/>
  <c r="F32" i="48"/>
  <c r="F29" i="48"/>
  <c r="F27" i="48"/>
  <c r="F25" i="48"/>
  <c r="F23" i="48"/>
  <c r="F21" i="48"/>
  <c r="F20" i="48"/>
  <c r="F18" i="48"/>
  <c r="I10" i="60"/>
  <c r="I64" i="48"/>
  <c r="J64" i="48"/>
  <c r="H64" i="48"/>
  <c r="H114" i="47"/>
  <c r="F104" i="47"/>
  <c r="F103" i="47"/>
  <c r="F102" i="47"/>
  <c r="F99" i="47"/>
  <c r="F98" i="47"/>
  <c r="F97" i="47"/>
  <c r="F93" i="47"/>
  <c r="F92" i="47"/>
  <c r="F88" i="47"/>
  <c r="F87" i="47"/>
  <c r="F86" i="47"/>
  <c r="F83" i="47"/>
  <c r="F73" i="47"/>
  <c r="F70" i="47"/>
  <c r="F69" i="47"/>
  <c r="F66" i="47"/>
  <c r="F56" i="47"/>
  <c r="F52" i="47"/>
  <c r="F49" i="47"/>
  <c r="F44" i="47"/>
  <c r="F42" i="47"/>
  <c r="F35" i="47"/>
  <c r="F29" i="47"/>
  <c r="F25" i="47"/>
  <c r="F24" i="47"/>
  <c r="F23" i="47"/>
  <c r="F33" i="46"/>
  <c r="F31" i="46"/>
  <c r="F29" i="46"/>
  <c r="F27" i="46"/>
  <c r="F25" i="46"/>
  <c r="F23" i="46"/>
  <c r="F14" i="46"/>
  <c r="I228" i="45"/>
  <c r="J228" i="45"/>
  <c r="I174" i="56"/>
  <c r="J174" i="56"/>
  <c r="F37" i="56"/>
  <c r="F36" i="56"/>
  <c r="F35" i="56"/>
  <c r="F34" i="56"/>
  <c r="F30" i="56"/>
  <c r="F28" i="56"/>
  <c r="F21" i="56"/>
  <c r="K22" i="60"/>
  <c r="M9" i="60" l="1"/>
  <c r="H78" i="50"/>
  <c r="K6" i="60"/>
  <c r="I12" i="60"/>
  <c r="H7" i="60" l="1"/>
  <c r="G8" i="60"/>
  <c r="F14" i="60"/>
  <c r="F12" i="60"/>
  <c r="F6" i="60"/>
  <c r="H17" i="60" l="1"/>
  <c r="H22" i="60"/>
  <c r="E15" i="60"/>
  <c r="D13" i="60" l="1"/>
  <c r="D12" i="60"/>
  <c r="N12" i="60" s="1"/>
  <c r="C14" i="60"/>
  <c r="L15" i="60"/>
  <c r="L11" i="60"/>
  <c r="C10" i="60"/>
  <c r="N10" i="60" s="1"/>
  <c r="C6" i="60"/>
  <c r="B14" i="60"/>
  <c r="B13" i="60"/>
  <c r="B11" i="60"/>
  <c r="H177" i="45"/>
  <c r="L17" i="60" l="1"/>
  <c r="C29" i="60" s="1"/>
  <c r="D17" i="60"/>
  <c r="D22" i="60" s="1"/>
  <c r="F25" i="51" l="1"/>
  <c r="F26" i="51"/>
  <c r="F24" i="51"/>
  <c r="F23" i="51"/>
  <c r="F22" i="51"/>
  <c r="F21" i="51"/>
  <c r="F20" i="51"/>
  <c r="F19" i="51"/>
  <c r="F18" i="51"/>
  <c r="F15" i="51"/>
  <c r="F16" i="51"/>
  <c r="F17" i="51"/>
  <c r="I173" i="52"/>
  <c r="J173" i="52"/>
  <c r="I177" i="52"/>
  <c r="J177" i="52"/>
  <c r="F177" i="52"/>
  <c r="F174" i="52"/>
  <c r="F172" i="52"/>
  <c r="F173" i="52"/>
  <c r="F167" i="52"/>
  <c r="F160" i="52"/>
  <c r="F159" i="52"/>
  <c r="F156" i="52"/>
  <c r="F157" i="52"/>
  <c r="F108" i="52"/>
  <c r="H148" i="52"/>
  <c r="F92" i="52" l="1"/>
  <c r="F91" i="52"/>
  <c r="F83" i="52"/>
  <c r="F82" i="52"/>
  <c r="F81" i="52"/>
  <c r="F80" i="52"/>
  <c r="F72" i="52"/>
  <c r="F71" i="52"/>
  <c r="F70" i="52"/>
  <c r="F69" i="52"/>
  <c r="F68" i="52"/>
  <c r="F67" i="52"/>
  <c r="F66" i="52"/>
  <c r="F60" i="52"/>
  <c r="F59" i="52"/>
  <c r="F58" i="52"/>
  <c r="F57" i="52"/>
  <c r="F56" i="52"/>
  <c r="F54" i="52"/>
  <c r="F52" i="52"/>
  <c r="F50" i="52"/>
  <c r="F236" i="45"/>
  <c r="I178" i="45"/>
  <c r="I229" i="45" s="1"/>
  <c r="I226" i="45" s="1"/>
  <c r="J177" i="45"/>
  <c r="I177" i="45"/>
  <c r="J178" i="45"/>
  <c r="J229" i="45" s="1"/>
  <c r="J226" i="45" s="1"/>
  <c r="I46" i="50"/>
  <c r="J46" i="50"/>
  <c r="H46" i="50"/>
  <c r="J64" i="50"/>
  <c r="I64" i="50"/>
  <c r="H67" i="50"/>
  <c r="J67" i="50"/>
  <c r="I67" i="50"/>
  <c r="G67" i="50"/>
  <c r="F67" i="50"/>
  <c r="E67" i="50"/>
  <c r="F216" i="45"/>
  <c r="F214" i="45"/>
  <c r="F213" i="45"/>
  <c r="F212" i="45"/>
  <c r="F210" i="45"/>
  <c r="F209" i="45"/>
  <c r="F208" i="45"/>
  <c r="F206" i="45"/>
  <c r="F205" i="45"/>
  <c r="F204" i="45"/>
  <c r="F203" i="45"/>
  <c r="F201" i="45"/>
  <c r="F199" i="45"/>
  <c r="F198" i="45"/>
  <c r="F196" i="45"/>
  <c r="F193" i="45"/>
  <c r="F192" i="45"/>
  <c r="F190" i="45"/>
  <c r="H19" i="45" l="1"/>
  <c r="H234" i="45" s="1"/>
  <c r="I19" i="45"/>
  <c r="I234" i="45" s="1"/>
  <c r="I28" i="34" s="1"/>
  <c r="J19" i="45"/>
  <c r="J234" i="45" s="1"/>
  <c r="J28" i="34" s="1"/>
  <c r="G19" i="45"/>
  <c r="F160" i="45"/>
  <c r="H64" i="50"/>
  <c r="G64" i="50"/>
  <c r="F64" i="50"/>
  <c r="E64" i="50"/>
  <c r="I209" i="49"/>
  <c r="J209" i="49"/>
  <c r="I212" i="49"/>
  <c r="J212" i="49"/>
  <c r="M7" i="60" l="1"/>
  <c r="H134" i="49"/>
  <c r="I201" i="49" l="1"/>
  <c r="J201" i="49"/>
  <c r="H201" i="49"/>
  <c r="F189" i="49"/>
  <c r="F184" i="49"/>
  <c r="F179" i="49"/>
  <c r="F178" i="49"/>
  <c r="F162" i="49"/>
  <c r="F160" i="49"/>
  <c r="F159" i="49"/>
  <c r="F148" i="49"/>
  <c r="F140" i="49"/>
  <c r="F137" i="49"/>
  <c r="F132" i="49"/>
  <c r="F124" i="49"/>
  <c r="F122" i="49"/>
  <c r="F121" i="49"/>
  <c r="F116" i="49"/>
  <c r="F114" i="49"/>
  <c r="F112" i="49"/>
  <c r="F110" i="49"/>
  <c r="F105" i="49"/>
  <c r="F99" i="49"/>
  <c r="F97" i="49"/>
  <c r="F95" i="49"/>
  <c r="F94" i="49"/>
  <c r="F91" i="49"/>
  <c r="E42" i="49"/>
  <c r="F40" i="49"/>
  <c r="F39" i="49"/>
  <c r="F33" i="49"/>
  <c r="F21" i="49" l="1"/>
  <c r="F23" i="49"/>
  <c r="F26" i="49"/>
  <c r="F27" i="49"/>
  <c r="F28" i="49"/>
  <c r="I74" i="50"/>
  <c r="J74" i="50"/>
  <c r="I72" i="50"/>
  <c r="J72" i="50"/>
  <c r="F35" i="50"/>
  <c r="F33" i="50"/>
  <c r="F13" i="50"/>
  <c r="J78" i="50" l="1"/>
  <c r="I78" i="50"/>
  <c r="J80" i="50" l="1"/>
  <c r="H228" i="45" l="1"/>
  <c r="H173" i="56"/>
  <c r="H18" i="46"/>
  <c r="H58" i="49"/>
  <c r="H17" i="50"/>
  <c r="H72" i="49"/>
  <c r="F17" i="50" l="1"/>
  <c r="H72" i="50"/>
  <c r="H36" i="49" l="1"/>
  <c r="H59" i="49"/>
  <c r="H154" i="49"/>
  <c r="H73" i="45"/>
  <c r="H218" i="45"/>
  <c r="E7" i="60" s="1"/>
  <c r="H141" i="49"/>
  <c r="F141" i="49" s="1"/>
  <c r="H102" i="49"/>
  <c r="F102" i="49" s="1"/>
  <c r="H167" i="49"/>
  <c r="H178" i="45"/>
  <c r="F177" i="45"/>
  <c r="E11" i="60" l="1"/>
  <c r="F36" i="49"/>
  <c r="H212" i="49"/>
  <c r="F212" i="49" s="1"/>
  <c r="H229" i="45"/>
  <c r="H102" i="45"/>
  <c r="H96" i="45"/>
  <c r="H90" i="45"/>
  <c r="H84" i="45"/>
  <c r="H78" i="45"/>
  <c r="H22" i="51" l="1"/>
  <c r="H36" i="56" l="1"/>
  <c r="H20" i="56"/>
  <c r="G20" i="56"/>
  <c r="B6" i="60" l="1"/>
  <c r="H27" i="34"/>
  <c r="H22" i="49"/>
  <c r="F22" i="49" s="1"/>
  <c r="H30" i="47"/>
  <c r="F30" i="47" s="1"/>
  <c r="H59" i="45"/>
  <c r="H54" i="45"/>
  <c r="H50" i="45"/>
  <c r="H42" i="45"/>
  <c r="H34" i="45"/>
  <c r="H26" i="45"/>
  <c r="H90" i="54"/>
  <c r="K15" i="60" s="1"/>
  <c r="J219" i="45" l="1"/>
  <c r="I219" i="45"/>
  <c r="H219" i="45"/>
  <c r="G219" i="45"/>
  <c r="E219" i="45"/>
  <c r="C219" i="45"/>
  <c r="H93" i="51" l="1"/>
  <c r="H22" i="34" l="1"/>
  <c r="I26" i="51"/>
  <c r="H56" i="49" l="1"/>
  <c r="H161" i="45"/>
  <c r="F161" i="45" s="1"/>
  <c r="I70" i="45"/>
  <c r="J70" i="45"/>
  <c r="H70" i="45"/>
  <c r="G7" i="60" s="1"/>
  <c r="G17" i="60" s="1"/>
  <c r="G22" i="60" s="1"/>
  <c r="I73" i="45"/>
  <c r="J73" i="45"/>
  <c r="G72" i="49"/>
  <c r="I72" i="49"/>
  <c r="J72" i="49"/>
  <c r="G58" i="49"/>
  <c r="H60" i="49"/>
  <c r="I58" i="49"/>
  <c r="J58" i="49"/>
  <c r="I58" i="52"/>
  <c r="J58" i="52"/>
  <c r="H58" i="52"/>
  <c r="J60" i="49" l="1"/>
  <c r="J206" i="49"/>
  <c r="I60" i="49"/>
  <c r="I206" i="49"/>
  <c r="F56" i="49"/>
  <c r="H227" i="45"/>
  <c r="H226" i="45" s="1"/>
  <c r="G86" i="49"/>
  <c r="G87" i="49" s="1"/>
  <c r="H86" i="49"/>
  <c r="H206" i="49" s="1"/>
  <c r="I87" i="49"/>
  <c r="J87" i="49"/>
  <c r="G74" i="49"/>
  <c r="H74" i="49"/>
  <c r="I74" i="49"/>
  <c r="J74" i="49"/>
  <c r="J172" i="56"/>
  <c r="H79" i="54"/>
  <c r="I94" i="52"/>
  <c r="J94" i="52"/>
  <c r="H94" i="52"/>
  <c r="H45" i="51"/>
  <c r="H49" i="51"/>
  <c r="H44" i="51" s="1"/>
  <c r="H39" i="50"/>
  <c r="I39" i="50"/>
  <c r="J39" i="50"/>
  <c r="G39" i="50"/>
  <c r="H192" i="49"/>
  <c r="I165" i="49"/>
  <c r="J165" i="49"/>
  <c r="H165" i="49"/>
  <c r="I134" i="49"/>
  <c r="J134" i="49"/>
  <c r="H168" i="45"/>
  <c r="H166" i="45"/>
  <c r="H165" i="45"/>
  <c r="H156" i="45"/>
  <c r="F156" i="45" s="1"/>
  <c r="F44" i="51" l="1"/>
  <c r="C13" i="60"/>
  <c r="H99" i="51"/>
  <c r="F45" i="51"/>
  <c r="F11" i="60"/>
  <c r="F165" i="45"/>
  <c r="C7" i="60"/>
  <c r="F166" i="45"/>
  <c r="F17" i="60"/>
  <c r="F22" i="60" s="1"/>
  <c r="H46" i="51"/>
  <c r="F46" i="51" s="1"/>
  <c r="H87" i="49"/>
  <c r="H151" i="56"/>
  <c r="H117" i="56"/>
  <c r="G117" i="56"/>
  <c r="M13" i="60" l="1"/>
  <c r="M17" i="60" s="1"/>
  <c r="C32" i="60" s="1"/>
  <c r="F99" i="51"/>
  <c r="G28" i="34"/>
  <c r="H28" i="34"/>
  <c r="H149" i="54"/>
  <c r="I149" i="54"/>
  <c r="J149" i="54"/>
  <c r="H60" i="54"/>
  <c r="I15" i="60" s="1"/>
  <c r="H45" i="54"/>
  <c r="C15" i="60" s="1"/>
  <c r="C17" i="60" s="1"/>
  <c r="H162" i="52"/>
  <c r="F162" i="52" s="1"/>
  <c r="I162" i="52"/>
  <c r="I163" i="52" s="1"/>
  <c r="J162" i="52"/>
  <c r="J163" i="52" s="1"/>
  <c r="G162" i="52"/>
  <c r="H131" i="52"/>
  <c r="I14" i="60" l="1"/>
  <c r="N14" i="60" s="1"/>
  <c r="C22" i="60"/>
  <c r="H163" i="52"/>
  <c r="F163" i="52" s="1"/>
  <c r="F131" i="52"/>
  <c r="H166" i="49"/>
  <c r="G105" i="49"/>
  <c r="F101" i="49"/>
  <c r="G101" i="49"/>
  <c r="I46" i="49"/>
  <c r="J46" i="49"/>
  <c r="H45" i="49"/>
  <c r="H204" i="49" s="1"/>
  <c r="H74" i="47"/>
  <c r="H13" i="46"/>
  <c r="G13" i="46"/>
  <c r="I72" i="45"/>
  <c r="J72" i="45"/>
  <c r="H72" i="45"/>
  <c r="I150" i="45"/>
  <c r="J150" i="45"/>
  <c r="H150" i="45"/>
  <c r="F114" i="56"/>
  <c r="H137" i="56"/>
  <c r="F109" i="56"/>
  <c r="I108" i="56"/>
  <c r="G28" i="56"/>
  <c r="H28" i="56"/>
  <c r="F13" i="46" l="1"/>
  <c r="I8" i="60"/>
  <c r="N8" i="60" s="1"/>
  <c r="F45" i="49"/>
  <c r="I11" i="60"/>
  <c r="H75" i="45"/>
  <c r="H46" i="49"/>
  <c r="C16" i="58"/>
  <c r="C8" i="58"/>
  <c r="J198" i="49" l="1"/>
  <c r="I198" i="49"/>
  <c r="H195" i="49" l="1"/>
  <c r="I195" i="49"/>
  <c r="J195" i="49"/>
  <c r="G195" i="49"/>
  <c r="I192" i="49"/>
  <c r="J192" i="49"/>
  <c r="G192" i="49"/>
  <c r="J183" i="49"/>
  <c r="I183" i="49"/>
  <c r="J30" i="48" l="1"/>
  <c r="I30" i="48"/>
  <c r="H30" i="48"/>
  <c r="G30" i="48"/>
  <c r="E30" i="48"/>
  <c r="G144" i="54"/>
  <c r="F155" i="54"/>
  <c r="H156" i="54"/>
  <c r="I156" i="54"/>
  <c r="J156" i="54"/>
  <c r="G156" i="54"/>
  <c r="H126" i="54"/>
  <c r="I126" i="54"/>
  <c r="J126" i="54"/>
  <c r="G126" i="54"/>
  <c r="J68" i="54"/>
  <c r="I68" i="54"/>
  <c r="H68" i="54"/>
  <c r="G68" i="54"/>
  <c r="E68" i="54"/>
  <c r="F30" i="48" l="1"/>
  <c r="F68" i="54"/>
  <c r="E201" i="49"/>
  <c r="F26" i="46" l="1"/>
  <c r="G26" i="46"/>
  <c r="H26" i="46"/>
  <c r="I26" i="46"/>
  <c r="J26" i="46"/>
  <c r="G208" i="45"/>
  <c r="H208" i="45"/>
  <c r="I208" i="45"/>
  <c r="J208" i="45"/>
  <c r="E208" i="45"/>
  <c r="G203" i="45"/>
  <c r="H203" i="45"/>
  <c r="I203" i="45"/>
  <c r="J203" i="45"/>
  <c r="E203" i="45"/>
  <c r="I168" i="45"/>
  <c r="G168" i="45"/>
  <c r="G167" i="45"/>
  <c r="G165" i="45"/>
  <c r="J168" i="45"/>
  <c r="H167" i="45"/>
  <c r="I167" i="45"/>
  <c r="J167" i="45"/>
  <c r="I166" i="45"/>
  <c r="J166" i="45"/>
  <c r="J231" i="45" s="1"/>
  <c r="I165" i="45"/>
  <c r="J165" i="45"/>
  <c r="G166" i="45"/>
  <c r="H231" i="45" l="1"/>
  <c r="F231" i="45" s="1"/>
  <c r="J7" i="60"/>
  <c r="J17" i="60" s="1"/>
  <c r="C31" i="60" s="1"/>
  <c r="I231" i="45"/>
  <c r="J169" i="45"/>
  <c r="H169" i="45"/>
  <c r="G169" i="45"/>
  <c r="I169" i="45"/>
  <c r="I198" i="45" l="1"/>
  <c r="H198" i="45"/>
  <c r="J198" i="45"/>
  <c r="G198" i="45"/>
  <c r="C43" i="58"/>
  <c r="F42" i="52" l="1"/>
  <c r="F43" i="52"/>
  <c r="F44" i="52"/>
  <c r="F46" i="52"/>
  <c r="F47" i="52"/>
  <c r="F48" i="52"/>
  <c r="F101" i="52"/>
  <c r="F104" i="52"/>
  <c r="F105" i="52"/>
  <c r="F106" i="52"/>
  <c r="F114" i="52"/>
  <c r="F115" i="52"/>
  <c r="F116" i="52"/>
  <c r="F122" i="52"/>
  <c r="F123" i="52"/>
  <c r="F124" i="52"/>
  <c r="F150" i="52"/>
  <c r="F152" i="52"/>
  <c r="F41" i="54" l="1"/>
  <c r="F42" i="54"/>
  <c r="F43" i="54"/>
  <c r="F45" i="54"/>
  <c r="F46" i="54"/>
  <c r="F48" i="54"/>
  <c r="F50" i="54"/>
  <c r="F53" i="54"/>
  <c r="F55" i="54"/>
  <c r="F56" i="54"/>
  <c r="F58" i="54"/>
  <c r="F60" i="54"/>
  <c r="F69" i="54"/>
  <c r="F71" i="54"/>
  <c r="F72" i="54"/>
  <c r="F73" i="54"/>
  <c r="F75" i="54"/>
  <c r="F76" i="54"/>
  <c r="F77" i="54"/>
  <c r="F78" i="54"/>
  <c r="F85" i="54"/>
  <c r="F87" i="54"/>
  <c r="F89" i="54"/>
  <c r="F90" i="54"/>
  <c r="F94" i="54"/>
  <c r="F95" i="54"/>
  <c r="F96" i="54"/>
  <c r="F97" i="54"/>
  <c r="F98" i="54"/>
  <c r="F100" i="54"/>
  <c r="F101" i="54"/>
  <c r="F102" i="54"/>
  <c r="F105" i="54"/>
  <c r="F128" i="54"/>
  <c r="F131" i="54"/>
  <c r="F132" i="54"/>
  <c r="F134" i="54"/>
  <c r="F136" i="54"/>
  <c r="F138" i="54"/>
  <c r="F139" i="54"/>
  <c r="F140" i="54"/>
  <c r="F142" i="54"/>
  <c r="F144" i="54"/>
  <c r="F146" i="54"/>
  <c r="F148" i="54"/>
  <c r="F150" i="54"/>
  <c r="F152" i="54"/>
  <c r="F157" i="54"/>
  <c r="F158" i="54"/>
  <c r="F161" i="54"/>
  <c r="F164" i="54"/>
  <c r="F167" i="54"/>
  <c r="F177" i="54"/>
  <c r="A4" i="54" l="1"/>
  <c r="C50" i="58" l="1"/>
  <c r="C47" i="58"/>
  <c r="C42" i="58"/>
  <c r="C38" i="58"/>
  <c r="C35" i="58"/>
  <c r="C33" i="58"/>
  <c r="C30" i="58"/>
  <c r="C28" i="58"/>
  <c r="C25" i="58"/>
  <c r="C22" i="58"/>
  <c r="C11" i="58"/>
  <c r="J49" i="50"/>
  <c r="I49" i="50"/>
  <c r="H49" i="50"/>
  <c r="G49" i="50"/>
  <c r="E49" i="50"/>
  <c r="E28" i="34"/>
  <c r="F28" i="34" s="1"/>
  <c r="G27" i="34"/>
  <c r="I27" i="34"/>
  <c r="J27" i="34"/>
  <c r="E27" i="34"/>
  <c r="G173" i="52" l="1"/>
  <c r="G172" i="52"/>
  <c r="I172" i="52"/>
  <c r="J172" i="52"/>
  <c r="G72" i="50"/>
  <c r="H217" i="45" l="1"/>
  <c r="H215" i="45" s="1"/>
  <c r="F215" i="45" s="1"/>
  <c r="I217" i="45"/>
  <c r="J217" i="45"/>
  <c r="G217" i="45"/>
  <c r="F25" i="56"/>
  <c r="F26" i="56"/>
  <c r="F27" i="56"/>
  <c r="F32" i="56"/>
  <c r="F43" i="56"/>
  <c r="F44" i="56"/>
  <c r="F46" i="56"/>
  <c r="F47" i="56"/>
  <c r="F49" i="56"/>
  <c r="F51" i="56"/>
  <c r="F53" i="56"/>
  <c r="F55" i="56"/>
  <c r="F57" i="56"/>
  <c r="F60" i="56"/>
  <c r="F62" i="56"/>
  <c r="F63" i="56"/>
  <c r="F65" i="56"/>
  <c r="F67" i="56"/>
  <c r="F69" i="56"/>
  <c r="F70" i="56"/>
  <c r="F72" i="56"/>
  <c r="F75" i="56"/>
  <c r="F77" i="56"/>
  <c r="F80" i="56"/>
  <c r="F82" i="56"/>
  <c r="F84" i="56"/>
  <c r="F85" i="56"/>
  <c r="F88" i="56"/>
  <c r="F100" i="56"/>
  <c r="F102" i="56"/>
  <c r="F105" i="56"/>
  <c r="F107" i="56"/>
  <c r="F111" i="56"/>
  <c r="F117" i="56"/>
  <c r="F129" i="56"/>
  <c r="F131" i="56"/>
  <c r="F134" i="56"/>
  <c r="F137" i="56"/>
  <c r="F142" i="56"/>
  <c r="F146" i="56"/>
  <c r="F153" i="56"/>
  <c r="F158" i="56"/>
  <c r="F164" i="56"/>
  <c r="F167" i="56"/>
  <c r="E45" i="56"/>
  <c r="E38" i="56"/>
  <c r="H76" i="47" l="1"/>
  <c r="I76" i="47"/>
  <c r="J76" i="47"/>
  <c r="G74" i="47"/>
  <c r="G76" i="47" s="1"/>
  <c r="G53" i="52" l="1"/>
  <c r="H53" i="52"/>
  <c r="I53" i="52"/>
  <c r="J53" i="52"/>
  <c r="G135" i="54" l="1"/>
  <c r="H135" i="54"/>
  <c r="I135" i="54"/>
  <c r="J135" i="54"/>
  <c r="I132" i="52"/>
  <c r="J132" i="52"/>
  <c r="G131" i="52"/>
  <c r="H132" i="52" l="1"/>
  <c r="F132" i="52" s="1"/>
  <c r="G163" i="52"/>
  <c r="H105" i="47" l="1"/>
  <c r="H100" i="47"/>
  <c r="H95" i="47"/>
  <c r="H84" i="47"/>
  <c r="H71" i="47"/>
  <c r="H67" i="47"/>
  <c r="H64" i="47"/>
  <c r="H61" i="47" a="1"/>
  <c r="H54" i="47"/>
  <c r="H50" i="47"/>
  <c r="H45" i="47"/>
  <c r="H40" i="47"/>
  <c r="H36" i="47"/>
  <c r="H34" i="47"/>
  <c r="H28" i="47"/>
  <c r="H20" i="47"/>
  <c r="H111" i="47" s="1"/>
  <c r="H25" i="34" s="1"/>
  <c r="H19" i="47"/>
  <c r="H18" i="47"/>
  <c r="H17" i="47"/>
  <c r="H38" i="46"/>
  <c r="H37" i="46"/>
  <c r="H35" i="46"/>
  <c r="H34" i="46"/>
  <c r="H32" i="46"/>
  <c r="H30" i="46"/>
  <c r="H28" i="46"/>
  <c r="H24" i="46"/>
  <c r="H15" i="46"/>
  <c r="H12" i="46" s="1"/>
  <c r="H223" i="45"/>
  <c r="H213" i="45"/>
  <c r="H200" i="45"/>
  <c r="F200" i="45" s="1"/>
  <c r="H193" i="45"/>
  <c r="H191" i="45"/>
  <c r="H179" i="45"/>
  <c r="H157" i="45"/>
  <c r="H152" i="45"/>
  <c r="H141" i="45"/>
  <c r="H135" i="45"/>
  <c r="H129" i="45"/>
  <c r="H123" i="45"/>
  <c r="H117" i="45"/>
  <c r="H111" i="45"/>
  <c r="H105" i="45"/>
  <c r="H99" i="45"/>
  <c r="H93" i="45"/>
  <c r="H87" i="45"/>
  <c r="H69" i="45"/>
  <c r="H65" i="45"/>
  <c r="H61" i="45"/>
  <c r="H57" i="45"/>
  <c r="H52" i="45"/>
  <c r="H48" i="45"/>
  <c r="H44" i="45"/>
  <c r="H40" i="45"/>
  <c r="H36" i="45"/>
  <c r="H32" i="45"/>
  <c r="H28" i="45"/>
  <c r="H24" i="45"/>
  <c r="H17" i="45"/>
  <c r="K7" i="60" s="1"/>
  <c r="H16" i="45"/>
  <c r="B7" i="60" s="1"/>
  <c r="H169" i="56"/>
  <c r="H168" i="56"/>
  <c r="H166" i="56"/>
  <c r="H159" i="56"/>
  <c r="H149" i="56"/>
  <c r="H144" i="56"/>
  <c r="H139" i="56"/>
  <c r="H136" i="56"/>
  <c r="H133" i="56"/>
  <c r="H130" i="56"/>
  <c r="H120" i="56"/>
  <c r="H115" i="56"/>
  <c r="H113" i="56" s="1"/>
  <c r="H112" i="56"/>
  <c r="H110" i="56"/>
  <c r="H108" i="56"/>
  <c r="H106" i="56"/>
  <c r="H103" i="56"/>
  <c r="H101" i="56"/>
  <c r="H99" i="56"/>
  <c r="H90" i="56"/>
  <c r="H87" i="56" s="1"/>
  <c r="H86" i="56"/>
  <c r="H83" i="56"/>
  <c r="H81" i="56"/>
  <c r="H79" i="56"/>
  <c r="H74" i="56"/>
  <c r="H71" i="56"/>
  <c r="H68" i="56"/>
  <c r="H66" i="56"/>
  <c r="H64" i="56"/>
  <c r="H61" i="56"/>
  <c r="H59" i="56"/>
  <c r="H56" i="56"/>
  <c r="H54" i="56"/>
  <c r="H52" i="56"/>
  <c r="H50" i="56"/>
  <c r="H48" i="56"/>
  <c r="H45" i="56"/>
  <c r="F45" i="56" s="1"/>
  <c r="H37" i="56"/>
  <c r="H33" i="56"/>
  <c r="H31" i="56"/>
  <c r="H29" i="56"/>
  <c r="I162" i="45"/>
  <c r="J162" i="45"/>
  <c r="G161" i="45"/>
  <c r="G162" i="45" s="1"/>
  <c r="I152" i="45"/>
  <c r="J152" i="45"/>
  <c r="G152" i="45"/>
  <c r="H39" i="46" l="1"/>
  <c r="I6" i="60"/>
  <c r="N6" i="60" s="1"/>
  <c r="H171" i="56"/>
  <c r="H225" i="45"/>
  <c r="H224" i="45" s="1"/>
  <c r="H235" i="45" s="1"/>
  <c r="I7" i="60"/>
  <c r="N7" i="60" s="1"/>
  <c r="H68" i="47"/>
  <c r="H72" i="47"/>
  <c r="H81" i="47"/>
  <c r="H79" i="47" s="1"/>
  <c r="H22" i="47"/>
  <c r="B9" i="60"/>
  <c r="H46" i="47"/>
  <c r="I9" i="60"/>
  <c r="H85" i="47"/>
  <c r="H110" i="47"/>
  <c r="K9" i="60"/>
  <c r="H51" i="47"/>
  <c r="H91" i="47"/>
  <c r="H108" i="47"/>
  <c r="E9" i="60"/>
  <c r="E17" i="60" s="1"/>
  <c r="E22" i="60" s="1"/>
  <c r="H55" i="47"/>
  <c r="F54" i="47"/>
  <c r="H96" i="47"/>
  <c r="H61" i="47"/>
  <c r="H58" i="47" s="1"/>
  <c r="F62" i="47"/>
  <c r="H101" i="47"/>
  <c r="F152" i="45"/>
  <c r="H36" i="46"/>
  <c r="H22" i="46"/>
  <c r="H174" i="56"/>
  <c r="H145" i="56"/>
  <c r="H152" i="56"/>
  <c r="F151" i="56"/>
  <c r="H160" i="56"/>
  <c r="F159" i="56"/>
  <c r="H172" i="56"/>
  <c r="H104" i="56"/>
  <c r="H20" i="45"/>
  <c r="H230" i="45"/>
  <c r="H162" i="45"/>
  <c r="H153" i="45"/>
  <c r="H116" i="56"/>
  <c r="H107" i="47"/>
  <c r="H23" i="56"/>
  <c r="H38" i="56"/>
  <c r="E96" i="52"/>
  <c r="E99" i="52" s="1"/>
  <c r="J102" i="52"/>
  <c r="I102" i="52"/>
  <c r="I100" i="52"/>
  <c r="G102" i="52"/>
  <c r="G98" i="52" s="1"/>
  <c r="G100" i="52"/>
  <c r="H102" i="52"/>
  <c r="H100" i="52"/>
  <c r="E103" i="52"/>
  <c r="J145" i="52"/>
  <c r="J146" i="52" s="1"/>
  <c r="G146" i="52"/>
  <c r="H146" i="52"/>
  <c r="I146" i="52"/>
  <c r="G168" i="52"/>
  <c r="H168" i="52"/>
  <c r="F168" i="52" s="1"/>
  <c r="I168" i="52"/>
  <c r="J168" i="52"/>
  <c r="G159" i="52"/>
  <c r="H159" i="52"/>
  <c r="I159" i="52"/>
  <c r="J159" i="52"/>
  <c r="G149" i="52"/>
  <c r="I148" i="52"/>
  <c r="I149" i="52" s="1"/>
  <c r="J148" i="52"/>
  <c r="J149" i="52" s="1"/>
  <c r="E148" i="52"/>
  <c r="J153" i="52"/>
  <c r="I153" i="52"/>
  <c r="H153" i="52"/>
  <c r="G153" i="52"/>
  <c r="E153" i="52"/>
  <c r="J151" i="52"/>
  <c r="I151" i="52"/>
  <c r="H151" i="52"/>
  <c r="G151" i="52"/>
  <c r="E151" i="52"/>
  <c r="G120" i="52"/>
  <c r="H120" i="52"/>
  <c r="E120" i="52"/>
  <c r="G118" i="52"/>
  <c r="H118" i="52"/>
  <c r="E118" i="52"/>
  <c r="I106" i="52"/>
  <c r="I104" i="52"/>
  <c r="I96" i="52" s="1"/>
  <c r="J106" i="52"/>
  <c r="J104" i="52"/>
  <c r="J96" i="52" s="1"/>
  <c r="J124" i="52"/>
  <c r="J122" i="52"/>
  <c r="I124" i="52"/>
  <c r="I122" i="52"/>
  <c r="H107" i="52"/>
  <c r="G107" i="52"/>
  <c r="E107" i="52"/>
  <c r="H125" i="52"/>
  <c r="G125" i="52"/>
  <c r="E125" i="52"/>
  <c r="G112" i="52"/>
  <c r="H112" i="52"/>
  <c r="G110" i="52"/>
  <c r="H110" i="52"/>
  <c r="E112" i="52"/>
  <c r="E110" i="52"/>
  <c r="J116" i="52"/>
  <c r="J112" i="52" s="1"/>
  <c r="J114" i="52"/>
  <c r="J110" i="52" s="1"/>
  <c r="I116" i="52"/>
  <c r="I112" i="52" s="1"/>
  <c r="I114" i="52"/>
  <c r="I110" i="52" s="1"/>
  <c r="G117" i="52"/>
  <c r="H117" i="52"/>
  <c r="F117" i="52" s="1"/>
  <c r="E117" i="52"/>
  <c r="J48" i="52"/>
  <c r="J46" i="52"/>
  <c r="I48" i="52"/>
  <c r="I46" i="52"/>
  <c r="G40" i="52"/>
  <c r="E40" i="52"/>
  <c r="E38" i="52"/>
  <c r="J44" i="52"/>
  <c r="J42" i="52"/>
  <c r="I44" i="52"/>
  <c r="I42" i="52"/>
  <c r="K49" i="52"/>
  <c r="H49" i="52"/>
  <c r="G49" i="52"/>
  <c r="E49" i="52"/>
  <c r="K45" i="52"/>
  <c r="H45" i="52"/>
  <c r="G45" i="52"/>
  <c r="E45" i="52"/>
  <c r="E149" i="52" l="1"/>
  <c r="F149" i="52" s="1"/>
  <c r="F148" i="52"/>
  <c r="H45" i="46"/>
  <c r="H89" i="47"/>
  <c r="H38" i="47"/>
  <c r="N9" i="60"/>
  <c r="H16" i="47"/>
  <c r="H106" i="47"/>
  <c r="H115" i="47" s="1"/>
  <c r="H109" i="47"/>
  <c r="F107" i="52"/>
  <c r="H15" i="45"/>
  <c r="H150" i="56"/>
  <c r="F38" i="56"/>
  <c r="H151" i="45"/>
  <c r="H149" i="52"/>
  <c r="H96" i="52"/>
  <c r="F100" i="52"/>
  <c r="F151" i="52"/>
  <c r="F45" i="52"/>
  <c r="F125" i="52"/>
  <c r="H98" i="52"/>
  <c r="F102" i="52"/>
  <c r="F49" i="52"/>
  <c r="F153" i="52"/>
  <c r="H170" i="56"/>
  <c r="I98" i="52"/>
  <c r="I99" i="52" s="1"/>
  <c r="G103" i="52"/>
  <c r="J98" i="52"/>
  <c r="J99" i="52" s="1"/>
  <c r="I103" i="52"/>
  <c r="G96" i="52"/>
  <c r="G99" i="52" s="1"/>
  <c r="H103" i="52"/>
  <c r="F103" i="52" s="1"/>
  <c r="J103" i="52"/>
  <c r="G121" i="52"/>
  <c r="I120" i="52"/>
  <c r="E121" i="52"/>
  <c r="J118" i="52"/>
  <c r="E113" i="52"/>
  <c r="I118" i="52"/>
  <c r="H121" i="52"/>
  <c r="J117" i="52"/>
  <c r="J120" i="52"/>
  <c r="G113" i="52"/>
  <c r="I107" i="52"/>
  <c r="J125" i="52"/>
  <c r="J107" i="52"/>
  <c r="I113" i="52"/>
  <c r="G41" i="52"/>
  <c r="J113" i="52"/>
  <c r="I125" i="52"/>
  <c r="H113" i="52"/>
  <c r="J45" i="52"/>
  <c r="I117" i="52"/>
  <c r="J40" i="52"/>
  <c r="E41" i="52"/>
  <c r="H41" i="52"/>
  <c r="I38" i="52"/>
  <c r="I174" i="52" s="1"/>
  <c r="I40" i="52"/>
  <c r="J38" i="52"/>
  <c r="J174" i="52" s="1"/>
  <c r="J49" i="52"/>
  <c r="I49" i="52"/>
  <c r="I45" i="52"/>
  <c r="H10" i="34" l="1"/>
  <c r="O8" i="60"/>
  <c r="O9" i="60"/>
  <c r="H11" i="34"/>
  <c r="H179" i="56"/>
  <c r="O6" i="60" s="1"/>
  <c r="F98" i="52"/>
  <c r="O7" i="60"/>
  <c r="H99" i="52"/>
  <c r="F99" i="52" s="1"/>
  <c r="I121" i="52"/>
  <c r="J121" i="52"/>
  <c r="J41" i="52"/>
  <c r="I41" i="52"/>
  <c r="K10" i="34" l="1"/>
  <c r="Q8" i="34"/>
  <c r="K11" i="34"/>
  <c r="H9" i="34"/>
  <c r="H8" i="34"/>
  <c r="G20" i="52"/>
  <c r="G171" i="52" s="1"/>
  <c r="H20" i="52"/>
  <c r="E20" i="52"/>
  <c r="E171" i="52" s="1"/>
  <c r="G18" i="52"/>
  <c r="G21" i="52" s="1"/>
  <c r="H18" i="52"/>
  <c r="H21" i="52" s="1"/>
  <c r="E18" i="52"/>
  <c r="E21" i="52" s="1"/>
  <c r="H37" i="52"/>
  <c r="G37" i="52"/>
  <c r="E37" i="52"/>
  <c r="J37" i="52"/>
  <c r="I37" i="52"/>
  <c r="J32" i="52"/>
  <c r="J30" i="52"/>
  <c r="I32" i="52"/>
  <c r="I30" i="52"/>
  <c r="J28" i="52"/>
  <c r="J26" i="52"/>
  <c r="I28" i="52"/>
  <c r="I26" i="52"/>
  <c r="J24" i="52"/>
  <c r="I24" i="52"/>
  <c r="J22" i="52"/>
  <c r="I22" i="52"/>
  <c r="H33" i="52"/>
  <c r="G33" i="52"/>
  <c r="E33" i="52"/>
  <c r="H29" i="52"/>
  <c r="G29" i="52"/>
  <c r="E29" i="52"/>
  <c r="G25" i="52"/>
  <c r="H25" i="52"/>
  <c r="E25" i="52"/>
  <c r="J155" i="52"/>
  <c r="I155" i="52"/>
  <c r="H155" i="52"/>
  <c r="G155" i="52"/>
  <c r="E155" i="52"/>
  <c r="B5" i="51"/>
  <c r="B8" i="51"/>
  <c r="A8" i="51"/>
  <c r="B7" i="51"/>
  <c r="A7" i="51"/>
  <c r="B6" i="51"/>
  <c r="A6" i="51"/>
  <c r="A5" i="51"/>
  <c r="B4" i="51"/>
  <c r="A4" i="51"/>
  <c r="B4" i="50"/>
  <c r="A4" i="50"/>
  <c r="B3" i="50"/>
  <c r="A3" i="50"/>
  <c r="B7" i="49"/>
  <c r="A7" i="49"/>
  <c r="B6" i="49"/>
  <c r="A6" i="49"/>
  <c r="B5" i="49"/>
  <c r="A5" i="49"/>
  <c r="B4" i="49"/>
  <c r="A4" i="49"/>
  <c r="B9" i="48"/>
  <c r="A9" i="48"/>
  <c r="B8" i="48"/>
  <c r="A8" i="48"/>
  <c r="B7" i="48"/>
  <c r="A7" i="48"/>
  <c r="B6" i="48"/>
  <c r="A6" i="48"/>
  <c r="B5" i="48"/>
  <c r="A5" i="48"/>
  <c r="B8" i="47"/>
  <c r="A8" i="47"/>
  <c r="B7" i="47"/>
  <c r="A7" i="47"/>
  <c r="B6" i="47"/>
  <c r="A6" i="47"/>
  <c r="B5" i="47"/>
  <c r="A5" i="47"/>
  <c r="B4" i="47"/>
  <c r="A4" i="47"/>
  <c r="B5" i="46"/>
  <c r="A5" i="46"/>
  <c r="B4" i="46"/>
  <c r="A4" i="46"/>
  <c r="E130" i="54"/>
  <c r="F130" i="54" s="1"/>
  <c r="E126" i="54"/>
  <c r="G105" i="54"/>
  <c r="B15" i="54"/>
  <c r="A15" i="54"/>
  <c r="B14" i="54"/>
  <c r="A14" i="54"/>
  <c r="B13" i="54"/>
  <c r="A13" i="54"/>
  <c r="B12" i="54"/>
  <c r="A12" i="54"/>
  <c r="B11" i="54"/>
  <c r="A11" i="54"/>
  <c r="B10" i="54"/>
  <c r="A10" i="54"/>
  <c r="B9" i="54"/>
  <c r="A9" i="54"/>
  <c r="B8" i="54"/>
  <c r="A8" i="54"/>
  <c r="B7" i="54"/>
  <c r="A7" i="54"/>
  <c r="B6" i="54"/>
  <c r="A6" i="54"/>
  <c r="B5" i="54"/>
  <c r="A5" i="54"/>
  <c r="B4" i="54"/>
  <c r="B6" i="45"/>
  <c r="A6" i="45"/>
  <c r="B5" i="45"/>
  <c r="A5" i="45"/>
  <c r="B4" i="45"/>
  <c r="A4" i="45"/>
  <c r="B3" i="45"/>
  <c r="A3" i="45"/>
  <c r="A4" i="56"/>
  <c r="B4" i="56"/>
  <c r="B10" i="56"/>
  <c r="A10" i="56"/>
  <c r="B9" i="56"/>
  <c r="A9" i="56"/>
  <c r="B8" i="56"/>
  <c r="A8" i="56"/>
  <c r="B7" i="56"/>
  <c r="A7" i="56"/>
  <c r="B6" i="56"/>
  <c r="A6" i="56"/>
  <c r="B5" i="56"/>
  <c r="A5" i="56"/>
  <c r="B3" i="56"/>
  <c r="A3" i="56"/>
  <c r="B9" i="52"/>
  <c r="A9" i="52"/>
  <c r="B8" i="52"/>
  <c r="A8" i="52"/>
  <c r="B7" i="52"/>
  <c r="A7" i="52"/>
  <c r="B6" i="52"/>
  <c r="A6" i="52"/>
  <c r="B5" i="52"/>
  <c r="A5" i="52"/>
  <c r="B4" i="52"/>
  <c r="A4" i="52"/>
  <c r="B3" i="52"/>
  <c r="A3" i="52"/>
  <c r="G142" i="52"/>
  <c r="H142" i="52"/>
  <c r="I142" i="52"/>
  <c r="J142" i="52"/>
  <c r="G132" i="52"/>
  <c r="G109" i="52"/>
  <c r="H109" i="52"/>
  <c r="I109" i="52"/>
  <c r="J109" i="52"/>
  <c r="G88" i="52"/>
  <c r="H88" i="52"/>
  <c r="I88" i="52"/>
  <c r="J88" i="52"/>
  <c r="G86" i="52"/>
  <c r="H86" i="52"/>
  <c r="I86" i="52"/>
  <c r="J86" i="52"/>
  <c r="G83" i="52"/>
  <c r="H83" i="52"/>
  <c r="I83" i="52"/>
  <c r="J83" i="52"/>
  <c r="J77" i="52"/>
  <c r="I77" i="52"/>
  <c r="H77" i="52"/>
  <c r="G77" i="52"/>
  <c r="J75" i="52"/>
  <c r="I75" i="52"/>
  <c r="H75" i="52"/>
  <c r="G75" i="52"/>
  <c r="F58" i="50"/>
  <c r="F57" i="50"/>
  <c r="G57" i="50"/>
  <c r="H57" i="50"/>
  <c r="I57" i="50"/>
  <c r="J57" i="50"/>
  <c r="F54" i="50"/>
  <c r="G54" i="50"/>
  <c r="H54" i="50"/>
  <c r="I54" i="50"/>
  <c r="J54" i="50"/>
  <c r="F42" i="50"/>
  <c r="G42" i="50"/>
  <c r="H42" i="50"/>
  <c r="I42" i="50"/>
  <c r="J42" i="50"/>
  <c r="F36" i="50"/>
  <c r="G36" i="50"/>
  <c r="H36" i="50"/>
  <c r="I36" i="50"/>
  <c r="J36" i="50"/>
  <c r="F34" i="50"/>
  <c r="G34" i="50"/>
  <c r="H34" i="50"/>
  <c r="I34" i="50"/>
  <c r="J34" i="50"/>
  <c r="F32" i="50"/>
  <c r="G32" i="50"/>
  <c r="H32" i="50"/>
  <c r="I32" i="50"/>
  <c r="J32" i="50"/>
  <c r="G25" i="50"/>
  <c r="H25" i="50"/>
  <c r="I25" i="50"/>
  <c r="J25" i="50"/>
  <c r="F22" i="50"/>
  <c r="G22" i="50"/>
  <c r="H22" i="50"/>
  <c r="I22" i="50"/>
  <c r="J22" i="50"/>
  <c r="F20" i="50"/>
  <c r="G20" i="50"/>
  <c r="H20" i="50"/>
  <c r="I20" i="50"/>
  <c r="J20" i="50"/>
  <c r="G14" i="50"/>
  <c r="H14" i="50"/>
  <c r="I14" i="50"/>
  <c r="J14" i="50"/>
  <c r="E16" i="49"/>
  <c r="F16" i="49" s="1"/>
  <c r="G16" i="49"/>
  <c r="J204" i="49"/>
  <c r="E17" i="49"/>
  <c r="G17" i="49"/>
  <c r="H17" i="49"/>
  <c r="E18" i="49"/>
  <c r="G18" i="49"/>
  <c r="H18" i="49"/>
  <c r="H207" i="49" s="1"/>
  <c r="H205" i="49" s="1"/>
  <c r="J18" i="49"/>
  <c r="J20" i="49" s="1"/>
  <c r="E19" i="49"/>
  <c r="G19" i="49"/>
  <c r="H19" i="49"/>
  <c r="I19" i="49"/>
  <c r="I20" i="49" s="1"/>
  <c r="J19" i="49"/>
  <c r="E15" i="46"/>
  <c r="E12" i="46" s="1"/>
  <c r="F12" i="46" s="1"/>
  <c r="F15" i="46"/>
  <c r="G15" i="46"/>
  <c r="G12" i="46" s="1"/>
  <c r="I15" i="46"/>
  <c r="I12" i="46" s="1"/>
  <c r="J15" i="46"/>
  <c r="J12" i="46" s="1"/>
  <c r="E24" i="46"/>
  <c r="F24" i="46" s="1"/>
  <c r="G24" i="46"/>
  <c r="I24" i="46"/>
  <c r="J24" i="46"/>
  <c r="E26" i="46"/>
  <c r="E28" i="46"/>
  <c r="F28" i="46" s="1"/>
  <c r="G28" i="46"/>
  <c r="I28" i="46"/>
  <c r="J28" i="46"/>
  <c r="E30" i="46"/>
  <c r="F30" i="46" s="1"/>
  <c r="G30" i="46"/>
  <c r="I30" i="46"/>
  <c r="J30" i="46"/>
  <c r="G215" i="45"/>
  <c r="I215" i="45"/>
  <c r="J215" i="45"/>
  <c r="G213" i="45"/>
  <c r="G236" i="45" s="1"/>
  <c r="I213" i="45"/>
  <c r="J213" i="45"/>
  <c r="G200" i="45"/>
  <c r="I200" i="45"/>
  <c r="J200" i="45"/>
  <c r="G193" i="45"/>
  <c r="I193" i="45"/>
  <c r="J193" i="45"/>
  <c r="G191" i="45"/>
  <c r="I191" i="45"/>
  <c r="J191" i="45"/>
  <c r="G179" i="45"/>
  <c r="I179" i="45"/>
  <c r="J179" i="45"/>
  <c r="G153" i="45"/>
  <c r="I153" i="45"/>
  <c r="J153" i="45"/>
  <c r="G157" i="45"/>
  <c r="I157" i="45"/>
  <c r="J157" i="45"/>
  <c r="E16" i="45"/>
  <c r="F16" i="45" s="1"/>
  <c r="G16" i="45"/>
  <c r="I16" i="45"/>
  <c r="I225" i="45" s="1"/>
  <c r="J16" i="45"/>
  <c r="J225" i="45" s="1"/>
  <c r="G17" i="45"/>
  <c r="I17" i="45"/>
  <c r="J17" i="45"/>
  <c r="E18" i="45"/>
  <c r="F18" i="45" s="1"/>
  <c r="G18" i="45"/>
  <c r="I18" i="45"/>
  <c r="J18" i="45"/>
  <c r="E22" i="45"/>
  <c r="G45" i="56"/>
  <c r="I45" i="56"/>
  <c r="J45" i="56"/>
  <c r="H20" i="49" l="1"/>
  <c r="I204" i="49"/>
  <c r="I15" i="49"/>
  <c r="H171" i="52"/>
  <c r="K8" i="34"/>
  <c r="K9" i="34"/>
  <c r="F18" i="49"/>
  <c r="F17" i="49"/>
  <c r="J33" i="52"/>
  <c r="I20" i="52"/>
  <c r="I171" i="52" s="1"/>
  <c r="J29" i="52"/>
  <c r="J18" i="52"/>
  <c r="J21" i="52" s="1"/>
  <c r="I29" i="52"/>
  <c r="J20" i="52"/>
  <c r="J171" i="52" s="1"/>
  <c r="I25" i="52"/>
  <c r="I18" i="52"/>
  <c r="I21" i="52" s="1"/>
  <c r="I33" i="52"/>
  <c r="J25" i="52"/>
  <c r="F46" i="50"/>
  <c r="J15" i="49"/>
  <c r="E20" i="49"/>
  <c r="E15" i="49" s="1"/>
  <c r="G20" i="49"/>
  <c r="G15" i="49" s="1"/>
  <c r="J20" i="45"/>
  <c r="I20" i="45"/>
  <c r="G20" i="45"/>
  <c r="E20" i="56"/>
  <c r="F20" i="56" s="1"/>
  <c r="G21" i="56"/>
  <c r="E28" i="56"/>
  <c r="E174" i="56"/>
  <c r="F174" i="56" s="1"/>
  <c r="E172" i="56"/>
  <c r="F172" i="56" s="1"/>
  <c r="J169" i="56"/>
  <c r="I169" i="56"/>
  <c r="G169" i="56"/>
  <c r="F169" i="56"/>
  <c r="J168" i="56"/>
  <c r="I168" i="56"/>
  <c r="G168" i="56"/>
  <c r="E168" i="56"/>
  <c r="F168" i="56" s="1"/>
  <c r="J166" i="56"/>
  <c r="I166" i="56"/>
  <c r="G166" i="56"/>
  <c r="E166" i="56"/>
  <c r="F166" i="56" s="1"/>
  <c r="E160" i="56"/>
  <c r="F160" i="56" s="1"/>
  <c r="J160" i="56"/>
  <c r="I160" i="56"/>
  <c r="G159" i="56"/>
  <c r="G160" i="56" s="1"/>
  <c r="E152" i="56"/>
  <c r="F152" i="56" s="1"/>
  <c r="G151" i="56"/>
  <c r="G152" i="56" s="1"/>
  <c r="J149" i="56"/>
  <c r="J145" i="56" s="1"/>
  <c r="I149" i="56"/>
  <c r="I145" i="56" s="1"/>
  <c r="G149" i="56"/>
  <c r="G145" i="56" s="1"/>
  <c r="E149" i="56"/>
  <c r="J144" i="56"/>
  <c r="I144" i="56"/>
  <c r="G144" i="56"/>
  <c r="E144" i="56"/>
  <c r="F144" i="56" s="1"/>
  <c r="J139" i="56"/>
  <c r="I139" i="56"/>
  <c r="G139" i="56"/>
  <c r="E139" i="56"/>
  <c r="F139" i="56" s="1"/>
  <c r="J136" i="56"/>
  <c r="I136" i="56"/>
  <c r="G136" i="56"/>
  <c r="E136" i="56"/>
  <c r="F136" i="56" s="1"/>
  <c r="J133" i="56"/>
  <c r="I133" i="56"/>
  <c r="G133" i="56"/>
  <c r="E133" i="56"/>
  <c r="F133" i="56" s="1"/>
  <c r="J130" i="56"/>
  <c r="I130" i="56"/>
  <c r="G130" i="56"/>
  <c r="E130" i="56"/>
  <c r="F130" i="56" s="1"/>
  <c r="J120" i="56"/>
  <c r="I120" i="56"/>
  <c r="G120" i="56"/>
  <c r="E120" i="56"/>
  <c r="F120" i="56" s="1"/>
  <c r="J115" i="56"/>
  <c r="J113" i="56" s="1"/>
  <c r="I115" i="56"/>
  <c r="I113" i="56" s="1"/>
  <c r="G115" i="56"/>
  <c r="G113" i="56" s="1"/>
  <c r="E115" i="56"/>
  <c r="J112" i="56"/>
  <c r="I112" i="56"/>
  <c r="G112" i="56"/>
  <c r="E112" i="56"/>
  <c r="F112" i="56" s="1"/>
  <c r="J110" i="56"/>
  <c r="I110" i="56"/>
  <c r="G110" i="56"/>
  <c r="E110" i="56"/>
  <c r="F110" i="56" s="1"/>
  <c r="J108" i="56"/>
  <c r="G108" i="56"/>
  <c r="E108" i="56"/>
  <c r="F108" i="56" s="1"/>
  <c r="C108" i="56"/>
  <c r="B108" i="56"/>
  <c r="J106" i="56"/>
  <c r="I106" i="56"/>
  <c r="G106" i="56"/>
  <c r="E106" i="56"/>
  <c r="F106" i="56" s="1"/>
  <c r="J103" i="56"/>
  <c r="I103" i="56"/>
  <c r="G103" i="56"/>
  <c r="E103" i="56"/>
  <c r="F103" i="56" s="1"/>
  <c r="J101" i="56"/>
  <c r="I101" i="56"/>
  <c r="G101" i="56"/>
  <c r="E101" i="56"/>
  <c r="F101" i="56" s="1"/>
  <c r="J99" i="56"/>
  <c r="I99" i="56"/>
  <c r="E99" i="56"/>
  <c r="J90" i="56"/>
  <c r="I90" i="56"/>
  <c r="G90" i="56"/>
  <c r="E90" i="56"/>
  <c r="F90" i="56" s="1"/>
  <c r="J86" i="56"/>
  <c r="I86" i="56"/>
  <c r="G86" i="56"/>
  <c r="E86" i="56"/>
  <c r="F86" i="56" s="1"/>
  <c r="J83" i="56"/>
  <c r="I83" i="56"/>
  <c r="G83" i="56"/>
  <c r="E83" i="56"/>
  <c r="F83" i="56" s="1"/>
  <c r="J81" i="56"/>
  <c r="I81" i="56"/>
  <c r="G81" i="56"/>
  <c r="E81" i="56"/>
  <c r="F81" i="56" s="1"/>
  <c r="J79" i="56"/>
  <c r="I79" i="56"/>
  <c r="G79" i="56"/>
  <c r="E79" i="56"/>
  <c r="F79" i="56" s="1"/>
  <c r="G76" i="56"/>
  <c r="E76" i="56"/>
  <c r="F76" i="56" s="1"/>
  <c r="J74" i="56"/>
  <c r="I74" i="56"/>
  <c r="G74" i="56"/>
  <c r="E74" i="56"/>
  <c r="F74" i="56" s="1"/>
  <c r="J71" i="56"/>
  <c r="I71" i="56"/>
  <c r="G71" i="56"/>
  <c r="E71" i="56"/>
  <c r="F71" i="56" s="1"/>
  <c r="J68" i="56"/>
  <c r="I68" i="56"/>
  <c r="G68" i="56"/>
  <c r="E68" i="56"/>
  <c r="F68" i="56" s="1"/>
  <c r="J66" i="56"/>
  <c r="I66" i="56"/>
  <c r="G66" i="56"/>
  <c r="E66" i="56"/>
  <c r="F66" i="56" s="1"/>
  <c r="J64" i="56"/>
  <c r="I64" i="56"/>
  <c r="G64" i="56"/>
  <c r="E64" i="56"/>
  <c r="F64" i="56" s="1"/>
  <c r="J61" i="56"/>
  <c r="I61" i="56"/>
  <c r="G61" i="56"/>
  <c r="E61" i="56"/>
  <c r="F61" i="56" s="1"/>
  <c r="J59" i="56"/>
  <c r="I59" i="56"/>
  <c r="G59" i="56"/>
  <c r="E59" i="56"/>
  <c r="F59" i="56" s="1"/>
  <c r="J56" i="56"/>
  <c r="I56" i="56"/>
  <c r="G56" i="56"/>
  <c r="E56" i="56"/>
  <c r="F56" i="56" s="1"/>
  <c r="J54" i="56"/>
  <c r="I54" i="56"/>
  <c r="G54" i="56"/>
  <c r="E54" i="56"/>
  <c r="F54" i="56" s="1"/>
  <c r="J52" i="56"/>
  <c r="I52" i="56"/>
  <c r="G52" i="56"/>
  <c r="E52" i="56"/>
  <c r="F52" i="56" s="1"/>
  <c r="J50" i="56"/>
  <c r="I50" i="56"/>
  <c r="G50" i="56"/>
  <c r="E50" i="56"/>
  <c r="F50" i="56" s="1"/>
  <c r="J48" i="56"/>
  <c r="I48" i="56"/>
  <c r="G48" i="56"/>
  <c r="E48" i="56"/>
  <c r="F48" i="56" s="1"/>
  <c r="J37" i="56"/>
  <c r="I37" i="56"/>
  <c r="G37" i="56"/>
  <c r="G36" i="56"/>
  <c r="I172" i="56"/>
  <c r="G35" i="56"/>
  <c r="G172" i="56" s="1"/>
  <c r="J33" i="56"/>
  <c r="I33" i="56"/>
  <c r="G33" i="56"/>
  <c r="E33" i="56"/>
  <c r="F33" i="56" s="1"/>
  <c r="J31" i="56"/>
  <c r="I31" i="56"/>
  <c r="G31" i="56"/>
  <c r="E31" i="56"/>
  <c r="F31" i="56" s="1"/>
  <c r="J29" i="56"/>
  <c r="I29" i="56"/>
  <c r="G29" i="56"/>
  <c r="I152" i="56" l="1"/>
  <c r="I150" i="56" s="1"/>
  <c r="I171" i="56"/>
  <c r="I170" i="56" s="1"/>
  <c r="I179" i="56" s="1"/>
  <c r="I8" i="34" s="1"/>
  <c r="O9" i="34" s="1"/>
  <c r="J152" i="56"/>
  <c r="J171" i="56"/>
  <c r="J170" i="56" s="1"/>
  <c r="J179" i="56" s="1"/>
  <c r="J8" i="34" s="1"/>
  <c r="O10" i="34" s="1"/>
  <c r="H170" i="52"/>
  <c r="H178" i="52" s="1"/>
  <c r="Q3" i="61" s="1"/>
  <c r="F171" i="52"/>
  <c r="H15" i="49"/>
  <c r="F15" i="49" s="1"/>
  <c r="F20" i="49"/>
  <c r="G150" i="56"/>
  <c r="I87" i="56"/>
  <c r="G174" i="56"/>
  <c r="E113" i="56"/>
  <c r="F113" i="56" s="1"/>
  <c r="F115" i="56"/>
  <c r="J150" i="56"/>
  <c r="E23" i="56"/>
  <c r="F23" i="56" s="1"/>
  <c r="E145" i="56"/>
  <c r="F145" i="56" s="1"/>
  <c r="F149" i="56"/>
  <c r="E116" i="56"/>
  <c r="F116" i="56" s="1"/>
  <c r="G171" i="56"/>
  <c r="G116" i="56"/>
  <c r="I116" i="56"/>
  <c r="J116" i="56"/>
  <c r="G104" i="56"/>
  <c r="I104" i="56"/>
  <c r="J104" i="56"/>
  <c r="J87" i="56"/>
  <c r="E34" i="56"/>
  <c r="G87" i="56"/>
  <c r="I23" i="56"/>
  <c r="J23" i="56"/>
  <c r="G23" i="56"/>
  <c r="G19" i="56" s="1"/>
  <c r="E29" i="56"/>
  <c r="E150" i="56"/>
  <c r="F150" i="56" s="1"/>
  <c r="E104" i="56"/>
  <c r="F104" i="56" s="1"/>
  <c r="E87" i="56"/>
  <c r="F87" i="56" s="1"/>
  <c r="E171" i="56"/>
  <c r="F171" i="56" s="1"/>
  <c r="I38" i="56"/>
  <c r="J38" i="56"/>
  <c r="G38" i="56"/>
  <c r="G34" i="56" s="1"/>
  <c r="E174" i="52"/>
  <c r="G38" i="46"/>
  <c r="I38" i="46"/>
  <c r="J38" i="46"/>
  <c r="G37" i="46"/>
  <c r="I37" i="46"/>
  <c r="J37" i="46"/>
  <c r="J223" i="45"/>
  <c r="I223" i="45"/>
  <c r="G223" i="45"/>
  <c r="G170" i="56" l="1"/>
  <c r="G179" i="56" s="1"/>
  <c r="G8" i="34" s="1"/>
  <c r="E170" i="56"/>
  <c r="F170" i="56" s="1"/>
  <c r="E19" i="56"/>
  <c r="F19" i="56" s="1"/>
  <c r="F29" i="56"/>
  <c r="G36" i="46"/>
  <c r="G45" i="46" s="1"/>
  <c r="J36" i="46"/>
  <c r="J45" i="46" s="1"/>
  <c r="I36" i="46"/>
  <c r="I45" i="46" s="1"/>
  <c r="J10" i="34" l="1"/>
  <c r="Q10" i="34" s="1"/>
  <c r="J47" i="46"/>
  <c r="I10" i="34"/>
  <c r="Q9" i="34" s="1"/>
  <c r="I47" i="46"/>
  <c r="I181" i="56"/>
  <c r="E179" i="56"/>
  <c r="J181" i="56"/>
  <c r="G10" i="34"/>
  <c r="G231" i="45"/>
  <c r="E8" i="34" l="1"/>
  <c r="F8" i="34" s="1"/>
  <c r="H181" i="56"/>
  <c r="F179" i="56"/>
  <c r="J105" i="47"/>
  <c r="I105" i="47"/>
  <c r="G105" i="47"/>
  <c r="J100" i="47"/>
  <c r="J101" i="47" s="1"/>
  <c r="I100" i="47"/>
  <c r="I101" i="47" s="1"/>
  <c r="G100" i="47"/>
  <c r="G101" i="47" s="1"/>
  <c r="E100" i="47"/>
  <c r="J95" i="47"/>
  <c r="J96" i="47" s="1"/>
  <c r="I95" i="47"/>
  <c r="I96" i="47" s="1"/>
  <c r="G95" i="47"/>
  <c r="G96" i="47" s="1"/>
  <c r="E95" i="47"/>
  <c r="F95" i="47" s="1"/>
  <c r="J90" i="47"/>
  <c r="J91" i="47" s="1"/>
  <c r="I90" i="47"/>
  <c r="I91" i="47" s="1"/>
  <c r="G90" i="47"/>
  <c r="G91" i="47" s="1"/>
  <c r="E90" i="47"/>
  <c r="J84" i="47"/>
  <c r="J85" i="47" s="1"/>
  <c r="I84" i="47"/>
  <c r="I85" i="47" s="1"/>
  <c r="G84" i="47"/>
  <c r="G85" i="47" s="1"/>
  <c r="E84" i="47"/>
  <c r="J80" i="47"/>
  <c r="J81" i="47" s="1"/>
  <c r="I80" i="47"/>
  <c r="I81" i="47" s="1"/>
  <c r="G80" i="47"/>
  <c r="G81" i="47" s="1"/>
  <c r="E80" i="47"/>
  <c r="J71" i="47"/>
  <c r="J72" i="47" s="1"/>
  <c r="I71" i="47"/>
  <c r="I72" i="47" s="1"/>
  <c r="G71" i="47"/>
  <c r="E71" i="47"/>
  <c r="J67" i="47"/>
  <c r="J68" i="47" s="1"/>
  <c r="I67" i="47"/>
  <c r="I68" i="47" s="1"/>
  <c r="G67" i="47"/>
  <c r="E67" i="47"/>
  <c r="F65" i="47"/>
  <c r="J63" i="47"/>
  <c r="J64" i="47" s="1"/>
  <c r="I63" i="47"/>
  <c r="I64" i="47" s="1"/>
  <c r="G63" i="47"/>
  <c r="G64" i="47" s="1"/>
  <c r="E63" i="47"/>
  <c r="J61" i="47" a="1"/>
  <c r="J61" i="47" s="1"/>
  <c r="I61" i="47" a="1"/>
  <c r="I61" i="47" s="1"/>
  <c r="G61" i="47" a="1"/>
  <c r="G61" i="47" s="1"/>
  <c r="E59" i="47"/>
  <c r="F59" i="47" s="1"/>
  <c r="E55" i="47"/>
  <c r="F55" i="47" s="1"/>
  <c r="J54" i="47"/>
  <c r="J55" i="47" s="1"/>
  <c r="I54" i="47"/>
  <c r="I55" i="47" s="1"/>
  <c r="G54" i="47"/>
  <c r="G55" i="47" s="1"/>
  <c r="J50" i="47"/>
  <c r="J51" i="47" s="1"/>
  <c r="I50" i="47"/>
  <c r="I51" i="47" s="1"/>
  <c r="G50" i="47"/>
  <c r="G51" i="47" s="1"/>
  <c r="E50" i="47"/>
  <c r="J45" i="47"/>
  <c r="J46" i="47" s="1"/>
  <c r="I45" i="47"/>
  <c r="I46" i="47" s="1"/>
  <c r="G45" i="47"/>
  <c r="G46" i="47" s="1"/>
  <c r="E45" i="47"/>
  <c r="J39" i="47"/>
  <c r="J40" i="47" s="1"/>
  <c r="I39" i="47"/>
  <c r="I40" i="47" s="1"/>
  <c r="G39" i="47"/>
  <c r="E39" i="47"/>
  <c r="J36" i="47"/>
  <c r="I36" i="47"/>
  <c r="G36" i="47"/>
  <c r="E36" i="47"/>
  <c r="F36" i="47" s="1"/>
  <c r="J34" i="47"/>
  <c r="I34" i="47"/>
  <c r="G34" i="47"/>
  <c r="E34" i="47"/>
  <c r="F34" i="47" s="1"/>
  <c r="J28" i="47"/>
  <c r="I28" i="47"/>
  <c r="G28" i="47"/>
  <c r="E28" i="47"/>
  <c r="F28" i="47" s="1"/>
  <c r="J21" i="47"/>
  <c r="I21" i="47"/>
  <c r="G21" i="47"/>
  <c r="E21" i="47"/>
  <c r="J20" i="47"/>
  <c r="J111" i="47" s="1"/>
  <c r="I20" i="47"/>
  <c r="I111" i="47" s="1"/>
  <c r="G20" i="47"/>
  <c r="G111" i="47" s="1"/>
  <c r="E20" i="47"/>
  <c r="J19" i="47"/>
  <c r="J108" i="47" s="1"/>
  <c r="I19" i="47"/>
  <c r="I108" i="47" s="1"/>
  <c r="G19" i="47"/>
  <c r="G108" i="47" s="1"/>
  <c r="E19" i="47"/>
  <c r="J18" i="47"/>
  <c r="J110" i="47" s="1"/>
  <c r="I18" i="47"/>
  <c r="I110" i="47" s="1"/>
  <c r="G18" i="47"/>
  <c r="G110" i="47" s="1"/>
  <c r="E18" i="47"/>
  <c r="J17" i="47"/>
  <c r="I17" i="47"/>
  <c r="G17" i="47"/>
  <c r="E17" i="47"/>
  <c r="E110" i="47" l="1"/>
  <c r="F110" i="47" s="1"/>
  <c r="F18" i="47"/>
  <c r="E46" i="47"/>
  <c r="F46" i="47" s="1"/>
  <c r="F45" i="47"/>
  <c r="E64" i="47"/>
  <c r="F64" i="47" s="1"/>
  <c r="F63" i="47"/>
  <c r="E72" i="47"/>
  <c r="F72" i="47" s="1"/>
  <c r="F71" i="47"/>
  <c r="E85" i="47"/>
  <c r="F85" i="47" s="1"/>
  <c r="F84" i="47"/>
  <c r="E22" i="47"/>
  <c r="F22" i="47" s="1"/>
  <c r="F17" i="47"/>
  <c r="E40" i="47"/>
  <c r="F40" i="47" s="1"/>
  <c r="F39" i="47"/>
  <c r="E51" i="47"/>
  <c r="F51" i="47" s="1"/>
  <c r="F50" i="47"/>
  <c r="E108" i="47"/>
  <c r="F108" i="47" s="1"/>
  <c r="F19" i="47"/>
  <c r="E68" i="47"/>
  <c r="F68" i="47" s="1"/>
  <c r="F67" i="47"/>
  <c r="E81" i="47"/>
  <c r="F81" i="47" s="1"/>
  <c r="F80" i="47"/>
  <c r="E91" i="47"/>
  <c r="F91" i="47" s="1"/>
  <c r="F90" i="47"/>
  <c r="E101" i="47"/>
  <c r="F101" i="47" s="1"/>
  <c r="F100" i="47"/>
  <c r="G22" i="47"/>
  <c r="J22" i="47"/>
  <c r="J16" i="47" s="1"/>
  <c r="J107" i="47"/>
  <c r="J106" i="47" s="1"/>
  <c r="J115" i="47" s="1"/>
  <c r="J11" i="34" s="1"/>
  <c r="I107" i="47"/>
  <c r="I106" i="47" s="1"/>
  <c r="I115" i="47" s="1"/>
  <c r="I11" i="34" s="1"/>
  <c r="I22" i="47"/>
  <c r="I16" i="47" s="1"/>
  <c r="G79" i="47"/>
  <c r="I89" i="47"/>
  <c r="I58" i="47"/>
  <c r="G89" i="47"/>
  <c r="J79" i="47"/>
  <c r="J89" i="47"/>
  <c r="J58" i="47"/>
  <c r="I79" i="47"/>
  <c r="I38" i="47"/>
  <c r="J38" i="47"/>
  <c r="E16" i="47"/>
  <c r="F16" i="47" s="1"/>
  <c r="G16" i="47"/>
  <c r="E61" i="47"/>
  <c r="F61" i="47" s="1"/>
  <c r="G68" i="47"/>
  <c r="G107" i="47"/>
  <c r="G106" i="47" s="1"/>
  <c r="E107" i="47"/>
  <c r="E96" i="47"/>
  <c r="F96" i="47" s="1"/>
  <c r="G72" i="47"/>
  <c r="G40" i="47"/>
  <c r="E38" i="47" l="1"/>
  <c r="F38" i="47" s="1"/>
  <c r="E79" i="47"/>
  <c r="F79" i="47" s="1"/>
  <c r="E106" i="47"/>
  <c r="F107" i="47"/>
  <c r="J117" i="47"/>
  <c r="I117" i="47"/>
  <c r="E89" i="47"/>
  <c r="F89" i="47" s="1"/>
  <c r="E58" i="47"/>
  <c r="F58" i="47" s="1"/>
  <c r="G58" i="47"/>
  <c r="G38" i="47"/>
  <c r="G115" i="47"/>
  <c r="G11" i="34" s="1"/>
  <c r="E115" i="47" l="1"/>
  <c r="F106" i="47"/>
  <c r="G44" i="45"/>
  <c r="I44" i="45"/>
  <c r="J44" i="45"/>
  <c r="E11" i="34" l="1"/>
  <c r="F11" i="34" s="1"/>
  <c r="F115" i="47"/>
  <c r="H117" i="47"/>
  <c r="G72" i="45"/>
  <c r="G70" i="45"/>
  <c r="G151" i="45"/>
  <c r="I151" i="45"/>
  <c r="J151" i="45"/>
  <c r="J75" i="45" l="1"/>
  <c r="J15" i="45" s="1"/>
  <c r="G75" i="45"/>
  <c r="G15" i="45" s="1"/>
  <c r="I75" i="45"/>
  <c r="I15" i="45" s="1"/>
  <c r="G226" i="45"/>
  <c r="G230" i="45"/>
  <c r="I230" i="45"/>
  <c r="J230" i="45"/>
  <c r="G225" i="45"/>
  <c r="G69" i="45" l="1"/>
  <c r="I69" i="45"/>
  <c r="J69" i="45"/>
  <c r="G141" i="45" l="1"/>
  <c r="I141" i="45"/>
  <c r="J141" i="45"/>
  <c r="G65" i="45"/>
  <c r="I65" i="45"/>
  <c r="J65" i="45"/>
  <c r="G135" i="45"/>
  <c r="I135" i="45"/>
  <c r="J135" i="45"/>
  <c r="G61" i="45"/>
  <c r="I61" i="45"/>
  <c r="J61" i="45"/>
  <c r="G57" i="45"/>
  <c r="I57" i="45"/>
  <c r="J57" i="45"/>
  <c r="G123" i="45"/>
  <c r="I123" i="45"/>
  <c r="J123" i="45"/>
  <c r="G129" i="45"/>
  <c r="I129" i="45"/>
  <c r="J129" i="45"/>
  <c r="G52" i="45"/>
  <c r="I52" i="45"/>
  <c r="J52" i="45"/>
  <c r="G117" i="45" l="1"/>
  <c r="I117" i="45"/>
  <c r="J117" i="45"/>
  <c r="G48" i="45"/>
  <c r="I48" i="45"/>
  <c r="J48" i="45"/>
  <c r="G111" i="45"/>
  <c r="I111" i="45"/>
  <c r="J111" i="45"/>
  <c r="G105" i="45" l="1"/>
  <c r="I105" i="45"/>
  <c r="J105" i="45"/>
  <c r="G40" i="45"/>
  <c r="I40" i="45"/>
  <c r="J40" i="45"/>
  <c r="G99" i="45" l="1"/>
  <c r="I99" i="45"/>
  <c r="J99" i="45"/>
  <c r="G36" i="45"/>
  <c r="I36" i="45"/>
  <c r="J36" i="45"/>
  <c r="G93" i="45" l="1"/>
  <c r="I93" i="45"/>
  <c r="J93" i="45"/>
  <c r="G32" i="45"/>
  <c r="I32" i="45"/>
  <c r="J32" i="45"/>
  <c r="G87" i="45" l="1"/>
  <c r="I87" i="45"/>
  <c r="J87" i="45"/>
  <c r="G28" i="45"/>
  <c r="I28" i="45"/>
  <c r="J28" i="45"/>
  <c r="I24" i="45" l="1"/>
  <c r="J24" i="45"/>
  <c r="G24" i="45"/>
  <c r="J45" i="50" l="1"/>
  <c r="I45" i="50"/>
  <c r="H45" i="50"/>
  <c r="H79" i="50" s="1"/>
  <c r="G45" i="50"/>
  <c r="F45" i="50"/>
  <c r="E45" i="50"/>
  <c r="F39" i="50"/>
  <c r="F16" i="50"/>
  <c r="G16" i="50"/>
  <c r="H16" i="50"/>
  <c r="I16" i="50"/>
  <c r="J16" i="50"/>
  <c r="G18" i="50"/>
  <c r="H18" i="50"/>
  <c r="I18" i="50"/>
  <c r="J18" i="50"/>
  <c r="J12" i="50" l="1"/>
  <c r="H12" i="50"/>
  <c r="I12" i="50"/>
  <c r="J59" i="51"/>
  <c r="I59" i="51"/>
  <c r="H59" i="51"/>
  <c r="G59" i="51"/>
  <c r="E59" i="51"/>
  <c r="G60" i="49" l="1"/>
  <c r="G210" i="49" l="1"/>
  <c r="H210" i="49"/>
  <c r="I210" i="49"/>
  <c r="J210" i="49"/>
  <c r="G209" i="49"/>
  <c r="G142" i="49"/>
  <c r="H142" i="49"/>
  <c r="I142" i="49"/>
  <c r="J142" i="49"/>
  <c r="F127" i="49"/>
  <c r="G127" i="49"/>
  <c r="H127" i="49"/>
  <c r="I127" i="49"/>
  <c r="J127" i="49"/>
  <c r="G123" i="49"/>
  <c r="H123" i="49"/>
  <c r="I123" i="49"/>
  <c r="J123" i="49"/>
  <c r="F120" i="49"/>
  <c r="G120" i="49"/>
  <c r="H120" i="49"/>
  <c r="I120" i="49"/>
  <c r="J120" i="49"/>
  <c r="F117" i="49"/>
  <c r="G117" i="49"/>
  <c r="H117" i="49"/>
  <c r="I117" i="49"/>
  <c r="J117" i="49"/>
  <c r="G113" i="49"/>
  <c r="H113" i="49"/>
  <c r="I113" i="49"/>
  <c r="J113" i="49"/>
  <c r="F44" i="49"/>
  <c r="G44" i="49"/>
  <c r="H44" i="49"/>
  <c r="I44" i="49"/>
  <c r="J44" i="49"/>
  <c r="J214" i="49" l="1"/>
  <c r="I214" i="49"/>
  <c r="I154" i="49"/>
  <c r="I207" i="49" s="1"/>
  <c r="I205" i="49" s="1"/>
  <c r="J154" i="49"/>
  <c r="J207" i="49" s="1"/>
  <c r="J205" i="49" s="1"/>
  <c r="G154" i="49"/>
  <c r="H153" i="49"/>
  <c r="K11" i="60" s="1"/>
  <c r="I153" i="49"/>
  <c r="J153" i="49"/>
  <c r="G153" i="49"/>
  <c r="N11" i="60" l="1"/>
  <c r="K17" i="60"/>
  <c r="K23" i="60" s="1"/>
  <c r="G155" i="49"/>
  <c r="H155" i="49"/>
  <c r="J155" i="49"/>
  <c r="I155" i="49"/>
  <c r="F109" i="49" l="1"/>
  <c r="G111" i="49"/>
  <c r="H111" i="49"/>
  <c r="I111" i="49"/>
  <c r="J111" i="49"/>
  <c r="G57" i="49"/>
  <c r="H57" i="49"/>
  <c r="I57" i="49"/>
  <c r="J57" i="49"/>
  <c r="F38" i="49"/>
  <c r="G30" i="49"/>
  <c r="H30" i="49"/>
  <c r="I30" i="49"/>
  <c r="J30" i="49"/>
  <c r="G205" i="49"/>
  <c r="G208" i="49"/>
  <c r="H208" i="49"/>
  <c r="H203" i="49" s="1"/>
  <c r="H213" i="49" s="1"/>
  <c r="O11" i="60" s="1"/>
  <c r="I208" i="49"/>
  <c r="J208" i="49"/>
  <c r="G204" i="49"/>
  <c r="G25" i="49"/>
  <c r="H25" i="49"/>
  <c r="I25" i="49"/>
  <c r="J25" i="49"/>
  <c r="J203" i="49" l="1"/>
  <c r="J213" i="49" s="1"/>
  <c r="J13" i="34" s="1"/>
  <c r="T10" i="34" s="1"/>
  <c r="I203" i="49"/>
  <c r="I213" i="49" s="1"/>
  <c r="I13" i="34" s="1"/>
  <c r="T9" i="34" s="1"/>
  <c r="G203" i="49"/>
  <c r="G213" i="49" s="1"/>
  <c r="G13" i="34" s="1"/>
  <c r="G185" i="49"/>
  <c r="H185" i="49"/>
  <c r="I185" i="49"/>
  <c r="J185" i="49"/>
  <c r="F183" i="49"/>
  <c r="G183" i="49"/>
  <c r="H183" i="49"/>
  <c r="H214" i="49" s="1"/>
  <c r="G180" i="49"/>
  <c r="H180" i="49"/>
  <c r="I180" i="49"/>
  <c r="J180" i="49"/>
  <c r="G169" i="49"/>
  <c r="H169" i="49"/>
  <c r="I169" i="49"/>
  <c r="J169" i="49"/>
  <c r="G165" i="49"/>
  <c r="G161" i="49"/>
  <c r="H161" i="49"/>
  <c r="I161" i="49"/>
  <c r="J161" i="49"/>
  <c r="F151" i="49"/>
  <c r="G151" i="49"/>
  <c r="H151" i="49"/>
  <c r="I151" i="49"/>
  <c r="J151" i="49"/>
  <c r="F149" i="49"/>
  <c r="G149" i="49"/>
  <c r="H149" i="49"/>
  <c r="I149" i="49"/>
  <c r="J149" i="49"/>
  <c r="F146" i="49"/>
  <c r="G146" i="49"/>
  <c r="H146" i="49"/>
  <c r="I146" i="49"/>
  <c r="J146" i="49"/>
  <c r="G138" i="49"/>
  <c r="H138" i="49"/>
  <c r="I138" i="49"/>
  <c r="J138" i="49"/>
  <c r="F136" i="49"/>
  <c r="G136" i="49"/>
  <c r="H136" i="49"/>
  <c r="I136" i="49"/>
  <c r="J136" i="49"/>
  <c r="F129" i="49"/>
  <c r="G129" i="49"/>
  <c r="H129" i="49"/>
  <c r="I129" i="49"/>
  <c r="J129" i="49"/>
  <c r="G134" i="49"/>
  <c r="J106" i="49"/>
  <c r="F106" i="49"/>
  <c r="G106" i="49"/>
  <c r="H106" i="49"/>
  <c r="I106" i="49"/>
  <c r="G103" i="49"/>
  <c r="H103" i="49"/>
  <c r="I103" i="49"/>
  <c r="J103" i="49"/>
  <c r="F100" i="49"/>
  <c r="G100" i="49"/>
  <c r="H100" i="49"/>
  <c r="I100" i="49"/>
  <c r="F98" i="49"/>
  <c r="G98" i="49"/>
  <c r="H98" i="49"/>
  <c r="I98" i="49"/>
  <c r="J98" i="49"/>
  <c r="G96" i="49"/>
  <c r="H96" i="49"/>
  <c r="I96" i="49"/>
  <c r="J96" i="49"/>
  <c r="G92" i="49"/>
  <c r="H92" i="49"/>
  <c r="I92" i="49"/>
  <c r="J92" i="49"/>
  <c r="H42" i="49"/>
  <c r="F42" i="49" s="1"/>
  <c r="I42" i="49"/>
  <c r="J42" i="49"/>
  <c r="G42" i="49"/>
  <c r="G38" i="49"/>
  <c r="H38" i="49"/>
  <c r="I38" i="49"/>
  <c r="J38" i="49"/>
  <c r="G35" i="49"/>
  <c r="H35" i="49"/>
  <c r="I35" i="49"/>
  <c r="I32" i="49" s="1"/>
  <c r="J35" i="49"/>
  <c r="J32" i="49" s="1"/>
  <c r="H32" i="49" l="1"/>
  <c r="J147" i="49"/>
  <c r="I147" i="49"/>
  <c r="H147" i="49"/>
  <c r="I215" i="49"/>
  <c r="J215" i="49"/>
  <c r="H13" i="34"/>
  <c r="T8" i="34" s="1"/>
  <c r="G32" i="49"/>
  <c r="G147" i="49"/>
  <c r="J68" i="50"/>
  <c r="I68" i="50"/>
  <c r="H68" i="50"/>
  <c r="G68" i="50"/>
  <c r="J60" i="50"/>
  <c r="J58" i="50" s="1"/>
  <c r="I60" i="50"/>
  <c r="I58" i="50" s="1"/>
  <c r="H60" i="50"/>
  <c r="H58" i="50" s="1"/>
  <c r="G60" i="50"/>
  <c r="G58" i="50" s="1"/>
  <c r="E60" i="50"/>
  <c r="E58" i="50" s="1"/>
  <c r="E57" i="50"/>
  <c r="E54" i="50"/>
  <c r="J52" i="50"/>
  <c r="I52" i="50"/>
  <c r="H52" i="50"/>
  <c r="G52" i="50"/>
  <c r="G46" i="50" s="1"/>
  <c r="E52" i="50"/>
  <c r="E42" i="50"/>
  <c r="E39" i="50"/>
  <c r="E36" i="50"/>
  <c r="E34" i="50"/>
  <c r="E32" i="50"/>
  <c r="E24" i="50"/>
  <c r="E23" i="50"/>
  <c r="F23" i="50" s="1"/>
  <c r="E22" i="50"/>
  <c r="E20" i="50"/>
  <c r="E18" i="50"/>
  <c r="F18" i="50" s="1"/>
  <c r="E16" i="50"/>
  <c r="E14" i="50"/>
  <c r="E210" i="49"/>
  <c r="F210" i="49" s="1"/>
  <c r="E209" i="49"/>
  <c r="F209" i="49" s="1"/>
  <c r="J202" i="49"/>
  <c r="I202" i="49"/>
  <c r="H202" i="49"/>
  <c r="G202" i="49"/>
  <c r="E198" i="49"/>
  <c r="E192" i="49"/>
  <c r="E188" i="49"/>
  <c r="E185" i="49"/>
  <c r="F185" i="49" s="1"/>
  <c r="E183" i="49"/>
  <c r="E180" i="49"/>
  <c r="F180" i="49" s="1"/>
  <c r="E177" i="49"/>
  <c r="E167" i="49"/>
  <c r="F167" i="49" s="1"/>
  <c r="E166" i="49"/>
  <c r="F166" i="49" s="1"/>
  <c r="E165" i="49"/>
  <c r="F165" i="49" s="1"/>
  <c r="E161" i="49"/>
  <c r="F161" i="49" s="1"/>
  <c r="C161" i="49"/>
  <c r="C155" i="49"/>
  <c r="B155" i="49"/>
  <c r="E154" i="49"/>
  <c r="F154" i="49" s="1"/>
  <c r="E153" i="49"/>
  <c r="F153" i="49" s="1"/>
  <c r="E151" i="49"/>
  <c r="C151" i="49"/>
  <c r="B151" i="49"/>
  <c r="E149" i="49"/>
  <c r="C149" i="49"/>
  <c r="B149" i="49"/>
  <c r="E146" i="49"/>
  <c r="E142" i="49"/>
  <c r="F142" i="49" s="1"/>
  <c r="E138" i="49"/>
  <c r="F138" i="49" s="1"/>
  <c r="E136" i="49"/>
  <c r="E134" i="49"/>
  <c r="F134" i="49" s="1"/>
  <c r="E129" i="49"/>
  <c r="E127" i="49"/>
  <c r="E123" i="49"/>
  <c r="F123" i="49" s="1"/>
  <c r="E120" i="49"/>
  <c r="E117" i="49"/>
  <c r="J115" i="49"/>
  <c r="J93" i="49" s="1"/>
  <c r="I115" i="49"/>
  <c r="I93" i="49" s="1"/>
  <c r="H115" i="49"/>
  <c r="H93" i="49" s="1"/>
  <c r="G115" i="49"/>
  <c r="G93" i="49" s="1"/>
  <c r="E115" i="49"/>
  <c r="E113" i="49"/>
  <c r="F113" i="49" s="1"/>
  <c r="E111" i="49"/>
  <c r="F111" i="49" s="1"/>
  <c r="E106" i="49"/>
  <c r="E103" i="49"/>
  <c r="F103" i="49" s="1"/>
  <c r="E100" i="49"/>
  <c r="E98" i="49"/>
  <c r="E96" i="49"/>
  <c r="F96" i="49" s="1"/>
  <c r="E92" i="49"/>
  <c r="F92" i="49" s="1"/>
  <c r="E86" i="49"/>
  <c r="E72" i="49"/>
  <c r="E58" i="49"/>
  <c r="E57" i="49"/>
  <c r="F57" i="49" s="1"/>
  <c r="E46" i="49"/>
  <c r="F46" i="49" s="1"/>
  <c r="E44" i="49"/>
  <c r="E38" i="49"/>
  <c r="E35" i="49"/>
  <c r="F35" i="49" s="1"/>
  <c r="E30" i="49"/>
  <c r="F30" i="49" s="1"/>
  <c r="E25" i="49"/>
  <c r="F25" i="49" s="1"/>
  <c r="K13" i="34" l="1"/>
  <c r="F169" i="49"/>
  <c r="E74" i="49"/>
  <c r="F74" i="49" s="1"/>
  <c r="F72" i="49"/>
  <c r="E87" i="49"/>
  <c r="F86" i="49"/>
  <c r="F87" i="49" s="1"/>
  <c r="F115" i="49"/>
  <c r="E60" i="49"/>
  <c r="E32" i="49" s="1"/>
  <c r="F32" i="49" s="1"/>
  <c r="F58" i="49"/>
  <c r="E72" i="50"/>
  <c r="F72" i="50" s="1"/>
  <c r="F24" i="50"/>
  <c r="F25" i="50" s="1"/>
  <c r="E93" i="49"/>
  <c r="F93" i="49" s="1"/>
  <c r="E70" i="50"/>
  <c r="E25" i="50"/>
  <c r="E12" i="50" s="1"/>
  <c r="F12" i="50" s="1"/>
  <c r="E46" i="50"/>
  <c r="G12" i="50"/>
  <c r="G70" i="50"/>
  <c r="E155" i="49"/>
  <c r="F155" i="49" s="1"/>
  <c r="E208" i="49"/>
  <c r="F208" i="49" s="1"/>
  <c r="E204" i="49"/>
  <c r="F204" i="49" s="1"/>
  <c r="E169" i="49"/>
  <c r="E205" i="49"/>
  <c r="F205" i="49" s="1"/>
  <c r="F60" i="49" l="1"/>
  <c r="E69" i="50"/>
  <c r="E78" i="50" s="1"/>
  <c r="E14" i="34" s="1"/>
  <c r="F70" i="50"/>
  <c r="E147" i="49"/>
  <c r="F147" i="49" s="1"/>
  <c r="G69" i="50"/>
  <c r="G78" i="50" s="1"/>
  <c r="G14" i="34" s="1"/>
  <c r="O12" i="60"/>
  <c r="E203" i="49"/>
  <c r="E213" i="49" l="1"/>
  <c r="F203" i="49"/>
  <c r="F69" i="50"/>
  <c r="H14" i="34"/>
  <c r="F14" i="34" l="1"/>
  <c r="K14" i="34"/>
  <c r="E13" i="34"/>
  <c r="F13" i="34" s="1"/>
  <c r="H215" i="49"/>
  <c r="F213" i="49"/>
  <c r="F78" i="50"/>
  <c r="I80" i="50"/>
  <c r="H80" i="50"/>
  <c r="J61" i="48"/>
  <c r="J59" i="48" s="1"/>
  <c r="I61" i="48"/>
  <c r="I59" i="48" s="1"/>
  <c r="H61" i="48"/>
  <c r="H59" i="48" s="1"/>
  <c r="G61" i="48"/>
  <c r="G59" i="48" s="1"/>
  <c r="E61" i="48"/>
  <c r="E59" i="48" s="1"/>
  <c r="G168" i="54" l="1"/>
  <c r="G166" i="54" s="1"/>
  <c r="H168" i="54"/>
  <c r="I168" i="54"/>
  <c r="I166" i="54" s="1"/>
  <c r="J168" i="54"/>
  <c r="J166" i="54" s="1"/>
  <c r="G175" i="54"/>
  <c r="G26" i="34" s="1"/>
  <c r="H175" i="54"/>
  <c r="I175" i="54"/>
  <c r="I26" i="34" s="1"/>
  <c r="J175" i="54"/>
  <c r="J26" i="34" s="1"/>
  <c r="G174" i="54"/>
  <c r="G173" i="54"/>
  <c r="G24" i="34" s="1"/>
  <c r="H173" i="54"/>
  <c r="I173" i="54"/>
  <c r="I24" i="34" s="1"/>
  <c r="J173" i="54"/>
  <c r="J24" i="34" s="1"/>
  <c r="G172" i="54"/>
  <c r="H172" i="54"/>
  <c r="I172" i="54"/>
  <c r="J172" i="54"/>
  <c r="G162" i="54"/>
  <c r="G160" i="54" s="1"/>
  <c r="H162" i="54"/>
  <c r="I162" i="54"/>
  <c r="I160" i="54" s="1"/>
  <c r="J162" i="54"/>
  <c r="J160" i="54" s="1"/>
  <c r="G159" i="54"/>
  <c r="G154" i="54" s="1"/>
  <c r="H159" i="54"/>
  <c r="I159" i="54"/>
  <c r="I154" i="54" s="1"/>
  <c r="J159" i="54"/>
  <c r="J154" i="54" s="1"/>
  <c r="G165" i="54"/>
  <c r="G163" i="54" s="1"/>
  <c r="H165" i="54"/>
  <c r="I165" i="54"/>
  <c r="I163" i="54" s="1"/>
  <c r="J165" i="54"/>
  <c r="J163" i="54" s="1"/>
  <c r="G153" i="54"/>
  <c r="G151" i="54"/>
  <c r="G149" i="54"/>
  <c r="G147" i="54"/>
  <c r="H147" i="54"/>
  <c r="I147" i="54"/>
  <c r="J147" i="54"/>
  <c r="G145" i="54"/>
  <c r="H145" i="54"/>
  <c r="I145" i="54"/>
  <c r="J145" i="54"/>
  <c r="G143" i="54"/>
  <c r="H143" i="54"/>
  <c r="I143" i="54"/>
  <c r="J143" i="54"/>
  <c r="G141" i="54"/>
  <c r="H141" i="54"/>
  <c r="I141" i="54"/>
  <c r="J141" i="54"/>
  <c r="G137" i="54"/>
  <c r="H137" i="54"/>
  <c r="I137" i="54"/>
  <c r="J137" i="54"/>
  <c r="G65" i="54"/>
  <c r="H65" i="54"/>
  <c r="I65" i="54"/>
  <c r="J65" i="54"/>
  <c r="G74" i="54"/>
  <c r="H74" i="54"/>
  <c r="I74" i="54"/>
  <c r="J74" i="54"/>
  <c r="G79" i="54"/>
  <c r="I79" i="54"/>
  <c r="J79" i="54"/>
  <c r="G82" i="54"/>
  <c r="H82" i="54"/>
  <c r="I82" i="54"/>
  <c r="J82" i="54"/>
  <c r="G84" i="54"/>
  <c r="H84" i="54"/>
  <c r="I84" i="54"/>
  <c r="J84" i="54"/>
  <c r="G86" i="54"/>
  <c r="H86" i="54"/>
  <c r="I86" i="54"/>
  <c r="J86" i="54"/>
  <c r="G88" i="54"/>
  <c r="H88" i="54"/>
  <c r="I88" i="54"/>
  <c r="J88" i="54"/>
  <c r="J91" i="54"/>
  <c r="G91" i="54"/>
  <c r="H91" i="54"/>
  <c r="I91" i="54"/>
  <c r="G99" i="54"/>
  <c r="H99" i="54"/>
  <c r="I99" i="54"/>
  <c r="J99" i="54"/>
  <c r="G106" i="54"/>
  <c r="G104" i="54" s="1"/>
  <c r="H106" i="54"/>
  <c r="I106" i="54"/>
  <c r="I104" i="54" s="1"/>
  <c r="J106" i="54"/>
  <c r="J104" i="54" s="1"/>
  <c r="G129" i="54"/>
  <c r="G127" i="54" s="1"/>
  <c r="H129" i="54"/>
  <c r="I129" i="54"/>
  <c r="I127" i="54" s="1"/>
  <c r="J129" i="54"/>
  <c r="J127" i="54" s="1"/>
  <c r="E129" i="54"/>
  <c r="E127" i="54" s="1"/>
  <c r="H104" i="54" l="1"/>
  <c r="H163" i="54"/>
  <c r="H26" i="34"/>
  <c r="H24" i="34"/>
  <c r="H127" i="54"/>
  <c r="F127" i="54" s="1"/>
  <c r="F129" i="54"/>
  <c r="H154" i="54"/>
  <c r="H166" i="54"/>
  <c r="H160" i="54"/>
  <c r="J133" i="54"/>
  <c r="G133" i="54"/>
  <c r="I133" i="54"/>
  <c r="G80" i="54"/>
  <c r="H133" i="54"/>
  <c r="J80" i="54"/>
  <c r="I80" i="54"/>
  <c r="H80" i="54"/>
  <c r="G70" i="54"/>
  <c r="G62" i="54" s="1"/>
  <c r="H70" i="54"/>
  <c r="H62" i="54" s="1"/>
  <c r="I70" i="54"/>
  <c r="I62" i="54" s="1"/>
  <c r="J70" i="54"/>
  <c r="J62" i="54" s="1"/>
  <c r="G61" i="54"/>
  <c r="H61" i="54"/>
  <c r="I61" i="54"/>
  <c r="J61" i="54"/>
  <c r="G59" i="54"/>
  <c r="H59" i="54"/>
  <c r="I59" i="54"/>
  <c r="J59" i="54"/>
  <c r="G57" i="54"/>
  <c r="H57" i="54"/>
  <c r="I57" i="54"/>
  <c r="J57" i="54"/>
  <c r="G51" i="54"/>
  <c r="H51" i="54"/>
  <c r="I51" i="54"/>
  <c r="J51" i="54"/>
  <c r="G49" i="54"/>
  <c r="H49" i="54"/>
  <c r="I49" i="54"/>
  <c r="J49" i="54"/>
  <c r="G47" i="54"/>
  <c r="H47" i="54"/>
  <c r="I47" i="54"/>
  <c r="J47" i="54"/>
  <c r="G44" i="54"/>
  <c r="H44" i="54"/>
  <c r="I44" i="54"/>
  <c r="J44" i="54"/>
  <c r="G38" i="54"/>
  <c r="G179" i="54" s="1"/>
  <c r="H38" i="54"/>
  <c r="I38" i="54"/>
  <c r="I179" i="54" s="1"/>
  <c r="J38" i="54"/>
  <c r="J179" i="54" s="1"/>
  <c r="J180" i="54" l="1"/>
  <c r="J30" i="34"/>
  <c r="I30" i="34"/>
  <c r="H179" i="54"/>
  <c r="I34" i="54"/>
  <c r="H34" i="54"/>
  <c r="J34" i="54"/>
  <c r="G34" i="54"/>
  <c r="G61" i="51"/>
  <c r="G62" i="51" s="1"/>
  <c r="G60" i="51" s="1"/>
  <c r="H61" i="51"/>
  <c r="I61" i="51"/>
  <c r="J61" i="51"/>
  <c r="J62" i="51" l="1"/>
  <c r="J60" i="51" s="1"/>
  <c r="J92" i="51"/>
  <c r="I62" i="51"/>
  <c r="I60" i="51" s="1"/>
  <c r="I92" i="51"/>
  <c r="I13" i="60"/>
  <c r="H92" i="51"/>
  <c r="H30" i="34"/>
  <c r="I180" i="54"/>
  <c r="H62" i="51"/>
  <c r="G28" i="54"/>
  <c r="G171" i="54" s="1"/>
  <c r="H28" i="54"/>
  <c r="I28" i="54"/>
  <c r="I171" i="54" s="1"/>
  <c r="J28" i="54"/>
  <c r="J171" i="54" s="1"/>
  <c r="G25" i="54"/>
  <c r="H25" i="54"/>
  <c r="I25" i="54"/>
  <c r="J25" i="54"/>
  <c r="N13" i="60" l="1"/>
  <c r="I17" i="60"/>
  <c r="I22" i="60" s="1"/>
  <c r="H91" i="51"/>
  <c r="H60" i="51"/>
  <c r="H171" i="54"/>
  <c r="I170" i="54"/>
  <c r="I178" i="54" s="1"/>
  <c r="I17" i="34" s="1"/>
  <c r="X9" i="34" s="1"/>
  <c r="I21" i="34"/>
  <c r="J170" i="54"/>
  <c r="J178" i="54" s="1"/>
  <c r="J17" i="34" s="1"/>
  <c r="X10" i="34" s="1"/>
  <c r="J21" i="34"/>
  <c r="B15" i="60"/>
  <c r="N15" i="60" s="1"/>
  <c r="N20" i="60" s="1"/>
  <c r="J29" i="54"/>
  <c r="J23" i="54" s="1"/>
  <c r="H29" i="54"/>
  <c r="H23" i="54" s="1"/>
  <c r="I29" i="54"/>
  <c r="I23" i="54" s="1"/>
  <c r="G29" i="54"/>
  <c r="H100" i="51" l="1"/>
  <c r="H170" i="54"/>
  <c r="H21" i="34"/>
  <c r="B17" i="60"/>
  <c r="G170" i="54"/>
  <c r="G65" i="48"/>
  <c r="G23" i="34" s="1"/>
  <c r="I67" i="48"/>
  <c r="I25" i="34" s="1"/>
  <c r="J67" i="48"/>
  <c r="J25" i="34" s="1"/>
  <c r="G67" i="48"/>
  <c r="E67" i="48"/>
  <c r="F67" i="48" s="1"/>
  <c r="H65" i="48"/>
  <c r="I65" i="48"/>
  <c r="I23" i="34" s="1"/>
  <c r="J65" i="48"/>
  <c r="J23" i="34" s="1"/>
  <c r="G64" i="48"/>
  <c r="H23" i="34" l="1"/>
  <c r="H19" i="34" s="1"/>
  <c r="H29" i="34" s="1"/>
  <c r="C28" i="60"/>
  <c r="C34" i="60" s="1"/>
  <c r="N17" i="60"/>
  <c r="N23" i="60" s="1"/>
  <c r="B22" i="60"/>
  <c r="H178" i="54"/>
  <c r="Q5" i="61" s="1"/>
  <c r="G178" i="54"/>
  <c r="G17" i="34" s="1"/>
  <c r="H35" i="48"/>
  <c r="I35" i="48"/>
  <c r="J35" i="48"/>
  <c r="G35" i="48"/>
  <c r="G44" i="48"/>
  <c r="H44" i="48"/>
  <c r="I44" i="48"/>
  <c r="J44" i="48"/>
  <c r="H17" i="34" l="1"/>
  <c r="X8" i="34" s="1"/>
  <c r="O15" i="60"/>
  <c r="G28" i="48"/>
  <c r="H28" i="48"/>
  <c r="I28" i="48"/>
  <c r="J28" i="48"/>
  <c r="H26" i="48"/>
  <c r="I26" i="48"/>
  <c r="J26" i="48"/>
  <c r="G26" i="48"/>
  <c r="G24" i="48"/>
  <c r="H24" i="48"/>
  <c r="I24" i="48"/>
  <c r="J24" i="48"/>
  <c r="H22" i="48"/>
  <c r="I22" i="48"/>
  <c r="J22" i="48"/>
  <c r="G22" i="48"/>
  <c r="G19" i="48"/>
  <c r="H19" i="48"/>
  <c r="I19" i="48"/>
  <c r="I17" i="48" s="1"/>
  <c r="J19" i="48"/>
  <c r="K17" i="34" l="1"/>
  <c r="J17" i="48"/>
  <c r="H17" i="48"/>
  <c r="G17" i="48"/>
  <c r="I96" i="51"/>
  <c r="J96" i="51"/>
  <c r="G96" i="51"/>
  <c r="G25" i="34" s="1"/>
  <c r="J89" i="51" l="1"/>
  <c r="J86" i="51" s="1"/>
  <c r="I89" i="51"/>
  <c r="I86" i="51" s="1"/>
  <c r="I91" i="51" l="1"/>
  <c r="I19" i="34"/>
  <c r="J91" i="51"/>
  <c r="J19" i="34"/>
  <c r="J29" i="34" s="1"/>
  <c r="G23" i="51"/>
  <c r="H23" i="51"/>
  <c r="I23" i="51"/>
  <c r="J23" i="51"/>
  <c r="E23" i="51"/>
  <c r="I29" i="34" l="1"/>
  <c r="I31" i="34" s="1"/>
  <c r="G56" i="51"/>
  <c r="H56" i="51"/>
  <c r="I56" i="51"/>
  <c r="J56" i="51"/>
  <c r="H32" i="51"/>
  <c r="I32" i="51"/>
  <c r="J32" i="51"/>
  <c r="E32" i="51"/>
  <c r="J31" i="34" l="1"/>
  <c r="G32" i="51"/>
  <c r="G92" i="51"/>
  <c r="G21" i="34" s="1"/>
  <c r="G19" i="34" s="1"/>
  <c r="G29" i="34" s="1"/>
  <c r="G19" i="51"/>
  <c r="H19" i="51"/>
  <c r="I19" i="51"/>
  <c r="J19" i="51"/>
  <c r="G35" i="51"/>
  <c r="H35" i="51"/>
  <c r="I35" i="51"/>
  <c r="J35" i="51"/>
  <c r="E35" i="51"/>
  <c r="G40" i="51"/>
  <c r="H40" i="51"/>
  <c r="I40" i="51"/>
  <c r="J40" i="51"/>
  <c r="G91" i="51" l="1"/>
  <c r="G26" i="51"/>
  <c r="H26" i="51"/>
  <c r="J26" i="51"/>
  <c r="E26" i="51"/>
  <c r="G17" i="51"/>
  <c r="H17" i="51"/>
  <c r="I17" i="51"/>
  <c r="J17" i="51"/>
  <c r="G53" i="51"/>
  <c r="H53" i="51"/>
  <c r="I53" i="51"/>
  <c r="J53" i="51"/>
  <c r="G43" i="51"/>
  <c r="H43" i="51"/>
  <c r="I43" i="51"/>
  <c r="J43" i="51"/>
  <c r="E175" i="54"/>
  <c r="E174" i="54"/>
  <c r="E173" i="54"/>
  <c r="E172" i="54"/>
  <c r="E141" i="54"/>
  <c r="F141" i="54" s="1"/>
  <c r="E99" i="54"/>
  <c r="F99" i="54" s="1"/>
  <c r="E91" i="54"/>
  <c r="F91" i="54" s="1"/>
  <c r="E86" i="54"/>
  <c r="F86" i="54" s="1"/>
  <c r="C86" i="54"/>
  <c r="B86" i="54"/>
  <c r="E79" i="54"/>
  <c r="F79" i="54" s="1"/>
  <c r="E74" i="54"/>
  <c r="F74" i="54" s="1"/>
  <c r="E57" i="54"/>
  <c r="F57" i="54" s="1"/>
  <c r="E44" i="54"/>
  <c r="F44" i="54" s="1"/>
  <c r="E28" i="54"/>
  <c r="E25" i="54"/>
  <c r="F25" i="54" s="1"/>
  <c r="E171" i="54" l="1"/>
  <c r="F171" i="54" s="1"/>
  <c r="F28" i="54"/>
  <c r="F174" i="54"/>
  <c r="F172" i="54"/>
  <c r="E26" i="34"/>
  <c r="F26" i="34" s="1"/>
  <c r="F175" i="54"/>
  <c r="F173" i="54"/>
  <c r="E170" i="54" l="1"/>
  <c r="E178" i="54" s="1"/>
  <c r="H180" i="54" s="1"/>
  <c r="E172" i="52"/>
  <c r="E173" i="52"/>
  <c r="E58" i="52"/>
  <c r="E168" i="52"/>
  <c r="J166" i="52"/>
  <c r="I166" i="52"/>
  <c r="H166" i="52"/>
  <c r="F166" i="52" s="1"/>
  <c r="G166" i="52"/>
  <c r="E159" i="52"/>
  <c r="E130" i="52"/>
  <c r="E65" i="52"/>
  <c r="E166" i="52" l="1"/>
  <c r="E17" i="51"/>
  <c r="E61" i="51"/>
  <c r="E56" i="51"/>
  <c r="E53" i="51"/>
  <c r="E46" i="51"/>
  <c r="E43" i="51"/>
  <c r="E40" i="51"/>
  <c r="E92" i="51" l="1"/>
  <c r="F61" i="51"/>
  <c r="E65" i="48"/>
  <c r="F65" i="48" s="1"/>
  <c r="E64" i="48"/>
  <c r="F64" i="48" s="1"/>
  <c r="J54" i="48"/>
  <c r="I54" i="48"/>
  <c r="H54" i="48"/>
  <c r="G54" i="48"/>
  <c r="E54" i="48"/>
  <c r="E22" i="48"/>
  <c r="F22" i="48" s="1"/>
  <c r="E91" i="51" l="1"/>
  <c r="F91" i="51" s="1"/>
  <c r="F92" i="51"/>
  <c r="F54" i="48"/>
  <c r="E63" i="48"/>
  <c r="G35" i="46" l="1"/>
  <c r="E168" i="54"/>
  <c r="F168" i="54" s="1"/>
  <c r="E165" i="54"/>
  <c r="F165" i="54" s="1"/>
  <c r="E162" i="54"/>
  <c r="F162" i="54" s="1"/>
  <c r="E159" i="54"/>
  <c r="F159" i="54" s="1"/>
  <c r="E156" i="54"/>
  <c r="F156" i="54" s="1"/>
  <c r="E151" i="54"/>
  <c r="F151" i="54" s="1"/>
  <c r="E153" i="54"/>
  <c r="F153" i="54" s="1"/>
  <c r="E149" i="54"/>
  <c r="F149" i="54" s="1"/>
  <c r="E147" i="54"/>
  <c r="F147" i="54" s="1"/>
  <c r="E145" i="54"/>
  <c r="F145" i="54" s="1"/>
  <c r="E143" i="54"/>
  <c r="F143" i="54" s="1"/>
  <c r="E137" i="54"/>
  <c r="F137" i="54" s="1"/>
  <c r="E135" i="54"/>
  <c r="F135" i="54" s="1"/>
  <c r="E163" i="52"/>
  <c r="J161" i="52"/>
  <c r="J147" i="52" s="1"/>
  <c r="I161" i="52"/>
  <c r="I147" i="52" s="1"/>
  <c r="H161" i="52"/>
  <c r="G161" i="52"/>
  <c r="G147" i="52" s="1"/>
  <c r="E161" i="52"/>
  <c r="E142" i="52"/>
  <c r="E132" i="52"/>
  <c r="E127" i="52"/>
  <c r="E109" i="52"/>
  <c r="F109" i="52" s="1"/>
  <c r="E94" i="52"/>
  <c r="J90" i="52"/>
  <c r="I90" i="52"/>
  <c r="H90" i="52"/>
  <c r="G90" i="52"/>
  <c r="E90" i="52"/>
  <c r="E88" i="52"/>
  <c r="E86" i="52"/>
  <c r="E83" i="52"/>
  <c r="J81" i="52"/>
  <c r="J73" i="52" s="1"/>
  <c r="I81" i="52"/>
  <c r="I73" i="52" s="1"/>
  <c r="H81" i="52"/>
  <c r="G81" i="52"/>
  <c r="G73" i="52" s="1"/>
  <c r="E81" i="52"/>
  <c r="E77" i="52"/>
  <c r="E75" i="52"/>
  <c r="J170" i="52"/>
  <c r="I170" i="52"/>
  <c r="G170" i="52"/>
  <c r="J169" i="52"/>
  <c r="I169" i="52"/>
  <c r="H169" i="52"/>
  <c r="G169" i="52"/>
  <c r="J92" i="52"/>
  <c r="I92" i="52"/>
  <c r="H92" i="52"/>
  <c r="G92" i="52"/>
  <c r="E92" i="52"/>
  <c r="J72" i="52"/>
  <c r="I72" i="52"/>
  <c r="H72" i="52"/>
  <c r="G72" i="52"/>
  <c r="E72" i="52"/>
  <c r="J70" i="52"/>
  <c r="I70" i="52"/>
  <c r="H70" i="52"/>
  <c r="G70" i="52"/>
  <c r="E70" i="52"/>
  <c r="J68" i="52"/>
  <c r="I68" i="52"/>
  <c r="H68" i="52"/>
  <c r="G68" i="52"/>
  <c r="E68" i="52"/>
  <c r="J65" i="52"/>
  <c r="I65" i="52"/>
  <c r="H65" i="52"/>
  <c r="F65" i="52" s="1"/>
  <c r="G65" i="52"/>
  <c r="J60" i="52"/>
  <c r="I60" i="52"/>
  <c r="H60" i="52"/>
  <c r="G60" i="52"/>
  <c r="E60" i="52"/>
  <c r="G58" i="52"/>
  <c r="J55" i="52"/>
  <c r="I55" i="52"/>
  <c r="H55" i="52"/>
  <c r="F55" i="52" s="1"/>
  <c r="G55" i="52"/>
  <c r="E55" i="52"/>
  <c r="E53" i="52"/>
  <c r="F53" i="52" s="1"/>
  <c r="J51" i="52"/>
  <c r="I51" i="52"/>
  <c r="H51" i="52"/>
  <c r="G51" i="52"/>
  <c r="E51" i="52"/>
  <c r="H89" i="51"/>
  <c r="G89" i="51"/>
  <c r="G86" i="51" s="1"/>
  <c r="E89" i="51"/>
  <c r="E86" i="51" s="1"/>
  <c r="J84" i="51"/>
  <c r="J82" i="51" s="1"/>
  <c r="I84" i="51"/>
  <c r="I82" i="51" s="1"/>
  <c r="H84" i="51"/>
  <c r="H82" i="51" s="1"/>
  <c r="G84" i="51"/>
  <c r="G82" i="51" s="1"/>
  <c r="E84" i="51"/>
  <c r="E82" i="51" s="1"/>
  <c r="J81" i="51"/>
  <c r="J79" i="51" s="1"/>
  <c r="I81" i="51"/>
  <c r="I79" i="51" s="1"/>
  <c r="H81" i="51"/>
  <c r="H79" i="51" s="1"/>
  <c r="G81" i="51"/>
  <c r="G79" i="51" s="1"/>
  <c r="E81" i="51"/>
  <c r="E79" i="51" s="1"/>
  <c r="J100" i="51"/>
  <c r="G100" i="51"/>
  <c r="G15" i="34" s="1"/>
  <c r="E100" i="51"/>
  <c r="J90" i="51"/>
  <c r="I90" i="51"/>
  <c r="H90" i="51"/>
  <c r="G90" i="51"/>
  <c r="E62" i="51"/>
  <c r="F62" i="51" s="1"/>
  <c r="J46" i="51"/>
  <c r="I46" i="51"/>
  <c r="G46" i="51"/>
  <c r="J37" i="51"/>
  <c r="I37" i="51"/>
  <c r="H37" i="51"/>
  <c r="G37" i="51"/>
  <c r="E37" i="51"/>
  <c r="J28" i="51"/>
  <c r="I28" i="51"/>
  <c r="H28" i="51"/>
  <c r="G28" i="51"/>
  <c r="E28" i="51"/>
  <c r="J21" i="51"/>
  <c r="I21" i="51"/>
  <c r="H21" i="51"/>
  <c r="G21" i="51"/>
  <c r="E21" i="51"/>
  <c r="E19" i="51"/>
  <c r="F51" i="52" l="1"/>
  <c r="J15" i="34"/>
  <c r="V10" i="34" s="1"/>
  <c r="H14" i="51"/>
  <c r="F14" i="51" s="1"/>
  <c r="J84" i="52"/>
  <c r="H73" i="52"/>
  <c r="F73" i="52" s="1"/>
  <c r="H84" i="52"/>
  <c r="F84" i="52" s="1"/>
  <c r="I84" i="52"/>
  <c r="E84" i="52"/>
  <c r="H147" i="52"/>
  <c r="F161" i="52"/>
  <c r="G84" i="52"/>
  <c r="E133" i="54"/>
  <c r="F133" i="54" s="1"/>
  <c r="E154" i="54"/>
  <c r="F154" i="54" s="1"/>
  <c r="E160" i="54"/>
  <c r="F160" i="54" s="1"/>
  <c r="E163" i="54"/>
  <c r="F163" i="54" s="1"/>
  <c r="E166" i="54"/>
  <c r="F166" i="54" s="1"/>
  <c r="E147" i="52"/>
  <c r="E17" i="52"/>
  <c r="G66" i="52"/>
  <c r="G17" i="52"/>
  <c r="H17" i="52"/>
  <c r="J17" i="52"/>
  <c r="I17" i="52"/>
  <c r="E95" i="52"/>
  <c r="H66" i="52"/>
  <c r="G95" i="52"/>
  <c r="H95" i="52"/>
  <c r="I95" i="52"/>
  <c r="J95" i="52"/>
  <c r="E73" i="52"/>
  <c r="I66" i="52"/>
  <c r="J66" i="52"/>
  <c r="E66" i="52"/>
  <c r="G14" i="51"/>
  <c r="I14" i="51"/>
  <c r="J14" i="51"/>
  <c r="E60" i="51"/>
  <c r="F60" i="51" s="1"/>
  <c r="H86" i="51"/>
  <c r="E14" i="51"/>
  <c r="E15" i="34"/>
  <c r="G101" i="51"/>
  <c r="I178" i="52"/>
  <c r="I16" i="34" s="1"/>
  <c r="J178" i="52"/>
  <c r="G178" i="52"/>
  <c r="G16" i="34" s="1"/>
  <c r="E170" i="52"/>
  <c r="O14" i="60"/>
  <c r="I100" i="51"/>
  <c r="I15" i="34" s="1"/>
  <c r="V9" i="34" s="1"/>
  <c r="F147" i="52" l="1"/>
  <c r="E178" i="52"/>
  <c r="E16" i="34" s="1"/>
  <c r="F170" i="52"/>
  <c r="F17" i="52"/>
  <c r="J16" i="34"/>
  <c r="J102" i="51"/>
  <c r="I102" i="51"/>
  <c r="F100" i="51"/>
  <c r="H102" i="51"/>
  <c r="H15" i="34"/>
  <c r="V8" i="34" s="1"/>
  <c r="O13" i="60"/>
  <c r="J180" i="52"/>
  <c r="F178" i="52"/>
  <c r="I180" i="52"/>
  <c r="H180" i="52"/>
  <c r="F95" i="52"/>
  <c r="H16" i="34"/>
  <c r="W8" i="34" s="1"/>
  <c r="E28" i="48"/>
  <c r="F28" i="48" s="1"/>
  <c r="E26" i="48"/>
  <c r="F26" i="48" s="1"/>
  <c r="E24" i="48"/>
  <c r="F24" i="48" s="1"/>
  <c r="J169" i="54"/>
  <c r="I169" i="54"/>
  <c r="H169" i="54"/>
  <c r="G169" i="54"/>
  <c r="E106" i="54"/>
  <c r="E103" i="54"/>
  <c r="F103" i="54" s="1"/>
  <c r="C91" i="54"/>
  <c r="E88" i="54"/>
  <c r="F88" i="54" s="1"/>
  <c r="C88" i="54"/>
  <c r="B88" i="54"/>
  <c r="E84" i="54"/>
  <c r="C84" i="54"/>
  <c r="B84" i="54"/>
  <c r="E82" i="54"/>
  <c r="C82" i="54"/>
  <c r="B82" i="54"/>
  <c r="E70" i="54"/>
  <c r="F70" i="54" s="1"/>
  <c r="E65" i="54"/>
  <c r="E61" i="54"/>
  <c r="F61" i="54" s="1"/>
  <c r="E59" i="54"/>
  <c r="F59" i="54" s="1"/>
  <c r="E51" i="54"/>
  <c r="F51" i="54" s="1"/>
  <c r="E49" i="54"/>
  <c r="F49" i="54" s="1"/>
  <c r="E47" i="54"/>
  <c r="F47" i="54" s="1"/>
  <c r="E38" i="54"/>
  <c r="F38" i="54" s="1"/>
  <c r="J33" i="54"/>
  <c r="I33" i="54"/>
  <c r="H33" i="54"/>
  <c r="G33" i="54"/>
  <c r="E33" i="54"/>
  <c r="E29" i="54"/>
  <c r="F29" i="54" s="1"/>
  <c r="J27" i="54"/>
  <c r="I27" i="54"/>
  <c r="H27" i="54"/>
  <c r="G27" i="54"/>
  <c r="E27" i="54"/>
  <c r="E71" i="48"/>
  <c r="E12" i="34" s="1"/>
  <c r="J63" i="48"/>
  <c r="J71" i="48" s="1"/>
  <c r="I63" i="48"/>
  <c r="I71" i="48" s="1"/>
  <c r="I12" i="34" s="1"/>
  <c r="S9" i="34" s="1"/>
  <c r="H63" i="48"/>
  <c r="J62" i="48"/>
  <c r="I62" i="48"/>
  <c r="H62" i="48"/>
  <c r="G62" i="48"/>
  <c r="J52" i="48"/>
  <c r="J50" i="48" s="1"/>
  <c r="I52" i="48"/>
  <c r="I50" i="48" s="1"/>
  <c r="H52" i="48"/>
  <c r="G52" i="48"/>
  <c r="G50" i="48" s="1"/>
  <c r="E52" i="48"/>
  <c r="E50" i="48" s="1"/>
  <c r="J49" i="48"/>
  <c r="I49" i="48"/>
  <c r="H49" i="48"/>
  <c r="G49" i="48"/>
  <c r="E49" i="48"/>
  <c r="J47" i="48"/>
  <c r="I47" i="48"/>
  <c r="H47" i="48"/>
  <c r="F47" i="48" s="1"/>
  <c r="G47" i="48"/>
  <c r="E47" i="48"/>
  <c r="E44" i="48"/>
  <c r="F44" i="48" s="1"/>
  <c r="J42" i="48"/>
  <c r="I42" i="48"/>
  <c r="H42" i="48"/>
  <c r="G42" i="48"/>
  <c r="E42" i="48"/>
  <c r="J39" i="48"/>
  <c r="I39" i="48"/>
  <c r="H39" i="48"/>
  <c r="G39" i="48"/>
  <c r="E39" i="48"/>
  <c r="J37" i="48"/>
  <c r="I37" i="48"/>
  <c r="H37" i="48"/>
  <c r="F37" i="48" s="1"/>
  <c r="G37" i="48"/>
  <c r="E37" i="48"/>
  <c r="E35" i="48"/>
  <c r="F35" i="48" s="1"/>
  <c r="J33" i="48"/>
  <c r="I33" i="48"/>
  <c r="H33" i="48"/>
  <c r="G33" i="48"/>
  <c r="E33" i="48"/>
  <c r="E19" i="48"/>
  <c r="F33" i="54" l="1"/>
  <c r="E17" i="48"/>
  <c r="F17" i="48" s="1"/>
  <c r="F19" i="48"/>
  <c r="F33" i="48"/>
  <c r="H50" i="48"/>
  <c r="F50" i="48" s="1"/>
  <c r="F52" i="48"/>
  <c r="J12" i="34"/>
  <c r="S10" i="34" s="1"/>
  <c r="J73" i="48"/>
  <c r="F42" i="48"/>
  <c r="F39" i="48"/>
  <c r="F49" i="48"/>
  <c r="H71" i="48"/>
  <c r="F63" i="48"/>
  <c r="F16" i="34"/>
  <c r="K16" i="34"/>
  <c r="F15" i="34"/>
  <c r="K15" i="34"/>
  <c r="G23" i="54"/>
  <c r="E104" i="54"/>
  <c r="F104" i="54" s="1"/>
  <c r="F106" i="54"/>
  <c r="E80" i="54"/>
  <c r="F80" i="54" s="1"/>
  <c r="E31" i="48"/>
  <c r="E40" i="48"/>
  <c r="G40" i="48"/>
  <c r="G31" i="48"/>
  <c r="H31" i="48"/>
  <c r="F31" i="48" s="1"/>
  <c r="I40" i="48"/>
  <c r="J40" i="48"/>
  <c r="H40" i="48"/>
  <c r="I31" i="48"/>
  <c r="J31" i="48"/>
  <c r="E34" i="54"/>
  <c r="F34" i="54" s="1"/>
  <c r="E62" i="54"/>
  <c r="F62" i="54" s="1"/>
  <c r="E23" i="54"/>
  <c r="G63" i="48"/>
  <c r="F170" i="54"/>
  <c r="F23" i="54" l="1"/>
  <c r="H12" i="34"/>
  <c r="H18" i="34" s="1"/>
  <c r="L20" i="34" s="1"/>
  <c r="Q4" i="61"/>
  <c r="Q8" i="61" s="1"/>
  <c r="F40" i="48"/>
  <c r="F12" i="34"/>
  <c r="K12" i="34"/>
  <c r="O10" i="60"/>
  <c r="F71" i="48"/>
  <c r="I73" i="48"/>
  <c r="H73" i="48"/>
  <c r="G71" i="48"/>
  <c r="G12" i="34" s="1"/>
  <c r="E38" i="46"/>
  <c r="F38" i="46" s="1"/>
  <c r="E37" i="46"/>
  <c r="F37" i="46" s="1"/>
  <c r="J34" i="46"/>
  <c r="I34" i="46"/>
  <c r="G34" i="46"/>
  <c r="E34" i="46"/>
  <c r="F34" i="46" s="1"/>
  <c r="J32" i="46"/>
  <c r="I32" i="46"/>
  <c r="G32" i="46"/>
  <c r="E32" i="46"/>
  <c r="J35" i="46"/>
  <c r="I35" i="46"/>
  <c r="E22" i="46" l="1"/>
  <c r="F22" i="46" s="1"/>
  <c r="F32" i="46"/>
  <c r="R4" i="61"/>
  <c r="R5" i="61"/>
  <c r="R3" i="61"/>
  <c r="E36" i="46"/>
  <c r="E17" i="34"/>
  <c r="F17" i="34" s="1"/>
  <c r="F178" i="54"/>
  <c r="G22" i="46"/>
  <c r="I22" i="46"/>
  <c r="J22" i="46"/>
  <c r="E231" i="45"/>
  <c r="E217" i="45"/>
  <c r="E213" i="45"/>
  <c r="E200" i="45"/>
  <c r="E198" i="45"/>
  <c r="E193" i="45"/>
  <c r="E191" i="45"/>
  <c r="F191" i="45" s="1"/>
  <c r="E178" i="45"/>
  <c r="F178" i="45" s="1"/>
  <c r="E169" i="45"/>
  <c r="F169" i="45" s="1"/>
  <c r="E162" i="45"/>
  <c r="F162" i="45" s="1"/>
  <c r="E157" i="45"/>
  <c r="F157" i="45" s="1"/>
  <c r="E153" i="45"/>
  <c r="F153" i="45" s="1"/>
  <c r="C217" i="45"/>
  <c r="E72" i="45"/>
  <c r="F72" i="45" s="1"/>
  <c r="E87" i="45"/>
  <c r="E81" i="45"/>
  <c r="E70" i="45"/>
  <c r="F70" i="45" s="1"/>
  <c r="E150" i="45"/>
  <c r="E147" i="45"/>
  <c r="E141" i="45"/>
  <c r="E135" i="45"/>
  <c r="E129" i="45"/>
  <c r="E123" i="45"/>
  <c r="E117" i="45"/>
  <c r="E111" i="45"/>
  <c r="E105" i="45"/>
  <c r="E99" i="45"/>
  <c r="E93" i="45"/>
  <c r="E69" i="45"/>
  <c r="E65" i="45"/>
  <c r="E61" i="45"/>
  <c r="E57" i="45"/>
  <c r="E50" i="45"/>
  <c r="E46" i="45"/>
  <c r="E44" i="45"/>
  <c r="E36" i="45"/>
  <c r="E38" i="45"/>
  <c r="E30" i="45"/>
  <c r="E26" i="45"/>
  <c r="E45" i="46" l="1"/>
  <c r="F36" i="46"/>
  <c r="R7" i="61"/>
  <c r="E52" i="45"/>
  <c r="E25" i="34"/>
  <c r="F25" i="34" s="1"/>
  <c r="E225" i="45"/>
  <c r="F225" i="45" s="1"/>
  <c r="E215" i="45"/>
  <c r="F217" i="45"/>
  <c r="E40" i="45"/>
  <c r="E32" i="45"/>
  <c r="E179" i="45"/>
  <c r="F179" i="45" s="1"/>
  <c r="E48" i="45"/>
  <c r="E28" i="45"/>
  <c r="E17" i="45"/>
  <c r="F17" i="45" s="1"/>
  <c r="E24" i="45"/>
  <c r="E226" i="45"/>
  <c r="F226" i="45" s="1"/>
  <c r="E75" i="45"/>
  <c r="F75" i="45" s="1"/>
  <c r="E10" i="34" l="1"/>
  <c r="F10" i="34" s="1"/>
  <c r="H47" i="46"/>
  <c r="F45" i="46"/>
  <c r="E23" i="34"/>
  <c r="F23" i="34" s="1"/>
  <c r="E21" i="34"/>
  <c r="F21" i="34" s="1"/>
  <c r="E151" i="45"/>
  <c r="F151" i="45" s="1"/>
  <c r="E20" i="45"/>
  <c r="F20" i="45" s="1"/>
  <c r="E230" i="45"/>
  <c r="F230" i="45" s="1"/>
  <c r="B217" i="45"/>
  <c r="E24" i="34" l="1"/>
  <c r="F24" i="34" s="1"/>
  <c r="E15" i="45"/>
  <c r="F15" i="45" s="1"/>
  <c r="E224" i="45"/>
  <c r="F224" i="45" s="1"/>
  <c r="G224" i="45"/>
  <c r="J224" i="45"/>
  <c r="J235" i="45" s="1"/>
  <c r="J9" i="34" s="1"/>
  <c r="J18" i="34" s="1"/>
  <c r="I224" i="45"/>
  <c r="I235" i="45" s="1"/>
  <c r="I9" i="34" s="1"/>
  <c r="I18" i="34" s="1"/>
  <c r="E9" i="26"/>
  <c r="F9" i="26" s="1"/>
  <c r="C44" i="26"/>
  <c r="D44" i="26" s="1"/>
  <c r="E6" i="26"/>
  <c r="F6" i="26" s="1"/>
  <c r="C8" i="26"/>
  <c r="D8" i="26" s="1"/>
  <c r="E8" i="26"/>
  <c r="F8" i="26" s="1"/>
  <c r="C9" i="26"/>
  <c r="D9" i="26" s="1"/>
  <c r="C10" i="26"/>
  <c r="D10" i="26" s="1"/>
  <c r="E10" i="26"/>
  <c r="F10" i="26" s="1"/>
  <c r="C11" i="26"/>
  <c r="D11" i="26" s="1"/>
  <c r="E11" i="26"/>
  <c r="F11" i="26" s="1"/>
  <c r="C12" i="26"/>
  <c r="D12" i="26" s="1"/>
  <c r="C13" i="26"/>
  <c r="D13" i="26" s="1"/>
  <c r="E14" i="26"/>
  <c r="F14" i="26" s="1"/>
  <c r="C17" i="26"/>
  <c r="D17" i="26" s="1"/>
  <c r="E17" i="26"/>
  <c r="F17" i="26" s="1"/>
  <c r="C18" i="26"/>
  <c r="D18" i="26" s="1"/>
  <c r="E18" i="26"/>
  <c r="F18" i="26" s="1"/>
  <c r="C19" i="26"/>
  <c r="D19" i="26" s="1"/>
  <c r="E19" i="26"/>
  <c r="F19" i="26" s="1"/>
  <c r="E20" i="26"/>
  <c r="F20" i="26" s="1"/>
  <c r="C21" i="26"/>
  <c r="D21" i="26" s="1"/>
  <c r="E21" i="26"/>
  <c r="F21" i="26" s="1"/>
  <c r="C22" i="26"/>
  <c r="D22" i="26" s="1"/>
  <c r="E23" i="26"/>
  <c r="F23" i="26" s="1"/>
  <c r="E24" i="26"/>
  <c r="F24" i="26" s="1"/>
  <c r="C25" i="26"/>
  <c r="D25" i="26" s="1"/>
  <c r="E25" i="26"/>
  <c r="F25" i="26" s="1"/>
  <c r="C26" i="26"/>
  <c r="D26" i="26" s="1"/>
  <c r="E26" i="26"/>
  <c r="F26" i="26" s="1"/>
  <c r="C27" i="26"/>
  <c r="D27" i="26" s="1"/>
  <c r="E27" i="26"/>
  <c r="F27" i="26" s="1"/>
  <c r="D28" i="26"/>
  <c r="E28" i="26"/>
  <c r="F28" i="26" s="1"/>
  <c r="C29" i="26"/>
  <c r="D29" i="26" s="1"/>
  <c r="E29" i="26"/>
  <c r="F29" i="26" s="1"/>
  <c r="C30" i="26"/>
  <c r="D30" i="26" s="1"/>
  <c r="E30" i="26"/>
  <c r="F30" i="26" s="1"/>
  <c r="C31" i="26"/>
  <c r="D31" i="26" s="1"/>
  <c r="E31" i="26"/>
  <c r="F31" i="26" s="1"/>
  <c r="C32" i="26"/>
  <c r="D32" i="26" s="1"/>
  <c r="E32" i="26"/>
  <c r="F32" i="26" s="1"/>
  <c r="C33" i="26"/>
  <c r="D33" i="26" s="1"/>
  <c r="E33" i="26"/>
  <c r="F33" i="26" s="1"/>
  <c r="C34" i="26"/>
  <c r="D34" i="26" s="1"/>
  <c r="E34" i="26"/>
  <c r="F34" i="26" s="1"/>
  <c r="C35" i="26"/>
  <c r="D35" i="26" s="1"/>
  <c r="E35" i="26"/>
  <c r="F35" i="26" s="1"/>
  <c r="A38" i="26"/>
  <c r="A39" i="26"/>
  <c r="A40" i="26"/>
  <c r="A41" i="26"/>
  <c r="A42" i="26"/>
  <c r="A43" i="26"/>
  <c r="A44" i="26"/>
  <c r="A45" i="26"/>
  <c r="A46" i="26"/>
  <c r="A47" i="26"/>
  <c r="B54" i="26"/>
  <c r="C54" i="26"/>
  <c r="H54" i="26" s="1"/>
  <c r="B55" i="26"/>
  <c r="G55" i="26" s="1"/>
  <c r="C55" i="26"/>
  <c r="B56" i="26"/>
  <c r="G56" i="26" s="1"/>
  <c r="C56" i="26"/>
  <c r="H56" i="26" s="1"/>
  <c r="B57" i="26"/>
  <c r="C57" i="26"/>
  <c r="H57" i="26" s="1"/>
  <c r="B58" i="26"/>
  <c r="G58" i="26" s="1"/>
  <c r="C58" i="26"/>
  <c r="H58" i="26" s="1"/>
  <c r="F59" i="26"/>
  <c r="B61" i="26"/>
  <c r="G61" i="26" s="1"/>
  <c r="C61" i="26"/>
  <c r="H61" i="26" s="1"/>
  <c r="B62" i="26"/>
  <c r="C62" i="26"/>
  <c r="H62" i="26" s="1"/>
  <c r="B63" i="26"/>
  <c r="G63" i="26" s="1"/>
  <c r="C63" i="26"/>
  <c r="H63" i="26" s="1"/>
  <c r="B64" i="26"/>
  <c r="G64" i="26" s="1"/>
  <c r="C64" i="26"/>
  <c r="H64" i="26" s="1"/>
  <c r="B65" i="26"/>
  <c r="G65" i="26" s="1"/>
  <c r="C65" i="26"/>
  <c r="H65" i="26" s="1"/>
  <c r="F66" i="26"/>
  <c r="B68" i="26"/>
  <c r="B73" i="26" s="1"/>
  <c r="C68" i="26"/>
  <c r="B69" i="26"/>
  <c r="C69" i="26"/>
  <c r="H69" i="26" s="1"/>
  <c r="B70" i="26"/>
  <c r="G70" i="26" s="1"/>
  <c r="C70" i="26"/>
  <c r="B71" i="26"/>
  <c r="C71" i="26"/>
  <c r="B72" i="26"/>
  <c r="C72" i="26"/>
  <c r="F73" i="26"/>
  <c r="B76" i="26"/>
  <c r="G76" i="26" s="1"/>
  <c r="C76" i="26"/>
  <c r="H76" i="26" s="1"/>
  <c r="B79" i="26"/>
  <c r="C79" i="26"/>
  <c r="B80" i="26"/>
  <c r="C80" i="26"/>
  <c r="B84" i="26"/>
  <c r="C84" i="26"/>
  <c r="B85" i="26"/>
  <c r="C85" i="26"/>
  <c r="B91" i="26"/>
  <c r="C91" i="26"/>
  <c r="F91" i="26"/>
  <c r="B92" i="26"/>
  <c r="C92" i="26"/>
  <c r="F92" i="26"/>
  <c r="B93" i="26"/>
  <c r="C93" i="26"/>
  <c r="F93" i="26"/>
  <c r="B104" i="26"/>
  <c r="J58" i="24"/>
  <c r="K58" i="24"/>
  <c r="F65" i="24"/>
  <c r="G319" i="24"/>
  <c r="J319" i="24"/>
  <c r="K319" i="24"/>
  <c r="H322" i="24"/>
  <c r="F329" i="24"/>
  <c r="G329" i="24"/>
  <c r="H329" i="24"/>
  <c r="J329" i="24"/>
  <c r="K329" i="24"/>
  <c r="F330" i="24"/>
  <c r="G330" i="24"/>
  <c r="H330" i="24"/>
  <c r="G383" i="24"/>
  <c r="H383" i="24"/>
  <c r="I383" i="24"/>
  <c r="J383" i="24"/>
  <c r="K383" i="24"/>
  <c r="C20" i="26"/>
  <c r="D20" i="26" s="1"/>
  <c r="C24" i="26"/>
  <c r="D24" i="26" s="1"/>
  <c r="C23" i="26"/>
  <c r="D23" i="26" s="1"/>
  <c r="E19" i="34" l="1"/>
  <c r="F19" i="34" s="1"/>
  <c r="E235" i="45"/>
  <c r="G235" i="45"/>
  <c r="G9" i="34" s="1"/>
  <c r="E45" i="26"/>
  <c r="E42" i="26"/>
  <c r="E46" i="26"/>
  <c r="G93" i="26"/>
  <c r="G92" i="26"/>
  <c r="H92" i="26"/>
  <c r="E12" i="26"/>
  <c r="F12" i="26" s="1"/>
  <c r="C45" i="26"/>
  <c r="D45" i="26" s="1"/>
  <c r="H91" i="26"/>
  <c r="G91" i="26"/>
  <c r="H93" i="26"/>
  <c r="E71" i="26"/>
  <c r="D54" i="26"/>
  <c r="E68" i="26"/>
  <c r="D56" i="26"/>
  <c r="E56" i="26"/>
  <c r="E54" i="26"/>
  <c r="E58" i="26"/>
  <c r="D71" i="26"/>
  <c r="G54" i="26"/>
  <c r="D68" i="26"/>
  <c r="D73" i="26" s="1"/>
  <c r="E61" i="26"/>
  <c r="D63" i="26"/>
  <c r="C73" i="26"/>
  <c r="E73" i="26" s="1"/>
  <c r="E63" i="26"/>
  <c r="E92" i="26"/>
  <c r="D92" i="26"/>
  <c r="B86" i="26"/>
  <c r="D85" i="26"/>
  <c r="E85" i="26"/>
  <c r="C86" i="26"/>
  <c r="E84" i="26"/>
  <c r="C43" i="26"/>
  <c r="D43" i="26" s="1"/>
  <c r="D84" i="26"/>
  <c r="C42" i="26"/>
  <c r="D42" i="26" s="1"/>
  <c r="C81" i="26"/>
  <c r="D79" i="26"/>
  <c r="E79" i="26"/>
  <c r="B81" i="26"/>
  <c r="E80" i="26"/>
  <c r="D80" i="26"/>
  <c r="D93" i="26"/>
  <c r="E93" i="26"/>
  <c r="D76" i="26"/>
  <c r="E76" i="26"/>
  <c r="C16" i="26"/>
  <c r="D16" i="26" s="1"/>
  <c r="E16" i="26"/>
  <c r="F16" i="26" s="1"/>
  <c r="E91" i="26"/>
  <c r="D91" i="26"/>
  <c r="D58" i="26"/>
  <c r="D61" i="26"/>
  <c r="E64" i="26"/>
  <c r="D64" i="26"/>
  <c r="C7" i="26"/>
  <c r="D7" i="26" s="1"/>
  <c r="D55" i="26"/>
  <c r="D57" i="26"/>
  <c r="G57" i="26"/>
  <c r="E57" i="26"/>
  <c r="G69" i="26"/>
  <c r="D69" i="26"/>
  <c r="E69" i="26"/>
  <c r="G62" i="26"/>
  <c r="E62" i="26"/>
  <c r="D62" i="26"/>
  <c r="B66" i="26"/>
  <c r="G66" i="26" s="1"/>
  <c r="D72" i="26"/>
  <c r="E72" i="26"/>
  <c r="H70" i="26"/>
  <c r="D70" i="26"/>
  <c r="E70" i="26"/>
  <c r="B59" i="26"/>
  <c r="G59" i="26" s="1"/>
  <c r="H55" i="26"/>
  <c r="E55" i="26"/>
  <c r="C59" i="26"/>
  <c r="E13" i="26"/>
  <c r="F13" i="26" s="1"/>
  <c r="E22" i="26"/>
  <c r="F22" i="26" s="1"/>
  <c r="E7" i="26"/>
  <c r="C66" i="26"/>
  <c r="H66" i="26" s="1"/>
  <c r="E65" i="26"/>
  <c r="D65" i="26"/>
  <c r="I237" i="45" l="1"/>
  <c r="H237" i="45"/>
  <c r="F235" i="45"/>
  <c r="J237" i="45"/>
  <c r="E9" i="34"/>
  <c r="F9" i="34" s="1"/>
  <c r="E29" i="34"/>
  <c r="H31" i="34" s="1"/>
  <c r="E40" i="26"/>
  <c r="C46" i="26"/>
  <c r="D46" i="26" s="1"/>
  <c r="C40" i="26"/>
  <c r="D40" i="26" s="1"/>
  <c r="C15" i="26"/>
  <c r="D15" i="26" s="1"/>
  <c r="D59" i="26"/>
  <c r="E15" i="26"/>
  <c r="F15" i="26" s="1"/>
  <c r="E86" i="26"/>
  <c r="D86" i="26"/>
  <c r="E43" i="26"/>
  <c r="E81" i="26"/>
  <c r="D81" i="26"/>
  <c r="D66" i="26"/>
  <c r="B88" i="26"/>
  <c r="C88" i="26"/>
  <c r="H59" i="26"/>
  <c r="E59" i="26"/>
  <c r="E66" i="26"/>
  <c r="E5" i="26"/>
  <c r="F5" i="26" s="1"/>
  <c r="F7" i="26"/>
  <c r="C6" i="26"/>
  <c r="E44" i="26"/>
  <c r="F29" i="34" l="1"/>
  <c r="E88" i="26"/>
  <c r="D88" i="26"/>
  <c r="C38" i="26"/>
  <c r="D38" i="26" s="1"/>
  <c r="E36" i="26"/>
  <c r="F36" i="26" s="1"/>
  <c r="E39" i="26"/>
  <c r="C39" i="26"/>
  <c r="D39" i="26" s="1"/>
  <c r="D6" i="26"/>
  <c r="C5" i="26"/>
  <c r="C41" i="26"/>
  <c r="D41" i="26" s="1"/>
  <c r="E41" i="26"/>
  <c r="C47" i="26"/>
  <c r="D47" i="26" s="1"/>
  <c r="E47" i="26"/>
  <c r="E38" i="26" l="1"/>
  <c r="E48" i="26" s="1"/>
  <c r="D5" i="26"/>
  <c r="C36" i="26"/>
  <c r="D36" i="26" s="1"/>
  <c r="D48" i="26"/>
  <c r="C48" i="26"/>
  <c r="F45" i="26" l="1"/>
  <c r="F46" i="26"/>
  <c r="F39" i="26"/>
  <c r="F40" i="26"/>
  <c r="F42" i="26"/>
  <c r="F43" i="26"/>
  <c r="F38" i="26"/>
  <c r="F44" i="26"/>
  <c r="F41" i="26"/>
  <c r="F47" i="26"/>
  <c r="F48" i="26" l="1"/>
  <c r="E236" i="45"/>
  <c r="E30" i="34" s="1"/>
  <c r="F30" i="34" s="1"/>
  <c r="E194" i="45"/>
  <c r="H194" i="45"/>
  <c r="F194" i="45" s="1"/>
  <c r="I194" i="45"/>
  <c r="J236" i="45"/>
  <c r="H236" i="45"/>
  <c r="G30" i="34"/>
  <c r="I236" i="45"/>
  <c r="J194" i="45"/>
  <c r="G194" i="4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Tatjana</author>
    <author/>
  </authors>
  <commentList>
    <comment ref="G46" authorId="0" shapeId="0" xr:uid="{00000000-0006-0000-1A00-000001000000}">
      <text>
        <r>
          <rPr>
            <b/>
            <sz val="9"/>
            <color indexed="81"/>
            <rFont val="Tahoma"/>
            <family val="2"/>
            <charset val="186"/>
          </rPr>
          <t>Tatjana:</t>
        </r>
        <r>
          <rPr>
            <sz val="9"/>
            <color indexed="81"/>
            <rFont val="Tahoma"/>
            <family val="2"/>
            <charset val="186"/>
          </rPr>
          <t xml:space="preserve">
šv. Sk - eilių reg. Sist.</t>
        </r>
      </text>
    </comment>
    <comment ref="G50" authorId="0" shapeId="0" xr:uid="{00000000-0006-0000-1A00-000002000000}">
      <text>
        <r>
          <rPr>
            <b/>
            <sz val="9"/>
            <color indexed="81"/>
            <rFont val="Tahoma"/>
            <family val="2"/>
            <charset val="186"/>
          </rPr>
          <t>Tatjana:</t>
        </r>
        <r>
          <rPr>
            <sz val="9"/>
            <color indexed="81"/>
            <rFont val="Tahoma"/>
            <family val="2"/>
            <charset val="186"/>
          </rPr>
          <t xml:space="preserve">
veiklos atask (2), planai (0:SVP-2014, SPP - atskirai); vertinimo at. (2)</t>
        </r>
      </text>
    </comment>
    <comment ref="G56" authorId="0" shapeId="0" xr:uid="{00000000-0006-0000-1A00-000003000000}">
      <text>
        <r>
          <rPr>
            <b/>
            <sz val="9"/>
            <color indexed="81"/>
            <rFont val="Tahoma"/>
            <family val="2"/>
            <charset val="186"/>
          </rPr>
          <t>Tatjana:</t>
        </r>
        <r>
          <rPr>
            <sz val="9"/>
            <color indexed="81"/>
            <rFont val="Tahoma"/>
            <family val="2"/>
            <charset val="186"/>
          </rPr>
          <t xml:space="preserve">
savivaldybės žinios, v každyj dom, kas yra kas Lietuvoje, telefono knyga, veidas ir kt.</t>
        </r>
      </text>
    </comment>
    <comment ref="G57" authorId="0" shapeId="0" xr:uid="{00000000-0006-0000-1A00-000004000000}">
      <text>
        <r>
          <rPr>
            <b/>
            <sz val="9"/>
            <color indexed="81"/>
            <rFont val="Tahoma"/>
            <family val="2"/>
            <charset val="186"/>
          </rPr>
          <t>Tatjana:</t>
        </r>
        <r>
          <rPr>
            <sz val="9"/>
            <color indexed="81"/>
            <rFont val="Tahoma"/>
            <family val="2"/>
            <charset val="186"/>
          </rPr>
          <t xml:space="preserve">
transteleservis, sugardas, Aukštaitijos gidas</t>
        </r>
      </text>
    </comment>
    <comment ref="A275" authorId="0" shapeId="0" xr:uid="{00000000-0006-0000-1A00-000005000000}">
      <text>
        <r>
          <rPr>
            <b/>
            <sz val="9"/>
            <color indexed="81"/>
            <rFont val="Tahoma"/>
            <family val="2"/>
            <charset val="186"/>
          </rPr>
          <t>Tatjana:</t>
        </r>
        <r>
          <rPr>
            <sz val="9"/>
            <color indexed="81"/>
            <rFont val="Tahoma"/>
            <family val="2"/>
            <charset val="186"/>
          </rPr>
          <t xml:space="preserve">
pagal 8 ir 10 pr.</t>
        </r>
      </text>
    </comment>
    <comment ref="F275" authorId="0" shapeId="0" xr:uid="{00000000-0006-0000-1A00-000006000000}">
      <text>
        <r>
          <rPr>
            <b/>
            <sz val="9"/>
            <color indexed="81"/>
            <rFont val="Tahoma"/>
            <family val="2"/>
            <charset val="186"/>
          </rPr>
          <t>8 pr. - 1; 10 pr. - 16</t>
        </r>
        <r>
          <rPr>
            <sz val="9"/>
            <color indexed="81"/>
            <rFont val="Tahoma"/>
            <family val="2"/>
            <charset val="186"/>
          </rPr>
          <t xml:space="preserve">
</t>
        </r>
      </text>
    </comment>
    <comment ref="G275" authorId="0" shapeId="0" xr:uid="{00000000-0006-0000-1A00-000007000000}">
      <text>
        <r>
          <rPr>
            <b/>
            <sz val="9"/>
            <color indexed="81"/>
            <rFont val="Tahoma"/>
            <family val="2"/>
            <charset val="186"/>
          </rPr>
          <t>Tatjana:</t>
        </r>
        <r>
          <rPr>
            <sz val="9"/>
            <color indexed="81"/>
            <rFont val="Tahoma"/>
            <family val="2"/>
            <charset val="186"/>
          </rPr>
          <t xml:space="preserve">
8 pr. - 1; 10 pr. - 13</t>
        </r>
      </text>
    </comment>
    <comment ref="F309" authorId="0" shapeId="0" xr:uid="{00000000-0006-0000-1A00-000008000000}">
      <text>
        <r>
          <rPr>
            <b/>
            <sz val="9"/>
            <color indexed="81"/>
            <rFont val="Tahoma"/>
            <family val="2"/>
            <charset val="186"/>
          </rPr>
          <t>Statybininkų, Taikos/Draugystės, iš KD</t>
        </r>
      </text>
    </comment>
    <comment ref="A315" authorId="1" shapeId="0" xr:uid="{00000000-0006-0000-1A00-000009000000}">
      <text>
        <r>
          <rPr>
            <sz val="10"/>
            <rFont val="Arial"/>
            <family val="2"/>
            <charset val="186"/>
          </rPr>
          <t>Rekreacijos paslaugų centras</t>
        </r>
      </text>
    </comment>
    <comment ref="G321" authorId="0" shapeId="0" xr:uid="{00000000-0006-0000-1A00-00000A000000}">
      <text>
        <r>
          <rPr>
            <b/>
            <sz val="9"/>
            <color indexed="81"/>
            <rFont val="Tahoma"/>
            <family val="2"/>
            <charset val="186"/>
          </rPr>
          <t>Tatjana:</t>
        </r>
        <r>
          <rPr>
            <sz val="9"/>
            <color indexed="81"/>
            <rFont val="Tahoma"/>
            <family val="2"/>
            <charset val="186"/>
          </rPr>
          <t xml:space="preserve">
prie G.V (1600), prie Parko g. 21 (1350), prie Santarvės a. (200)</t>
        </r>
      </text>
    </comment>
    <comment ref="A328" authorId="0" shapeId="0" xr:uid="{00000000-0006-0000-1A00-00000B000000}">
      <text>
        <r>
          <rPr>
            <b/>
            <sz val="9"/>
            <color indexed="81"/>
            <rFont val="Tahoma"/>
            <family val="2"/>
            <charset val="186"/>
          </rPr>
          <t>Tatjana:</t>
        </r>
        <r>
          <rPr>
            <sz val="9"/>
            <color indexed="81"/>
            <rFont val="Tahoma"/>
            <family val="2"/>
            <charset val="186"/>
          </rPr>
          <t xml:space="preserve">
visi pg 2 tikslą</t>
        </r>
      </text>
    </comment>
    <comment ref="H328" authorId="0" shapeId="0" xr:uid="{00000000-0006-0000-1A00-00000C000000}">
      <text>
        <r>
          <rPr>
            <b/>
            <sz val="9"/>
            <color indexed="81"/>
            <rFont val="Tahoma"/>
            <family val="2"/>
            <charset val="186"/>
          </rPr>
          <t>Tatjana:</t>
        </r>
        <r>
          <rPr>
            <sz val="9"/>
            <color indexed="81"/>
            <rFont val="Tahoma"/>
            <family val="2"/>
            <charset val="186"/>
          </rPr>
          <t xml:space="preserve">
šild. Sist., IV et, 4 VIP, Kult. C., Enervizija</t>
        </r>
      </text>
    </comment>
    <comment ref="H344" authorId="0" shapeId="0" xr:uid="{00000000-0006-0000-1A00-00000D000000}">
      <text>
        <r>
          <rPr>
            <b/>
            <sz val="9"/>
            <color indexed="81"/>
            <rFont val="Tahoma"/>
            <family val="2"/>
            <charset val="186"/>
          </rPr>
          <t>Tatjana:</t>
        </r>
        <r>
          <rPr>
            <sz val="9"/>
            <color indexed="81"/>
            <rFont val="Tahoma"/>
            <family val="2"/>
            <charset val="186"/>
          </rPr>
          <t xml:space="preserve">
1 ligoninė, 3 mokyklos, 1 menų m.</t>
        </r>
      </text>
    </comment>
    <comment ref="F386" authorId="0" shapeId="0" xr:uid="{00000000-0006-0000-1A00-00000E000000}">
      <text>
        <r>
          <rPr>
            <sz val="9"/>
            <color indexed="81"/>
            <rFont val="Tahoma"/>
            <family val="2"/>
            <charset val="186"/>
          </rPr>
          <t>VšĮ(IAE regiono verslo inkubatorius, Euroregiono Ežerų kraštas derektorrato biuras, IAE regiono plėtros agentūra)</t>
        </r>
      </text>
    </comment>
    <comment ref="F405" authorId="0" shapeId="0" xr:uid="{00000000-0006-0000-1A00-00000F000000}">
      <text>
        <r>
          <rPr>
            <b/>
            <sz val="9"/>
            <color indexed="81"/>
            <rFont val="Tahoma"/>
            <family val="2"/>
            <charset val="186"/>
          </rPr>
          <t>Tatjana:</t>
        </r>
        <r>
          <rPr>
            <sz val="9"/>
            <color indexed="81"/>
            <rFont val="Tahoma"/>
            <family val="2"/>
            <charset val="186"/>
          </rPr>
          <t xml:space="preserve">
2 inv. Projektai ir 4 auditai</t>
        </r>
      </text>
    </comment>
    <comment ref="H405" authorId="0" shapeId="0" xr:uid="{00000000-0006-0000-1A00-000010000000}">
      <text>
        <r>
          <rPr>
            <b/>
            <sz val="9"/>
            <color indexed="81"/>
            <rFont val="Tahoma"/>
            <family val="2"/>
            <charset val="186"/>
          </rPr>
          <t>Tatjana:</t>
        </r>
        <r>
          <rPr>
            <sz val="9"/>
            <color indexed="81"/>
            <rFont val="Tahoma"/>
            <family val="2"/>
            <charset val="186"/>
          </rPr>
          <t xml:space="preserve">
SMART PARKO plėtros planas, darnaus judumo planas, 6 IP pagal priemones</t>
        </r>
      </text>
    </comment>
    <comment ref="H412" authorId="0" shapeId="0" xr:uid="{00000000-0006-0000-1A00-000011000000}">
      <text>
        <r>
          <rPr>
            <b/>
            <sz val="9"/>
            <color indexed="81"/>
            <rFont val="Tahoma"/>
            <family val="2"/>
            <charset val="186"/>
          </rPr>
          <t>Tatjana:</t>
        </r>
        <r>
          <rPr>
            <sz val="9"/>
            <color indexed="81"/>
            <rFont val="Tahoma"/>
            <family val="2"/>
            <charset val="186"/>
          </rPr>
          <t xml:space="preserve">
rangos ir TP sut.</t>
        </r>
      </text>
    </comment>
    <comment ref="J422" authorId="0" shapeId="0" xr:uid="{00000000-0006-0000-1A00-000012000000}">
      <text>
        <r>
          <rPr>
            <b/>
            <sz val="9"/>
            <color indexed="81"/>
            <rFont val="Tahoma"/>
            <family val="2"/>
            <charset val="186"/>
          </rPr>
          <t>Tatjana:</t>
        </r>
        <r>
          <rPr>
            <sz val="9"/>
            <color indexed="81"/>
            <rFont val="Tahoma"/>
            <family val="2"/>
            <charset val="186"/>
          </rPr>
          <t xml:space="preserve">
irklavimo bazė</t>
        </r>
      </text>
    </comment>
    <comment ref="K422" authorId="0" shapeId="0" xr:uid="{00000000-0006-0000-1A00-000013000000}">
      <text>
        <r>
          <rPr>
            <b/>
            <sz val="9"/>
            <color indexed="81"/>
            <rFont val="Tahoma"/>
            <family val="2"/>
            <charset val="186"/>
          </rPr>
          <t>Tatjana:</t>
        </r>
        <r>
          <rPr>
            <sz val="9"/>
            <color indexed="81"/>
            <rFont val="Tahoma"/>
            <family val="2"/>
            <charset val="186"/>
          </rPr>
          <t xml:space="preserve">
irklavimo bazė</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<sst xmlns="http://schemas.openxmlformats.org/spreadsheetml/2006/main" count="7822" uniqueCount="3916">
  <si>
    <t>P-05-01-01-02</t>
  </si>
  <si>
    <t>P-10-03-02-02</t>
  </si>
  <si>
    <t>Transporto lengvatomis pasinaudotų keleivių skaičius</t>
  </si>
  <si>
    <t>P-10-01-01-01</t>
  </si>
  <si>
    <t>žm. skaičius</t>
  </si>
  <si>
    <t>70 000</t>
  </si>
  <si>
    <t>30</t>
  </si>
  <si>
    <t>Vykdomų sveikatinimo programų skaičius</t>
  </si>
  <si>
    <t>P-07-01-01-01</t>
  </si>
  <si>
    <t>01.02. Uždavinys. Remti sveikatos priežiūros paslaugų teikimą nustatytų kategorijų žmonėms</t>
  </si>
  <si>
    <t>Atliktų irklavimo bazės įrengimo Visagino ežero pakrantėje darbų procentas</t>
  </si>
  <si>
    <t>20</t>
  </si>
  <si>
    <t>Miestų partnerių skaičius</t>
  </si>
  <si>
    <t>P-01-02-04-01</t>
  </si>
  <si>
    <t>P-07-01-01-02</t>
  </si>
  <si>
    <t>P-07-01-01-03</t>
  </si>
  <si>
    <t>Įsteigtų Nuolatinių komisijų neįgaliųjų klausimams spręsti skaičius</t>
  </si>
  <si>
    <t>P-07-01-01-05</t>
  </si>
  <si>
    <t>P-07-01-01-06</t>
  </si>
  <si>
    <t>Priimtų tarybos sprendimų ribojančių alkoholio vartojimą masinių renginių metu skaičius</t>
  </si>
  <si>
    <t>P-07-01-01-07</t>
  </si>
  <si>
    <t>04 Visagino savivaldybės gyventojų kultūrinio aktyvumo skatinimo ir identiteto stiprinimo programa</t>
  </si>
  <si>
    <t>P-01-01-05-02</t>
  </si>
  <si>
    <t>Mokymuose korupcijos prevencijos srityje dalyvaujančių asmenų skaičius</t>
  </si>
  <si>
    <t>asmenų skaičius</t>
  </si>
  <si>
    <t>Asmenų skaičius, dalyvaujančių darbo saugos mokymose</t>
  </si>
  <si>
    <t>P-07-01-03-02</t>
  </si>
  <si>
    <t>P-07-01-03-03</t>
  </si>
  <si>
    <t>* interneto svetainių, kuriuose skelbiama informacija apie savivaldybės veiklą, skaičius</t>
  </si>
  <si>
    <t xml:space="preserve">Išvalytas pagrindinis kolektorius (III mkr.) </t>
  </si>
  <si>
    <t>Vaikų teisių pažeidimų prevencijos įgyvendinimo priemonių skaičius</t>
  </si>
  <si>
    <t>P-06-02-01-02</t>
  </si>
  <si>
    <t>P-03-01-02-01</t>
  </si>
  <si>
    <t>Įvykdytų programos priemonių santykis nuo visų planuotų vykdyti</t>
  </si>
  <si>
    <t>P-01-01-05-01</t>
  </si>
  <si>
    <t xml:space="preserve">proc. </t>
  </si>
  <si>
    <t>R-08-01-01</t>
  </si>
  <si>
    <t>Įrengtų liftų skaičius</t>
  </si>
  <si>
    <t>02 strateginis tikslas. Gerinti socialinę aplinką teikiant kokybiškas paslaugas</t>
  </si>
  <si>
    <t>Miesto vaizdo stebėjimo kamerų tinklo funkcionavimo užtikrinimas</t>
  </si>
  <si>
    <t>P-10-02-03-02</t>
  </si>
  <si>
    <t>P-10-02-04-03</t>
  </si>
  <si>
    <t>Įrengtų lauko vasaros estradų skaičius</t>
  </si>
  <si>
    <t>Parengtų (pakoreguotų) daugiabučių namų investicijų planų skaičius</t>
  </si>
  <si>
    <t>Parengtų daugiabučių namų energinio naudingumo sertifikatų skaičius</t>
  </si>
  <si>
    <t>Įrengtų paviršinio vandens nuotekų valymo įrenginių skaičius</t>
  </si>
  <si>
    <t>P-08-01-01-06</t>
  </si>
  <si>
    <t>01.02. Uždavinys. Gerinti tiekiamo geriamojo vandens kokybę ir nuotekų surinkimą bei valymą</t>
  </si>
  <si>
    <t>P-08-01-02-01</t>
  </si>
  <si>
    <t>km</t>
  </si>
  <si>
    <t>P-10-02-01-05</t>
  </si>
  <si>
    <t>Jaunimo savarankiškos veiklos skatinimo srityje organizuotų akcijų ir renginių skaičius</t>
  </si>
  <si>
    <t>P-05-02-01-04</t>
  </si>
  <si>
    <t>06 Visagino savivaldybės socialinės paramos įgyvendinimo programa</t>
  </si>
  <si>
    <t>01 tikslas. Teikti socialinę (finansinę) paramą Visagino savivaldybės gyventojams bei skatinti socialinių paslaugų plėtrą bendruomenėje</t>
  </si>
  <si>
    <t>Suteiktos paramos dalis</t>
  </si>
  <si>
    <t>R-06-01-01</t>
  </si>
  <si>
    <t>Įdiegtų priemonių, skirtų paslaugų ir (ar) aptarnavimo kokybei gerinti, skaičius</t>
  </si>
  <si>
    <t>R-04-02-02</t>
  </si>
  <si>
    <t>Visagino miesto centralizuoto šildymo sistema pertvarkyta į uždarą</t>
  </si>
  <si>
    <t>R-10-02-05</t>
  </si>
  <si>
    <t>P-09-02-01-02</t>
  </si>
  <si>
    <t>* informacinių leidinių, kuriuose skelbiama informacija apie savivaldybės veiklą, skaičius</t>
  </si>
  <si>
    <t>01.03. Uždavinys. Vykdyti triukšmo prevenciją</t>
  </si>
  <si>
    <t>P-08-01-03-01</t>
  </si>
  <si>
    <t xml:space="preserve">taip </t>
  </si>
  <si>
    <t xml:space="preserve">SB </t>
  </si>
  <si>
    <t>Visagino miesto kelių ženklinimas (KD)</t>
  </si>
  <si>
    <t>Visagino miesto kelių duobių remontas (KD)</t>
  </si>
  <si>
    <t>Paviršinių nuotekų nuotakyno priežiūra ir einamasis remontas</t>
  </si>
  <si>
    <t>Parengtų paviršinio (lietaus) vandens nuotekų valymo įrenginių darbo projektų skaičius</t>
  </si>
  <si>
    <t>Įsisavintos Valstybės investicijų programos vykdomų projektų lėšos (10 programoje)</t>
  </si>
  <si>
    <t>01.03. Uždavinys. Užtikrinti efektyvų savivaldybei nuosavybės teise priklausančio nekilnojamojo turto naudojimą, įmonių bei įstaigų valdymą</t>
  </si>
  <si>
    <t>P-01-01-03-01</t>
  </si>
  <si>
    <t>Privatizuotų objektų skaičius</t>
  </si>
  <si>
    <t>Kelių priežiūros ir plėtros programos lėšų panaudojimas</t>
  </si>
  <si>
    <t>- pagal  pagrindinio ugdymo programą</t>
  </si>
  <si>
    <t>R-02-01-04</t>
  </si>
  <si>
    <t>03.02. Uždavinys. Vykdyti kapinių priežiūros darbus</t>
  </si>
  <si>
    <t>P-09-03-02-04</t>
  </si>
  <si>
    <t>Įrengtų informacinių lauko stendų skaičius</t>
  </si>
  <si>
    <t>Nusikalstamumo lygis (100 000 gyventojų tenka užregistruotų nusikalstamų veikų)</t>
  </si>
  <si>
    <t>E-02-05</t>
  </si>
  <si>
    <t>mažiau nei 2000</t>
  </si>
  <si>
    <t>mažiau nei 1900</t>
  </si>
  <si>
    <t>P-10-01-01-07</t>
  </si>
  <si>
    <t>Paremtų vietos iniciatyvų projektų skaičius</t>
  </si>
  <si>
    <t>Kapinių kvartalų paruošimas laidojimams</t>
  </si>
  <si>
    <t>Įrengtų naujų kapinių skaičius</t>
  </si>
  <si>
    <t>Paruoštų kvartalų laidojimui</t>
  </si>
  <si>
    <t>P-10-03-02-04</t>
  </si>
  <si>
    <t>Naujai įrengti nuotekų tinklai</t>
  </si>
  <si>
    <r>
      <t>2015 m. patvirtintas planas (savivaldybės</t>
    </r>
    <r>
      <rPr>
        <b/>
        <sz val="12"/>
        <color indexed="10"/>
        <rFont val="Times Bold Italic"/>
        <family val="1"/>
      </rPr>
      <t xml:space="preserve"> biudžeto lėšos savarankiškoms funkcijoms vykdyti</t>
    </r>
    <r>
      <rPr>
        <b/>
        <sz val="12"/>
        <rFont val="Times Bold Italic"/>
        <family val="1"/>
      </rPr>
      <t>)</t>
    </r>
  </si>
  <si>
    <t>PASKOLA</t>
  </si>
  <si>
    <t>Kultūrinių renginių ir Visagino miesto šventės organizavimas</t>
  </si>
  <si>
    <t>Paviršinių nuotekų nuotakyno sistemos tvarkymo ir remonto priemonės</t>
  </si>
  <si>
    <t>Parengtų investicinių projektų ir kitų būtinų dokumentų projektų finansavimui gauti</t>
  </si>
  <si>
    <t>P-04-01-01-03</t>
  </si>
  <si>
    <t>R-02-02-01</t>
  </si>
  <si>
    <t>P-02-02-01-01</t>
  </si>
  <si>
    <t>Įrengtų paviršinio vandens nuotekų apskaitos prietaisų skaičius</t>
  </si>
  <si>
    <t>Aliktų aplinkos oro kokybės tyrimų skaičius</t>
  </si>
  <si>
    <t>P-08-01-01-07</t>
  </si>
  <si>
    <t>P-08-01-01-08</t>
  </si>
  <si>
    <t>P-08-01-02-03</t>
  </si>
  <si>
    <t>P-05-03-01-02</t>
  </si>
  <si>
    <t>Savivaldybės nekilnojamojo turto išlaikymas</t>
  </si>
  <si>
    <t>mokyklos</t>
  </si>
  <si>
    <t>darželiai</t>
  </si>
  <si>
    <t>neform. ugd.</t>
  </si>
  <si>
    <t>Ugdymo proceso užtikrinimas</t>
  </si>
  <si>
    <t>Valstybės dotacijų, skirtų vykdyti valstybinėms (perduotoms savivaldybėms) funkcijoms, panaudojimas, proc.</t>
  </si>
  <si>
    <t>R-01-01-03</t>
  </si>
  <si>
    <t>PRODUKTO:</t>
  </si>
  <si>
    <t>01.01. Uždavinys. Organizuoti savivaldybės funkcijų įgyvendinimą</t>
  </si>
  <si>
    <t>P-09-01-01-04</t>
  </si>
  <si>
    <t>P-09-01-01-05</t>
  </si>
  <si>
    <t>val.</t>
  </si>
  <si>
    <t>Socialinės pašalpos gavėjų skaičius nuo gyventojų skaičiaus</t>
  </si>
  <si>
    <t>E-02-06</t>
  </si>
  <si>
    <t>Atliktų vidaus auditų skaičius</t>
  </si>
  <si>
    <t>05 Visagino savivaldybės bendruomeniškumo skatinimo programa</t>
  </si>
  <si>
    <t>Šiuolaikinių informacinių technologijų diegimas</t>
  </si>
  <si>
    <t>Reguliaraus susisiekimo autobusų maršrutais nuvažiuotas atstumas</t>
  </si>
  <si>
    <t>P-10-01-01-02</t>
  </si>
  <si>
    <t>Paskolų grąžinimas ir palūkanų mokėjimas</t>
  </si>
  <si>
    <t>Savivaldybės finansinių įsipareigojimų vykdymas (paskolų grąžinimas ir palūkanų mokėjimas)</t>
  </si>
  <si>
    <t xml:space="preserve">   </t>
  </si>
  <si>
    <t>P-04-02-01-03</t>
  </si>
  <si>
    <t>Dalyvauta respublikiniuose ir tarptautiniuose renginiuose</t>
  </si>
  <si>
    <t>P-04-02-02-01</t>
  </si>
  <si>
    <t>P-04-02-02-02</t>
  </si>
  <si>
    <t>P-04-02-02-03</t>
  </si>
  <si>
    <t>P-04-02-02-04</t>
  </si>
  <si>
    <t>P-04-02-02-05</t>
  </si>
  <si>
    <t>Vykdomų formaliojo ir neformaliojo ugdymo programų skaičius savivaldybėje</t>
  </si>
  <si>
    <t>Neformaliojo švietimo programų teikėjų, registruotų ŠMIR, skaičius savivaldybėje</t>
  </si>
  <si>
    <t>R-02-01-05</t>
  </si>
  <si>
    <t>Suaugusiųjų bendrojo ugdymo klasėse besimokančiųjų skaičius</t>
  </si>
  <si>
    <t>Mokinių, besiugdančių neformaliojo ugdymo įstaigose ir kitose NVŠ programose, skaičius (pagal sutartis)</t>
  </si>
  <si>
    <t>Parengtas darnaus judumo Visagino mieste planas</t>
  </si>
  <si>
    <t>R-10-02-07</t>
  </si>
  <si>
    <t>0.50</t>
  </si>
  <si>
    <t>ha.</t>
  </si>
  <si>
    <t>Regeneruotos teritorijos plotas („Apleistų teritorijų konversija, regeneruojant buvusį karinį miestelį ir pritaikant kompleksą inovatyviai pramonei vystyti – SMART PARK įkūrimui“)</t>
  </si>
  <si>
    <t>2016 m. planas</t>
  </si>
  <si>
    <t>Finansuotų įstaigų skaičius</t>
  </si>
  <si>
    <t>03.01. Uždavinys. Tvarkyti gyvenamąją aplinką, administruoti gatvių apšvietimo paslaugas</t>
  </si>
  <si>
    <t>Vaikų, besiugdančių pagal priešmokyklinio ugdymo programas, skaičius</t>
  </si>
  <si>
    <t>07 Visagino savivaldybės sveikatos apsaugos paslaugų kokybės gerinimo programa</t>
  </si>
  <si>
    <t>11 % ir/ar mažiau nei Lietuvos lygis</t>
  </si>
  <si>
    <t>Visagino miesto centralizuotos šildymo sistemos modernizavimas ir atnaujinimas, II etapas</t>
  </si>
  <si>
    <t>Apleistų teritorijų konversija, regeneruojant buvusį karinį miestelį ir pritaikant kompleksą inovatyviai pramonei vystyti - SMART PARK įkūrimui</t>
  </si>
  <si>
    <t xml:space="preserve">Bendrakomandinė prizinė vieta tarp savivaldybių </t>
  </si>
  <si>
    <t>P-03-01-02-05</t>
  </si>
  <si>
    <t>vieta</t>
  </si>
  <si>
    <t>Organizuotų renginių neįgaliems skaičius</t>
  </si>
  <si>
    <t>P-03-01-02-06</t>
  </si>
  <si>
    <t>Įgyvendintų priemonių aplinkos apsaugos programoje dalis</t>
  </si>
  <si>
    <t>E-03-02</t>
  </si>
  <si>
    <t>Atnaujintų viešųjų pastatų skaičius</t>
  </si>
  <si>
    <t>P-10-02-01-04</t>
  </si>
  <si>
    <t>P-07-01-02-01</t>
  </si>
  <si>
    <t>03.04. Uždavinys. Sudaryti infrastruktūros sąlygas rekreacinei žvejybai plėtoti</t>
  </si>
  <si>
    <t>P-10-03-03-01</t>
  </si>
  <si>
    <t>P-10-03-04-01</t>
  </si>
  <si>
    <t>Renovuotų daugiabučių namų dalis nuo bendro daugiabučių namų skaičiaus</t>
  </si>
  <si>
    <t>R-10-02-03</t>
  </si>
  <si>
    <t>02.01. Uždavinys.  Vykdyti Visagino regioninio centro kompleksinės plėtros 2008-2013 m. investicinę programą</t>
  </si>
  <si>
    <t>02 tikslas. Plėtoti vaikų ir jaunimo socializacijos galimybes</t>
  </si>
  <si>
    <t>02 tikslas. Sudaryti sąlygas efektyvesnei, profesionalesnei savivaldybės administracijos darbo veiklai, optimizuoti savivaldybės administracijos darbą, laikantis viešumo ir skaidrumo principų</t>
  </si>
  <si>
    <t>P-02-01-01-02</t>
  </si>
  <si>
    <t>Aplinkos apsaugos rėmimo specialiosios programos priemonių įgyvendinimas lyginant su planuotomis</t>
  </si>
  <si>
    <t>-</t>
  </si>
  <si>
    <t>Pakeistų Visagino miesto apšvietimo tinklų netinkamų eksploatuoti linijų kiekis</t>
  </si>
  <si>
    <t>Mato vnt.</t>
  </si>
  <si>
    <t>2013 m. planas</t>
  </si>
  <si>
    <t>2015 m. planas</t>
  </si>
  <si>
    <t>Dainų šventėje dalyvavusių miesto kolektyvų skaičius</t>
  </si>
  <si>
    <t>P-04-02-01-04</t>
  </si>
  <si>
    <t>P-04-02-01-05</t>
  </si>
  <si>
    <t>Bendruomenės iniciatyvų, įgyvendintų su administracijos pagalba, skaičius</t>
  </si>
  <si>
    <t>Tautinių mažumų bendrijų renginiai Visagine ir reprezentacija išvykose Lietuvoje</t>
  </si>
  <si>
    <t>Tautinių mažumų bendrijų renginių skaičius užsienyje ir etninėse tėvynėse</t>
  </si>
  <si>
    <t>01.04. Uždavinys. Sudaryti sąlygas tinkamai prižiūrėti gyvūnus</t>
  </si>
  <si>
    <t>P-08-01-04-01</t>
  </si>
  <si>
    <t>Sugautų beglobių gyvūnų skaičius</t>
  </si>
  <si>
    <t>P-02-01-01-04</t>
  </si>
  <si>
    <t>Mokinių, besiugdančių pagal pradinio ugdymo programas, skaičius</t>
  </si>
  <si>
    <t>P-02-01-01-03</t>
  </si>
  <si>
    <t>Mokinių, besiugdančių pagal pagrindinio ugdymo programas, skaičius</t>
  </si>
  <si>
    <t>Gavusių paramą vietos iniciatyvų projektams įgyvendinti dalis nuo visų besikreipiančių paramos, procentas</t>
  </si>
  <si>
    <t>Gyvenamosios vietovės bendruomenės išrinktų seniūnaičių skaičius, jų darbo užtikrinimas</t>
  </si>
  <si>
    <t>Mokinių iki 18 metų pateikusių profilaktinio sveikatos patikrinimo pažymą skaičius</t>
  </si>
  <si>
    <t>Suteiktų konsultacijų mokiniams ir mokytojams skaičius</t>
  </si>
  <si>
    <t>Ugdymo įstaigose organizuotų sveikatinimo renginių skaičius</t>
  </si>
  <si>
    <t>P-07-01-02-03</t>
  </si>
  <si>
    <t>P-07-01-02-04</t>
  </si>
  <si>
    <t>P-07-01-02-05</t>
  </si>
  <si>
    <t>R-06-01-03</t>
  </si>
  <si>
    <t>Rizikos šeimos vaikų, gaunančių socialines paslaugas, skaičius</t>
  </si>
  <si>
    <t>P-10-02-04-02</t>
  </si>
  <si>
    <t>Valstybinės žemės ir kito valstybinio turto valdymas, naudojimas ir disponavimas juo patikėjimo teise</t>
  </si>
  <si>
    <t>03.03. Uždavinys. Tvarkyti savivaldybės kaimiškųjų vietovių infrastruktūrą</t>
  </si>
  <si>
    <t>P-04-02-01-01</t>
  </si>
  <si>
    <t>50</t>
  </si>
  <si>
    <t>Pėsčiųjų perėjų, kuriose įrengtas ženklinnimas ir apšvietimas, skaičius</t>
  </si>
  <si>
    <t>P-06-01-03-05</t>
  </si>
  <si>
    <t>14</t>
  </si>
  <si>
    <t>15</t>
  </si>
  <si>
    <t xml:space="preserve"> programas, teikti pedagoginę, psichologinę, metodinę, aprūpinimo transportu ir kitą pagalbą mokiniams, mokytojams ir mokykloms</t>
  </si>
  <si>
    <t xml:space="preserve">Įgyvendintų socializacijos projektų skaičius      </t>
  </si>
  <si>
    <t>Atliktų šildymo punktų atnaujinimo darbų (II, III mikr.) apimtis</t>
  </si>
  <si>
    <t>01.01. Uždavinys. Stiprinti ir plėtoti visuomenės sveikatinimo veiklą</t>
  </si>
  <si>
    <t>09 Visagino savivaldybės ekonominės plėtros programa</t>
  </si>
  <si>
    <t>P-06-01-03-02</t>
  </si>
  <si>
    <t>Šeimų, globojančius vaikus, gavusių paramą skaičius</t>
  </si>
  <si>
    <t>P-06-01-03-03</t>
  </si>
  <si>
    <t>Priimtų tarybos sprendimų skaičius</t>
  </si>
  <si>
    <t>Organizuotų konferencijų verslo skatinimo klausimais skaičius</t>
  </si>
  <si>
    <t>Patikrintų objektų (įmonių, įstaigų, organizacijų, visuomenės informavimo priemonių, neperiodinės spaudos leidinių, reklamos ir viešųjų užrašų ir pan.) skaičius</t>
  </si>
  <si>
    <t>Pateiktų investicinio projekto finansavimo paraiškų skaičius</t>
  </si>
  <si>
    <t>P-06-01-03-07</t>
  </si>
  <si>
    <t>Bendrabučio tipo pastato, esančios Kosmoso g. 28 Visagine, patalpos pritaikytos socialinio būsto įrengimui (naujai įrengtų socialinių bustų skaičius)</t>
  </si>
  <si>
    <t>P-06-02-01-06</t>
  </si>
  <si>
    <t>Įkūrtų Savarankiško gyvenimo namų Visagine skaičius</t>
  </si>
  <si>
    <t>P-08-01-02-08</t>
  </si>
  <si>
    <t>Paremtų smulkaus ir vidutinio verslo įmonių skaičius</t>
  </si>
  <si>
    <t>R-09-01-04</t>
  </si>
  <si>
    <t>kWh</t>
  </si>
  <si>
    <t>Prižiūrimų objektų skaičius</t>
  </si>
  <si>
    <t>P-10-03-02-01</t>
  </si>
  <si>
    <t>Viešosios bibliotekos fondo dydis (knygos)</t>
  </si>
  <si>
    <t>Valstybinių švenčių, reikšmingų datų minėjimų skaičius</t>
  </si>
  <si>
    <t>Valstybinėse šventėse, minėjimuose apsilankiusių žiūrovų skaičius</t>
  </si>
  <si>
    <t>01.03. Uždavinys. Teikti paramą Visagino savivaldybės socialiai jautrių ir pažeidžiamų gyventojų grupėms, užkirsti kelią socialinės rizikos židinių formavimuisi</t>
  </si>
  <si>
    <t xml:space="preserve">Parengtų žemės sklypų planų ir/ar kadastrinių matavimų skaičius </t>
  </si>
  <si>
    <t>P-10-03-01-02</t>
  </si>
  <si>
    <t>E-03-03</t>
  </si>
  <si>
    <t>E-03-04</t>
  </si>
  <si>
    <t>02.02. Uždavinys.  Atnaujinti Visagino miesto centralizuoto šildymo sistemą</t>
  </si>
  <si>
    <t>P-10-02-02-01</t>
  </si>
  <si>
    <t>Kultūros įstaigų pateiktų projektų į nacionalinius ir ES fondus skaičius</t>
  </si>
  <si>
    <t>P-04-01-01-04</t>
  </si>
  <si>
    <t>Mėgėjų meno kolektyvų, studijų dalyvių skaičius (kultūros centre)</t>
  </si>
  <si>
    <t>Kultūros įstaigų materialinės bazės atnaujinimui skirti asignavimai</t>
  </si>
  <si>
    <t>P-02-01-02-02</t>
  </si>
  <si>
    <t>R-01-01-02</t>
  </si>
  <si>
    <t>Bendrojo naudojimo teritorijų tvarkymo ir sanitarijos darbai</t>
  </si>
  <si>
    <t>taip/ne</t>
  </si>
  <si>
    <t>Archyvinių dokumentų tvarkymas</t>
  </si>
  <si>
    <t>18</t>
  </si>
  <si>
    <t>01.01. Uždavinys. Sudaryti kuo palankesnes sąlygas pradėti ir plėtoti verslą</t>
  </si>
  <si>
    <t>P-09-01-01-01</t>
  </si>
  <si>
    <t>Dalyvauta verslui skatinti skirtuose renginiuose</t>
  </si>
  <si>
    <t>P-09-01-01-02</t>
  </si>
  <si>
    <t>P-09-01-01-03</t>
  </si>
  <si>
    <t>02 tikslas. Kurti palankią aplinką investicijoms</t>
  </si>
  <si>
    <t>VKC ir VVB organizuotų profesionalaus meno ir parodų skačius</t>
  </si>
  <si>
    <t>01.01. Uždavinys. Mažinti aplinkos užterštumą ir gerinti vandens telkinių, bendro naudojimo ir kitų teritorijų būklę</t>
  </si>
  <si>
    <t>Mokinių, sėkmingai išlaikiusiųjų mokyklinius ir valstybinius brandos egzaminus proc. nuo bendro laikiusiųjų mokyklinius ir valstybinius brandos egzaminus mokinių skaičiaus</t>
  </si>
  <si>
    <t>P-02-01-02-07</t>
  </si>
  <si>
    <t>P-02-01-02-08</t>
  </si>
  <si>
    <t>02.01. Uždavinys. Įgyvendinti jaunimo politiką siekiant padėti jauniems žmonėms pasirengti savarankiškam gyvenimui</t>
  </si>
  <si>
    <t>Užregistruotų nusikalstamų veikų skaičiaus mažėjimas</t>
  </si>
  <si>
    <t>R-05-03-02</t>
  </si>
  <si>
    <t>Įsteigtas Visagino savivaldybės visuomenės sveikatos priežiūros biuras</t>
  </si>
  <si>
    <t>P-07-01-01-04</t>
  </si>
  <si>
    <t>Sveikatingumo renginiuose (seminarai, konferencijos, paskaitos ir pan.) dalyvavusių mokinių skaičius</t>
  </si>
  <si>
    <t>Visagino miesto šaligatvių remonto/rekonstrukcijos darbai (KD)</t>
  </si>
  <si>
    <t>kv. m</t>
  </si>
  <si>
    <t>Finansuojamų biudžetinių įstaigų, teikiančių socialines paslaugas, skaičius</t>
  </si>
  <si>
    <t>01 tikslas. Skatinti smulkaus ir vidutinio verslo kūrimąsi ir plėtojimą, finansiškai remti smulkaus ir vidutinio verslo subjektus</t>
  </si>
  <si>
    <t>R-09-01-01</t>
  </si>
  <si>
    <t>P-06-01-02-05</t>
  </si>
  <si>
    <t xml:space="preserve">Asmenų, gavusių socialines pašalpas, skaičius </t>
  </si>
  <si>
    <t>P-06-01-02-06</t>
  </si>
  <si>
    <t>Išduotų kirsti, pertvarkyti ar genėti leidimų skaičius</t>
  </si>
  <si>
    <t>P-10-03-02-03</t>
  </si>
  <si>
    <t>Gyventojų, kurie naudojasi komunalinėmis paslaugomis, dalis nuo visų gyventojų skaičiaus</t>
  </si>
  <si>
    <t>01 tikslas. Efektyviai organizuoti Savivaldybės darbą, tinkamai įgyvendinti jos funkcijas</t>
  </si>
  <si>
    <t>REZULTATO:</t>
  </si>
  <si>
    <t>R-01-01-01</t>
  </si>
  <si>
    <t>vnt.</t>
  </si>
  <si>
    <t>10 Visagino savivaldybės viešosios infrastruktūros plėtros programa</t>
  </si>
  <si>
    <t>P-09-02-02-03</t>
  </si>
  <si>
    <t>Socialinių darbuotojų, jų padėjėjų, pakėlusių kvalifikaciją, skaičius</t>
  </si>
  <si>
    <t>P-06-02-01-03</t>
  </si>
  <si>
    <t>R-07-01-02</t>
  </si>
  <si>
    <t>R-07-01-03</t>
  </si>
  <si>
    <t>Naujai užregistruotų susirgimų (1000 suaugusiųjų/1000 vaikų) skaičius</t>
  </si>
  <si>
    <t>E-02-10</t>
  </si>
  <si>
    <t xml:space="preserve"> vnt.</t>
  </si>
  <si>
    <t>1420/2500</t>
  </si>
  <si>
    <t>1400/2450</t>
  </si>
  <si>
    <t>1390/2400</t>
  </si>
  <si>
    <t>Rekonstruotos paviršinių (lietaus) nuotekų nuotakyno dalies (kolektoriaus) ilgis (770 m), Visagino g. atkarpos rekonstrukcija</t>
  </si>
  <si>
    <t>P-10-01-01-05</t>
  </si>
  <si>
    <t>Materialinių investicijų skaičius</t>
  </si>
  <si>
    <t>R-09-02-01</t>
  </si>
  <si>
    <t>600 000</t>
  </si>
  <si>
    <t>Registruotų bedarbių dalis nuo darbingo amžiaus gyventojų</t>
  </si>
  <si>
    <t>E-04-03</t>
  </si>
  <si>
    <t>Parengtų Visagino savivaldybės visuomenės sveikatos stebėsenos (monitoringo) ataskaitų ir pasiūlymų dėl gyventojų sveikatos būklės skaičius</t>
  </si>
  <si>
    <t xml:space="preserve">Suteiktų konsultacijų skaičius (teikia visuomenės sveikatos biuras) </t>
  </si>
  <si>
    <t>R-07-01-01</t>
  </si>
  <si>
    <t>R-06-01-02</t>
  </si>
  <si>
    <t>Įgyvendintų priemonių nusikaltimų prevencijos srityje skaičius</t>
  </si>
  <si>
    <t>Vertinimo kriterijus</t>
  </si>
  <si>
    <t>R-03-01-02</t>
  </si>
  <si>
    <t>01 tikslas. Prižiūrėti ir modernizuoti savivaldybės susisiekimo viešąją infrastruktūrą</t>
  </si>
  <si>
    <t>R-10-01-01</t>
  </si>
  <si>
    <t>01.01. Uždavinys. Gerinti keleivių vežimo sąlygas</t>
  </si>
  <si>
    <t>Šeimų, gaunančių kompensacijas už šaltą vandenį, skaičius</t>
  </si>
  <si>
    <t>P-06-01-02-04</t>
  </si>
  <si>
    <t>Savivaldybės finansinių įsipareigojimų vykdymas (draudimų ir kt.)</t>
  </si>
  <si>
    <t>P-01-01-04-03</t>
  </si>
  <si>
    <t>Eur</t>
  </si>
  <si>
    <t>72 500</t>
  </si>
  <si>
    <t>73 000</t>
  </si>
  <si>
    <t>75 000</t>
  </si>
  <si>
    <t>01.01. Uždavinys. Užtikrinti efektyvią kultūros įstaigų veiklą</t>
  </si>
  <si>
    <t>P-09-01-01-08</t>
  </si>
  <si>
    <t>Sveikatinimo renginiuose dalyvavusių asmenų skaičius</t>
  </si>
  <si>
    <t>02.01. Uždavinys. Organizuoti ir koordinuoti vykdomus kultūrinius renginius</t>
  </si>
  <si>
    <t>P-02-01-01-08</t>
  </si>
  <si>
    <t>Valstybinės kalbos mokymo kursuose besimokančių žmonių skaičius (pagal kategorijas)</t>
  </si>
  <si>
    <t>P-02-01-01-09</t>
  </si>
  <si>
    <t>I kategorija</t>
  </si>
  <si>
    <t>03 tikslas. Kurti palankią turizmui aplinką</t>
  </si>
  <si>
    <t>R-09-03-01</t>
  </si>
  <si>
    <t>03.01. Uždavinys. Plėsti turizmo, rekreacijos, poilsio ir paslaugų infrastruktūrą</t>
  </si>
  <si>
    <t>P-08-01-02-04</t>
  </si>
  <si>
    <t>P-06-01-03-06</t>
  </si>
  <si>
    <t>P-09-02-03-04</t>
  </si>
  <si>
    <t>Rekonstruotų pastatų, taikant šiuolaikiškas energiją taupančias technologijas ir pritaikytas parko administravimo veiklos vykdymui, verslo inkubatoriaus įkūrimui, skaičius</t>
  </si>
  <si>
    <t>Sukurtos arba atnaujintos atviros erdvės miestų vietovėse</t>
  </si>
  <si>
    <t>89 245 (~8,9 ha)</t>
  </si>
  <si>
    <t xml:space="preserve">Išvalytas pagrindinis kolektorius (I mkr.) </t>
  </si>
  <si>
    <t>P-08-01-02-07</t>
  </si>
  <si>
    <t>P-01-02-03-02</t>
  </si>
  <si>
    <t>ES</t>
  </si>
  <si>
    <t>Lėšų, skirtų SVV rėmimui, panaudojimas</t>
  </si>
  <si>
    <t>Sukurtų naujų interneto svetainių apie Visaginą skaičius</t>
  </si>
  <si>
    <t>Rizikos šeimų, gaunančių socialines paslaugas, skaičius</t>
  </si>
  <si>
    <t>Organizuotas privalamojo darbuotojų sveikatos tikrinimas (Visagino savivaldybės administracijoje), darbuotojų skaičius</t>
  </si>
  <si>
    <t>ne daugiau 11%</t>
  </si>
  <si>
    <t>Gyventojų informavimo veiklos įgyvendinimas</t>
  </si>
  <si>
    <t>02.02. Uždavinys. Gerinti visuomenei teikiamų paslaugų kokybę, didinant jų atitikimą visuomenės poreikiams</t>
  </si>
  <si>
    <t>P-01-02-02-02</t>
  </si>
  <si>
    <t>P-01-02-02-03</t>
  </si>
  <si>
    <t>P-07-01-02-02</t>
  </si>
  <si>
    <t>P-01-02-02-01</t>
  </si>
  <si>
    <t>P-08-01-02-02</t>
  </si>
  <si>
    <t>2017 m. planas</t>
  </si>
  <si>
    <t>Mažas pajamas turinčių šeimų, gaunančių būsto šildymo išlaidų ir išlaidų karštam vandeniui kompensacijas, skaičius</t>
  </si>
  <si>
    <t>P-06-01-02-03</t>
  </si>
  <si>
    <t>Valstybinės kalbos centras</t>
  </si>
  <si>
    <t>Menų mokykla</t>
  </si>
  <si>
    <t>Kūrybos namai</t>
  </si>
  <si>
    <t>PMMMC</t>
  </si>
  <si>
    <t>4programa</t>
  </si>
  <si>
    <t>Kultūros centras</t>
  </si>
  <si>
    <t>Paramos vaikui centras</t>
  </si>
  <si>
    <t>Augimo proc.</t>
  </si>
  <si>
    <t>Mokinių skaičius</t>
  </si>
  <si>
    <t>1 mokiniui, 2015</t>
  </si>
  <si>
    <t>1 mokiniui, 2016</t>
  </si>
  <si>
    <t>Skirtumas, Eur</t>
  </si>
  <si>
    <t>Rekreacijos pasl. centras</t>
  </si>
  <si>
    <t>BENDRAS</t>
  </si>
  <si>
    <t>BENDRAS (Mokyklos)</t>
  </si>
  <si>
    <t>BENDRAS (Darželiai)</t>
  </si>
  <si>
    <t>Organizuoti savivaldybės veiklą vadovaujantis šiuolaikiniais vadybos metodais</t>
  </si>
  <si>
    <t>Verslumo lygis (veikiančių SVV įmonių skaičius tenkantis 1000 gyventojų)</t>
  </si>
  <si>
    <t>E-04-01</t>
  </si>
  <si>
    <t>Naujai įregistruotų įmonių skaičius</t>
  </si>
  <si>
    <t>E-04-02</t>
  </si>
  <si>
    <t>Priemonių, skatinančių turizmo plėtrą savivaldybėje, skaičius</t>
  </si>
  <si>
    <t>P-09-03-01-02</t>
  </si>
  <si>
    <t>01 tikslas. Racionaliai naudojant lėšas, užtikrinti kultūros įstaigų funkcionalumą ir efektyvų darbą</t>
  </si>
  <si>
    <t>Įstaigose organizuotų renginių skaičius</t>
  </si>
  <si>
    <t>P-02-01-01-12</t>
  </si>
  <si>
    <t>P-02-01-01-13</t>
  </si>
  <si>
    <t>1; 52</t>
  </si>
  <si>
    <t>BENDRAS (Neform)</t>
  </si>
  <si>
    <t>P-01-01-02-02</t>
  </si>
  <si>
    <t>P-01-01-02-03</t>
  </si>
  <si>
    <t>6 000</t>
  </si>
  <si>
    <t>Suteiktų pirminės teisinės pagalbos konsultacijų skaičius</t>
  </si>
  <si>
    <t>P-01-01-02-04</t>
  </si>
  <si>
    <t>02.04. Uždavinys. Renovuoti ir įrengti automobilių stovėjimo, dviračių ir pėsčiųjų takus, sporto ir laisvalaikio aikšteles</t>
  </si>
  <si>
    <t>P-10-02-04-01</t>
  </si>
  <si>
    <t>Vykdomų projektų, skatinančių socialinių paslaugų plėtrą, skaičius</t>
  </si>
  <si>
    <t>R-06-02-03</t>
  </si>
  <si>
    <t>Registruotų paraiškų skaičius (I.Dovidovičienė)</t>
  </si>
  <si>
    <t>P-01-01-01-02</t>
  </si>
  <si>
    <t>Renovuotų sporto ir laisvalaikio aikštelių skaičius</t>
  </si>
  <si>
    <t>02.05. Uždavinys. Remontuoti ir prižiūrėti savivaldybės turtą</t>
  </si>
  <si>
    <t>Įsigytų triukšmomačių skaičius</t>
  </si>
  <si>
    <t>01.01. Uždavinys.  Užtikrinti efektyvią biudžetinių įstaigų veiklą</t>
  </si>
  <si>
    <t>2018 m. planas</t>
  </si>
  <si>
    <t>P-10-03-01-04</t>
  </si>
  <si>
    <t>Įrengtų viešojo dizaino elementų skaičius</t>
  </si>
  <si>
    <t>P-09-03-01-04</t>
  </si>
  <si>
    <t>R-06-01-04</t>
  </si>
  <si>
    <t>2019 m. planas</t>
  </si>
  <si>
    <t>Organizuotų tarptautinių vaizdo konferencijų, svečių vizitų (susitikimų) skaičius</t>
  </si>
  <si>
    <t>0; 2</t>
  </si>
  <si>
    <t>50-52</t>
  </si>
  <si>
    <t>P-10-03-01-01</t>
  </si>
  <si>
    <t>R-06-02-02</t>
  </si>
  <si>
    <t>Įkurtų vaikų dienos centrų skaičius</t>
  </si>
  <si>
    <t>Vaikų, kuriems vaikų dienos centre teikiamos socialinės paslaugos, skaičius</t>
  </si>
  <si>
    <t>P-06-02-01-05</t>
  </si>
  <si>
    <t>P-01-01-02-01</t>
  </si>
  <si>
    <t>02 Visagino savivaldybės švietimo paslaugų plėtros programa</t>
  </si>
  <si>
    <t>Socialinių išmokų ir kompensacijų administravimas</t>
  </si>
  <si>
    <t>Bendrųjų ugdymo planų valandų, skirtų papildomajam ugdymui, panaudojimas</t>
  </si>
  <si>
    <t>P-02-01-01-05</t>
  </si>
  <si>
    <t>Remontuotų savivaldybės įstaigų skaičius</t>
  </si>
  <si>
    <t>Mokinių, sėkmingai išlaikiusių mokyklinius ir valstybinius brandos egzaminus, skaičius</t>
  </si>
  <si>
    <t>P-02-01-02-06</t>
  </si>
  <si>
    <t>Pastatų konstrukcijų remontas, avar. darbai</t>
  </si>
  <si>
    <t>Savivaldybės gatvių apšvietimas</t>
  </si>
  <si>
    <t>Gerosios vilties</t>
  </si>
  <si>
    <t>Draugystės</t>
  </si>
  <si>
    <t>Verdenės</t>
  </si>
  <si>
    <t>Žiburio</t>
  </si>
  <si>
    <t>Kūlverstukas</t>
  </si>
  <si>
    <t>Auksinis raktelis</t>
  </si>
  <si>
    <t>Auksinis gaidelis</t>
  </si>
  <si>
    <t>Ąžuoliukas</t>
  </si>
  <si>
    <t>Gintarėlis</t>
  </si>
  <si>
    <t>01 Visagino savivaldybės valdymo tobulinimo programa</t>
  </si>
  <si>
    <t>R-10-02-01</t>
  </si>
  <si>
    <t>R-10-02-02</t>
  </si>
  <si>
    <t>03.01. Uždavinys. Kurti saugią aplinką Visagino savivaldybėje</t>
  </si>
  <si>
    <t>Kvalifikaciją kėlusių darbuotojų dalis nuo visų darbuotojų</t>
  </si>
  <si>
    <t>R-01-02-01</t>
  </si>
  <si>
    <t>Informacinių pranešimų apie savivaldybės veiklą skaičius</t>
  </si>
  <si>
    <t>R-01-02-02</t>
  </si>
  <si>
    <t>01 tikslas. Skatinti savivaldybės gyventojus užsiimti įvairia sportine veikla</t>
  </si>
  <si>
    <t>Savivaldybėje organizuotų renginių skaičius</t>
  </si>
  <si>
    <t>01.01. Uždavinys.  Skatinti vietos bendruomenių iniciatyvas</t>
  </si>
  <si>
    <t>02 tikslas. Sukurti palankią aplinką jauno žmogaus vertingam gyvenimui ir saviraiškai savivaldybės teritorijoje</t>
  </si>
  <si>
    <t>R-05-03-01</t>
  </si>
  <si>
    <t>P-10-01-01-03</t>
  </si>
  <si>
    <t>01.02. Uždavinys. Prižiūrėti bei tvarkyti (remontuoti) miesto ir savivaldybės susisiekimo viešąją infrastruktūrą</t>
  </si>
  <si>
    <t>100</t>
  </si>
  <si>
    <t>02 tikslas. Prižiūrėti ir modernizuoti savivaldybės viešąją infrastruktūrą</t>
  </si>
  <si>
    <t>Abiturientų, įstojusių į aukštąsias mokyklas, dalis nuo visų abiturientų skaičiaus</t>
  </si>
  <si>
    <t>Socialines paslaugas gavusių asmenų skaičius</t>
  </si>
  <si>
    <t>01.02. Uždavinys. Užtikrinti efektyvų valstybinių (perduotų savivaldybei) ir savarankiškų savivaldybės funkcijų vykdymą</t>
  </si>
  <si>
    <t xml:space="preserve">Organizuotų įvairių visuomenės sveikatingumo stiprinimo skatinimo renginių skaičius </t>
  </si>
  <si>
    <t>E-01-01</t>
  </si>
  <si>
    <t>proc.</t>
  </si>
  <si>
    <t>Vykusių akcijų ekologijos srityje skaičius</t>
  </si>
  <si>
    <t>R-08-01-03</t>
  </si>
  <si>
    <t>02.01. Uždavinys.  Pritraukti ES ir kitų fondų lėšas miesto plėtros projektams įgyvendinti</t>
  </si>
  <si>
    <t>P-09-02-01-01</t>
  </si>
  <si>
    <t>02.02. Uždavinys.  Kurti aplinką, kuri sąlygotų investicijų pritraukimą</t>
  </si>
  <si>
    <t>03 Visagino savivaldybės kūno kultūros ir sporto plėtros programa</t>
  </si>
  <si>
    <t>02.06. Uždavinys. Vykdyti Visagino miesto energetinio efektyvumo didinimo daugiabučiuose namuose programą „Visagino EnerVizija“</t>
  </si>
  <si>
    <t>P-10-02-06-01</t>
  </si>
  <si>
    <t>P-01-01-03-02</t>
  </si>
  <si>
    <t>Dalyvauta turizmui vystyti skirtuose renginiuose skaičius</t>
  </si>
  <si>
    <t>P-09-03-02-01</t>
  </si>
  <si>
    <t>P-09-03-02-02</t>
  </si>
  <si>
    <t>1</t>
  </si>
  <si>
    <t>Integralios pagalbos gavėjų skaičius</t>
  </si>
  <si>
    <t>Įgyvendintų  projektų ir organizuotų renginių skaičius vaikų ir jaunimo socializacijos bei jaunimo politikos srityje</t>
  </si>
  <si>
    <t>E-02-04</t>
  </si>
  <si>
    <t>Įgyvendintų/įgyvendinamų investicinių projektų, finansuojamų iš ES ir kitų fondų paramos</t>
  </si>
  <si>
    <t>Įrengtų kolumbariumų skaičius</t>
  </si>
  <si>
    <t>02.02. Uždavinys. Aktyvinti bendruomenę ugdant pilietiškumą, sudarant sąlygas jos nariams dalyvauti konkursuose, vietos ir kitų regionų koncertinėse programose ir mokymuose bei profesionalaus meno renginiuose pagal amžiaus grupes</t>
  </si>
  <si>
    <t>01 tikslas. Kurti saugią, švarią ir sveiką aplinką</t>
  </si>
  <si>
    <t>Lavinamosiose klasėse besiugdančių specialiųjų poreikių mokinių skaičius</t>
  </si>
  <si>
    <t>Mokinių, besiugdančių pagal vidurinio ugdymo programas, skaičius</t>
  </si>
  <si>
    <t>Įregistruotų civilinės būklės aktų skaičius</t>
  </si>
  <si>
    <t>Mokyklų, dalyvaujančių nacionalinio lygmens projektuose partnerio teise, skaičius</t>
  </si>
  <si>
    <t>Suteiktos paramos dalis (dantų protezavimo išlaidų kompensavimas)</t>
  </si>
  <si>
    <t>Parengtų techninių projektų skaičius</t>
  </si>
  <si>
    <t>P-09-03-01-03</t>
  </si>
  <si>
    <t>R-03-01-01</t>
  </si>
  <si>
    <t>Socialinių paslaugų centras</t>
  </si>
  <si>
    <t>P-02-01-01-11</t>
  </si>
  <si>
    <t>02.01. Uždavinys. Užtikrinti efektyvų ir sistemingą savivaldybės administracijos valstybės tarnautojų ir darbuotojų mokymą</t>
  </si>
  <si>
    <t>P-08-01-01-03</t>
  </si>
  <si>
    <t>P-08-01-01-04</t>
  </si>
  <si>
    <t>skaičius</t>
  </si>
  <si>
    <t>Įstaigos pajamos ugdymui</t>
  </si>
  <si>
    <t>Apšiltintų viešųjų pastatų skaičius</t>
  </si>
  <si>
    <t>P-05-03-01-01</t>
  </si>
  <si>
    <t>P-05-03-02-01</t>
  </si>
  <si>
    <t>03 tikslas. Kurti saugią ir patogią gyvenimo aplinką</t>
  </si>
  <si>
    <t xml:space="preserve">03.03. Uždavinys. Remti daugiabučių namų savininkus (bendrijas) </t>
  </si>
  <si>
    <t>02.03. Uždavinys. Sudaryti sąlygas sukurti darbo vietas aukštospridėtinės vertės (inovatyviai) pramonei ir verslui vystyti Visagine, plėtojant jį kaip šalies Energetikos kompetencijų centrą</t>
  </si>
  <si>
    <t>P-09-02-03-01</t>
  </si>
  <si>
    <t>Specialistų, dalyvavusių kvalifikacijos kėlimo kursuose, dalis nuo bendro sporto srities specialistų skaičiaus</t>
  </si>
  <si>
    <t>Sukurtų naujų darbo vietų SVV subjektuose, kuriems buvo suteikta finansinė parama iš SVV plėtros skatinimo priemonės</t>
  </si>
  <si>
    <t>Gavusių paramą ūkio subjektų dalis nuo visų besikreipiančių paramos iš SVV plėtros skatinimo priemonės, procentas</t>
  </si>
  <si>
    <t>13 % ir/ar mažiau nei Lietuvos lygis</t>
  </si>
  <si>
    <t>Formaliojo ir neformaliojo ugdymo paslaugas teikiančių įstaigų/organizacijų skaičius</t>
  </si>
  <si>
    <t>Atliktų valdymo tobulinimo analizių skaičius</t>
  </si>
  <si>
    <t>Suremontuotų gatvių (kelių) (su aplinkinės teritorijos sutvarkymo darbais), įgyvendinant investicinius projektus, skaičius</t>
  </si>
  <si>
    <t>Savivaldybės įsipareigojimų vykdymas po projektų įgyvendinimo</t>
  </si>
  <si>
    <t>Įgyvendintų/įgyvendinamų projektų, modernizuojant savivaldybės viešąją infrastruktūrą, skaičius</t>
  </si>
  <si>
    <t xml:space="preserve">02 tikslas. Įgyvendinti valstybinę kultūros politiką per kultūrinius renginius, valstybei, tautai, savivaldybei reikšmingų sukakčių ir datų minėjimus, įtraukiant į jos vyksmą kuo platesnę bendruomenės dalį </t>
  </si>
  <si>
    <t>Įgyvendintų projektų skaičius</t>
  </si>
  <si>
    <t>Natūrali gyventojų kaita</t>
  </si>
  <si>
    <t>E-02-08</t>
  </si>
  <si>
    <t>Vienas gyventojas vidutiniškai apsilankė poliklinikose ir ambulatorijose</t>
  </si>
  <si>
    <t>Apšvietimo tinklų ir elektros įrangos remontas ir aptarnavimas</t>
  </si>
  <si>
    <t>P-03-01-02-03</t>
  </si>
  <si>
    <t>II kategorija</t>
  </si>
  <si>
    <t>III kategorija</t>
  </si>
  <si>
    <t>P-02-01-01-10</t>
  </si>
  <si>
    <t>60 000</t>
  </si>
  <si>
    <t>Į VKC filialo veiklą įtrauktų NVO skaičius</t>
  </si>
  <si>
    <t>P-01-01-02-06</t>
  </si>
  <si>
    <t>Paremtų projektų, skirtų lygioms galimybėms užtikrinti, skaičius</t>
  </si>
  <si>
    <t>P-05-01-01-03</t>
  </si>
  <si>
    <t>P-06-01-03-08</t>
  </si>
  <si>
    <t>Jaunimo teisių apsauga</t>
  </si>
  <si>
    <t>Gyventojų registro tvarkymas ir duomenų teikimas valstybės registrui</t>
  </si>
  <si>
    <t>P-08-01-01-09</t>
  </si>
  <si>
    <t>P-10-02-01-01</t>
  </si>
  <si>
    <t>02.04. Uždavinys. Informuoti visuomenę apie savivaldybės veiklą ir formuoti teigiamą savivaldybės įvaizdį, plėtoti dalykinius santykius ir ryšius su tarptautinėmis ir vietinėmis institucijomis ir organizacijomis</t>
  </si>
  <si>
    <t>2 programa</t>
  </si>
  <si>
    <t>3 programa</t>
  </si>
  <si>
    <t>6 programa</t>
  </si>
  <si>
    <t>Įvairių renginių (pranešimų, paskaitų, pamokų, diskusijų, konkursų ir kt.) alkoholio, tabako ir narkotikų vartojimo prevencijos klausimais skaičius</t>
  </si>
  <si>
    <t>Organizuotų įvairių renginių (pranešimų, paskaitų, pamokų, diskusijų, konkursų ir kt.) užkrečiamųjų ligų profilaktikos ir asmens higienos klausimais skaičius</t>
  </si>
  <si>
    <t>įmonių skaičius</t>
  </si>
  <si>
    <t>03 strateginis tikslas. Plėtoti savivaldybės inžinerinę, susisiekimo ir rekreacinę infrastruktūrą, kurti palankią gyvenamąją aplinką</t>
  </si>
  <si>
    <t>Išmestų teršalų kiekis į atmosferą iš stacionarių taršos šaltinių</t>
  </si>
  <si>
    <t>Vasaros užimtumo programų dalyvių skaičius</t>
  </si>
  <si>
    <t>P-01-02-01-01</t>
  </si>
  <si>
    <t>darbuotojų skaičius</t>
  </si>
  <si>
    <t>Įgijusių išsilavinimą pagal ugdymo programas mokinių dalis:</t>
  </si>
  <si>
    <t>R-02-01-03</t>
  </si>
  <si>
    <t>- pagal vidurinio ugdymo programą</t>
  </si>
  <si>
    <t>Pateiktų paraiškų projektų finansavimui gauti skaičius</t>
  </si>
  <si>
    <t>Registruotų vartotojų skaičius (viešojoje bibliotekoje)</t>
  </si>
  <si>
    <t>P-04-01-01-01</t>
  </si>
  <si>
    <t>R-04-01-01</t>
  </si>
  <si>
    <t>R-04-01-02</t>
  </si>
  <si>
    <t>R-04-01-03</t>
  </si>
  <si>
    <t>Projektų, skirtų neįgaliųjų socialinei reabilitacijai, skaičius</t>
  </si>
  <si>
    <t>P-06-02-01-01</t>
  </si>
  <si>
    <t>5</t>
  </si>
  <si>
    <t xml:space="preserve">5 </t>
  </si>
  <si>
    <t>Išvalytų vandens telkinių, kuriuose atliekami vandens kokybės tyrimai, skaičius</t>
  </si>
  <si>
    <t>ne daugiau 600 tonų (ne daugiau 30 kg vienam gyventojui)</t>
  </si>
  <si>
    <t>ne daugiau 550 tonų (ne daugiau 28 kg vienam gyventojui)</t>
  </si>
  <si>
    <t>01.01. Uždavinys. Užtikrinti efektyvią savivaldybės biudžetinių socialinių paslaugų įstaigų veiklą</t>
  </si>
  <si>
    <t>P-02-01-02-01</t>
  </si>
  <si>
    <t>P-02-01-01-06</t>
  </si>
  <si>
    <t>P-02-01-01-07</t>
  </si>
  <si>
    <t>03.02. Uždavinys.  Užtikrinti turizmo informacijos sklaidą, skatinti turizmo plėtrą savivaldybėje</t>
  </si>
  <si>
    <t>P-09-03-02-03</t>
  </si>
  <si>
    <t>Užtikrinta Visagino rekreacijos paslaugų centro filialo „Visagino parkas“ veikla</t>
  </si>
  <si>
    <t>Parengtas savivaldybės rinkodaroas planas</t>
  </si>
  <si>
    <t>P-09-01-01-09</t>
  </si>
  <si>
    <t>08</t>
  </si>
  <si>
    <t>10</t>
  </si>
  <si>
    <t>P-09-01-01-07</t>
  </si>
  <si>
    <t xml:space="preserve">vnt. </t>
  </si>
  <si>
    <t>P-08-01-02-05</t>
  </si>
  <si>
    <t>P-08-01-02-06</t>
  </si>
  <si>
    <t>Organizuotų jaunimo verslumui skatinti renginių skaičius</t>
  </si>
  <si>
    <t>80 000</t>
  </si>
  <si>
    <t>R-08-01-04</t>
  </si>
  <si>
    <t>P-01-01-04-02</t>
  </si>
  <si>
    <t>Žemės ūkio funkcijų vykdymas</t>
  </si>
  <si>
    <t>Parengtų techninių dokumentų skaičius</t>
  </si>
  <si>
    <t>Būsto nuomos ir išperkamosios būsto nuomos mokesčių dalies kompensacijų administravimas</t>
  </si>
  <si>
    <t>1 200</t>
  </si>
  <si>
    <t>01.04. Uždavinys. Sudaryti sąlygas iš anksto negalimoms suplanuoti priemonėms vykdyti bei savivaldybės įsipareigojimams įgyvendinti</t>
  </si>
  <si>
    <t>Atgimimo</t>
  </si>
  <si>
    <t>2015 m. Tūkst. Eur</t>
  </si>
  <si>
    <t>2016 m. Tūkst. Eur</t>
  </si>
  <si>
    <t>2016 m. Dalis, %</t>
  </si>
  <si>
    <t>Socialinių pašalpų ir kompensacijų mokėjimas</t>
  </si>
  <si>
    <t>Socialinių pašalpų ir kompensacijų skaičiavimas</t>
  </si>
  <si>
    <t>P-03-01-02-02</t>
  </si>
  <si>
    <t>VB</t>
  </si>
  <si>
    <t>Parengtų papildomų komunalinių atliekų ir antrinių žaliavų surinkimo konteinerių aikštelių įrengimo techninių projektų skaičius</t>
  </si>
  <si>
    <t>P-08-01-01-05</t>
  </si>
  <si>
    <t>02.01. Uždavinys.  Skatinti socialinių paslaugų plėtrą bendruomenėje</t>
  </si>
  <si>
    <t>Asmenų, gavusių globos (rūpybos) išmokas, skaičius</t>
  </si>
  <si>
    <t>P-06-01-02-07</t>
  </si>
  <si>
    <t>Mokinių, gavusių socialinę paramą, skaičius</t>
  </si>
  <si>
    <t>Mokinių, lankančių sporto įstaigą, skaičius</t>
  </si>
  <si>
    <t>P-03-01-01-01</t>
  </si>
  <si>
    <t>01.02. Uždavinys. Plėtoti ir tobulinti sporto varžybas ir sporto sveikatingumo renginius siekiant įtraukti vaikus, jaunimą ir kitas gyventojų grupes į sportinę veiklą, rengti sporto specialistus</t>
  </si>
  <si>
    <t>Įsigytų antrinių žaliavų surinkimo konteinerių skaičius</t>
  </si>
  <si>
    <t>Įrengtų mišrių komunalinių atliekų ir antrinių žaliavų konteinerių aikštelių skaičius</t>
  </si>
  <si>
    <t>2015 m. Dalis, %</t>
  </si>
  <si>
    <t>R-01-01-04</t>
  </si>
  <si>
    <t>Įgyvendintų rekomendacijų santykis nuo pateiktų vidaus audito metu rekomendacijų, proc.</t>
  </si>
  <si>
    <t>Darbuotojų, kėlusių savo kvalifikaciją skaičius</t>
  </si>
  <si>
    <t>Įrengtų turistinių stovyklaviečių (kempingų), sutvarkant poilsio zoną, skaičius</t>
  </si>
  <si>
    <t>P-04-01-01-02</t>
  </si>
  <si>
    <t>P-10-01-01-04</t>
  </si>
  <si>
    <t>R-09-01-05</t>
  </si>
  <si>
    <t>R-09-01-06</t>
  </si>
  <si>
    <t>SVV subjektų, gavusių negrąžintiną finansinę paramą, skaičius</t>
  </si>
  <si>
    <t>02 tikslas. Užtikrinti ir skatinti socialinių paslaugų teikimą bei plėtrą bendruomenėje</t>
  </si>
  <si>
    <t>R-06-02-01</t>
  </si>
  <si>
    <t>P-09-02-03-02</t>
  </si>
  <si>
    <t>2</t>
  </si>
  <si>
    <t>0</t>
  </si>
  <si>
    <t>Pateiktų projektinių pasiūlymų projektų finansavimui gauti skaičius</t>
  </si>
  <si>
    <t>Įgyvendinamų/įgyvendintų projektų turizmo, rekreacijos, poilsio ir paslaugų srityje skaičius</t>
  </si>
  <si>
    <t>Įkurtų turizmo informacijos centrų skaičius</t>
  </si>
  <si>
    <t>R-09-03-02</t>
  </si>
  <si>
    <t>Įrengtų aktyvaus poilsio, sporto ir turizmo traukos objektų skaičius</t>
  </si>
  <si>
    <t>P-09-03-01-01</t>
  </si>
  <si>
    <t>Administracinės naštos mažinimo priemonių plano įgyvendinimas</t>
  </si>
  <si>
    <t>R-04-02-01</t>
  </si>
  <si>
    <t>Viešoji biblioteka</t>
  </si>
  <si>
    <t>Priemonės pavadinimas</t>
  </si>
  <si>
    <t>E-02-01</t>
  </si>
  <si>
    <t>E-02-02</t>
  </si>
  <si>
    <t>E-02-03</t>
  </si>
  <si>
    <t>Vaikų, besiugdančių pagal ikimokyklinio  ugdymo programas, skaičius</t>
  </si>
  <si>
    <t>P-02-01-01-01</t>
  </si>
  <si>
    <t>Keleivių vežimo nuostolių padengimas</t>
  </si>
  <si>
    <t>P-07-01-03-01</t>
  </si>
  <si>
    <t>Programa</t>
  </si>
  <si>
    <t>72 000</t>
  </si>
  <si>
    <t>65 000</t>
  </si>
  <si>
    <t>Darbo vietų, kuriems atliktas rizikos vertinimas, skaičius</t>
  </si>
  <si>
    <t>Kultūros įstaigų skaičius</t>
  </si>
  <si>
    <t>P-02-01-01-14</t>
  </si>
  <si>
    <t>P-02-01-01-15</t>
  </si>
  <si>
    <t>P-02-01-02-03</t>
  </si>
  <si>
    <t>Šalies olimpiadose ir konkursuose prizines vietas laimėjusiųjų mokinių skaičius</t>
  </si>
  <si>
    <t>P-02-01-02-04</t>
  </si>
  <si>
    <t>P-02-01-02-05</t>
  </si>
  <si>
    <t>P-02-01-02-09</t>
  </si>
  <si>
    <t>* leidinio "V každyj dom" numerių skaičius (per metus)</t>
  </si>
  <si>
    <t>SVV plėtros skatinimas savivaldybėje</t>
  </si>
  <si>
    <t>priemonės virš 30 tūkst. Eur</t>
  </si>
  <si>
    <t>Organizuotų ir įvykdytų kelionių dalis nuo pateiktų paraiškų skaičiaus</t>
  </si>
  <si>
    <t>01 tikslas. Užtikrinti ugdymo programų įvairovę, paslaugų prieinamumą ir kokybę</t>
  </si>
  <si>
    <t>R-02-01-01</t>
  </si>
  <si>
    <t>Asmenų, atlikusių viešuosius darbus, skaičius</t>
  </si>
  <si>
    <t>P-01-01-02-05</t>
  </si>
  <si>
    <t>P-10-02-05-03</t>
  </si>
  <si>
    <t>P-10-02-03-01</t>
  </si>
  <si>
    <t>P-09-02-02-01</t>
  </si>
  <si>
    <t>Virš 0 (teigiamas skaičius)</t>
  </si>
  <si>
    <t>P-04-02-01-02</t>
  </si>
  <si>
    <t>R-05-01-01</t>
  </si>
  <si>
    <t>Prižiūrimos, tvarkomos bendro naudojimo teritorijos</t>
  </si>
  <si>
    <t>01.02. Uždavinys. Organizuoti renginius, turinčius įtakos ugdymo proceso kokybei, skirtus tęstiniam mokymuisi</t>
  </si>
  <si>
    <t>Valstybės investicijų programos vykdomų projektų skaičius (10 programoje)</t>
  </si>
  <si>
    <t>01.03. Uždavinys. Užtikrinti Savivaldybės darbuotojų saugą darbe</t>
  </si>
  <si>
    <t>Įrengtų elektromobilių greito įkrovimo prieigų skaičius</t>
  </si>
  <si>
    <t>Nacionalinių neformalių jaunimo ir mokinių susivienijimų, kuriuose atstovaujama, skaičius</t>
  </si>
  <si>
    <t>P-05-02-01-02</t>
  </si>
  <si>
    <t xml:space="preserve">kv. m </t>
  </si>
  <si>
    <t>m</t>
  </si>
  <si>
    <t>Viešosios komunalinių atliekų tvarkymo paslaugos teikimas atliekų turėtojams</t>
  </si>
  <si>
    <t>Savivaldybės įstaigų veiklos organizavimas</t>
  </si>
  <si>
    <t>SB</t>
  </si>
  <si>
    <t>Atlikta miesto paviršinių nuotekų tvarkymo sistemų inventorizacija (dokumentų paketas)</t>
  </si>
  <si>
    <t>E-03-01</t>
  </si>
  <si>
    <t>tonos (kg 1 gyventojui)</t>
  </si>
  <si>
    <t>Organizuotų mokymų verslininkams skaičius</t>
  </si>
  <si>
    <t>P-09-01-01-06</t>
  </si>
  <si>
    <t>R-05-03-03</t>
  </si>
  <si>
    <t>Savivaldybės vidinės ir tarptautinės migracijos saldo</t>
  </si>
  <si>
    <t>E-02-07</t>
  </si>
  <si>
    <t>2 lentelė</t>
  </si>
  <si>
    <t>Socialinės globos paslaugų gavėjų skaičius socialinių paslaugų įstaigose</t>
  </si>
  <si>
    <t>01.02. Uždavinys. Užtikrinti socialinių išmokų ir kompensacijų mokėjimą</t>
  </si>
  <si>
    <t>P-06-01-02-01</t>
  </si>
  <si>
    <t>Nėščių moterų, gavusių vienkartines išmokas, skaičius</t>
  </si>
  <si>
    <t>P-06-01-02-02</t>
  </si>
  <si>
    <t>Nusikalstamumo mažinimas, panaudojant vaizdo stebėjimo kamerų tinklą</t>
  </si>
  <si>
    <t>Priimtų administracijos direktoriaus įsakymų veiklos klausimais skaičius</t>
  </si>
  <si>
    <t>Organizuotų turto nuomos konkursų skaičius</t>
  </si>
  <si>
    <t>Patvirtintų strateginio planavimo ir veiklos vertinimo dokumentų ir ataskaitų skaičius</t>
  </si>
  <si>
    <t>Surengtų viešųjų pirkimų skaičius</t>
  </si>
  <si>
    <t>Gavusių paramą ūkio subjektų skaičius</t>
  </si>
  <si>
    <t>P-01-01-01-01</t>
  </si>
  <si>
    <t>Rekonstruotų teniso kortų skaičius</t>
  </si>
  <si>
    <t>Įgyvendintų energiją taupančių priemonių, namų techninių defektų, kurie kelią grėsmę namo ar atskirų jo konstrukcijų stabilumui ir (ar) žmonių saugumui, pašalinimo (remonto) darbų, skaičius</t>
  </si>
  <si>
    <t>P-05-03-02-02</t>
  </si>
  <si>
    <t>P-05-03-02-03</t>
  </si>
  <si>
    <t>P-05-03-02-04</t>
  </si>
  <si>
    <t>Įsteigtų naujų Bendrijų skaičius</t>
  </si>
  <si>
    <t>R-05-03-04</t>
  </si>
  <si>
    <t>01 strateginis tikslas. Gerinti savivaldybės valdymą, formuoti Visagino savivaldybės, kaip modernios, šiuolaikiškai besitvarkančios savivaldybės įvaizdį</t>
  </si>
  <si>
    <t>EFEKTO:</t>
  </si>
  <si>
    <t>Gyventojų, kurie savivaldybės administracijos veiklą vertina palankiai, dalis</t>
  </si>
  <si>
    <t>Naujų kapinių techninio projekto parengimas ir naujų kapinių įrengimas, kolumbariumo įrengimas</t>
  </si>
  <si>
    <t>04 strateginis tikslas. Kurti ekonominę aplinką, palankią pramonei, verslui, turizmui, investicijoms ir žinių ekonomikai plėtoti</t>
  </si>
  <si>
    <t>03 tikslas. Teikti gyventojams kokybiškas komunalines paslaugas, prižiūrėti ir remontuoti objektus, kurti saugią ir patogią gyvenimo aplinką</t>
  </si>
  <si>
    <t>R-10-03-01</t>
  </si>
  <si>
    <t>Renovuotų daugiabučių namų skaičius</t>
  </si>
  <si>
    <t>Remontuojamų savivaldybės biudžetinių įstaigų dalis nuo biudžetinių įstaigų skaičiaus</t>
  </si>
  <si>
    <t>Paaiškinumas</t>
  </si>
  <si>
    <t>Vertinimo kriterijaus kodas</t>
  </si>
  <si>
    <t>Vykdytojas</t>
  </si>
  <si>
    <t>Elektobusų skaičius mieste</t>
  </si>
  <si>
    <t>P-10-01-01-08</t>
  </si>
  <si>
    <t>0.5</t>
  </si>
  <si>
    <t>0.8</t>
  </si>
  <si>
    <t>Įrengtų automobilių stovėjimo aikštelių skaičius</t>
  </si>
  <si>
    <t>R-10-02-06</t>
  </si>
  <si>
    <t>Visagino savivaldybės administracija</t>
  </si>
  <si>
    <t>Sporto centras</t>
  </si>
  <si>
    <t>Mokinių, organizuotai vežiojamų į (iš) mokyklas(os) (iš/į kaimo vietovių), skaičius</t>
  </si>
  <si>
    <t xml:space="preserve">Priimtų naujai inkubuojamų įmonių skaičius (VšĮ IAE regiono verslo inkubatorius) </t>
  </si>
  <si>
    <t>02.01. Uždavinys. Didinti vaikų ir jaunimo socioedukacinių veiklų, socialiai prasmingo užimtumo, saviraiškos bei švietimo pagalbos įvairovę ir prieinamumą</t>
  </si>
  <si>
    <t>08 Visagino savivaldybės aplinkos apsaugos programa</t>
  </si>
  <si>
    <t>Dalyvavusių renginiuose neįgaliems skaičius</t>
  </si>
  <si>
    <t>P-03-01-02-07</t>
  </si>
  <si>
    <t>P-03-01-02-08</t>
  </si>
  <si>
    <t>14 000</t>
  </si>
  <si>
    <t>Pastatų, kuriuose įrengti elektros skaitikliai, skaičius</t>
  </si>
  <si>
    <t>P-10-03-01-03</t>
  </si>
  <si>
    <t xml:space="preserve">Projektai papildomai iš SB </t>
  </si>
  <si>
    <t xml:space="preserve">Liftų įrengimas </t>
  </si>
  <si>
    <t>Visagino savivaldybės viešųjų pastatų energijos efektyvumo didinimas (IV etapas)</t>
  </si>
  <si>
    <t>01 tikslas. Gerinti Visagino savivaldybės gyventojų sveikatos priežiūros kokybę, sveikatos priežiūros paslaugų prieinamumą</t>
  </si>
  <si>
    <t>P-08-01-01-01</t>
  </si>
  <si>
    <t>Antrinių žaliavų surinkimas</t>
  </si>
  <si>
    <t>P-08-01-01-02</t>
  </si>
  <si>
    <t>kiekis t</t>
  </si>
  <si>
    <t xml:space="preserve">01.01. Uždavinys.  Sudaryti sąlygas ugdyti vaikus ikimokyklinėse, bendrojo lavinimo ir neformalaus švietimo įstaigose pagal patvirtintas ugdymo </t>
  </si>
  <si>
    <t>Visagino miesto apšvietimo tinkluose suvartojamos elektros energijos kiekis</t>
  </si>
  <si>
    <t>P-06-02-01-04</t>
  </si>
  <si>
    <t>Įsigytų socialinių būstų skaičius</t>
  </si>
  <si>
    <t>P-01-02-04-02</t>
  </si>
  <si>
    <t>R-09-02-02</t>
  </si>
  <si>
    <t>Klientų, besinaudojančių mokomomis Visagino rekreacijos paslaugų centro paslaugomis, skaičius</t>
  </si>
  <si>
    <t>7 000</t>
  </si>
  <si>
    <t>Inžinerinių paviršinių nuotekų surinkimo ir šalinimo tinklų rekonstravimas Visagino g. atkarpoje nuo Parko iki Vilties g.</t>
  </si>
  <si>
    <t>ne daugiau 600 tonų (ne daugiau 26 kg vienam gyventojui)</t>
  </si>
  <si>
    <t>R-06-01-05</t>
  </si>
  <si>
    <t>R-06-01-06</t>
  </si>
  <si>
    <t>R-10-01-02</t>
  </si>
  <si>
    <t>R-10-02-04</t>
  </si>
  <si>
    <t>Panaudotos rezervo lėšos</t>
  </si>
  <si>
    <t>P-01-01-04-01</t>
  </si>
  <si>
    <t>01.05. Uždavinys. Vykdyti korupcijos prevencijos darbus</t>
  </si>
  <si>
    <t>Visagino miesto pravažiavimų paprastojo remonto darbai (KD)</t>
  </si>
  <si>
    <t>P-10-01-01-06</t>
  </si>
  <si>
    <t>Renovuotų/įrengtų dviračių takų ilgis</t>
  </si>
  <si>
    <t>Suaugusiųjų, besimokančių pagal neformaliojo švietimo programas, skaičius</t>
  </si>
  <si>
    <t>Vadovėliams ir mokymo priemonėms įsigyti panaudotų MK lėšų dalis nuo apskaičiuotų pagal MK metodiką</t>
  </si>
  <si>
    <t>Pedagogų kvalifikacijai tobulinti panaudotų MK lėšų dalis nuo apskaičiuotų pagal MK metodiką</t>
  </si>
  <si>
    <t>Kvalifikacijos tobulinimo VŠPT renginiuose dalyvavusių Visagino pedagogų skaičius</t>
  </si>
  <si>
    <t>VŠPT specialistų suteiktų konsultacijų skaičius per metus</t>
  </si>
  <si>
    <t> 780</t>
  </si>
  <si>
    <t>190 </t>
  </si>
  <si>
    <t>890 </t>
  </si>
  <si>
    <t> 210</t>
  </si>
  <si>
    <t> 2300</t>
  </si>
  <si>
    <t> 90</t>
  </si>
  <si>
    <t>30 </t>
  </si>
  <si>
    <t>100 </t>
  </si>
  <si>
    <t>110 </t>
  </si>
  <si>
    <t> 30</t>
  </si>
  <si>
    <t> 50</t>
  </si>
  <si>
    <t> 100</t>
  </si>
  <si>
    <t> 1500</t>
  </si>
  <si>
    <t>Mokinių, dalyvavusių šalies ir savivaldybės etapuose patvirtintų olimpiadų, konkursų, varžybų skaičius ir nugalėtojų santykis</t>
  </si>
  <si>
    <t>Atestuotų mokyklų vadovų dalis. Iš jų:</t>
  </si>
  <si>
    <t>- suteikta trečioji vadybinė kategorija</t>
  </si>
  <si>
    <t>- suteikta antroji vadybinė kategorija</t>
  </si>
  <si>
    <t>- suteikta pirmoji vadybinė kategorija</t>
  </si>
  <si>
    <t>Mokyklose dirbančių atestuotų mokytojų ir pagalbos mokiniui specialistų dalis. Iš jų:</t>
  </si>
  <si>
    <t>- suteikta mokytojo kvalifikacinė kategorija</t>
  </si>
  <si>
    <t>- suteikta vyresniojo mokytojo kvalifikacinė kategorija</t>
  </si>
  <si>
    <t>- suteikta metodininko kvalifikacinė kategorija</t>
  </si>
  <si>
    <t>Pagal Mokytojų ir pagalbos mokiniui specialistų (išskyrus psichologus) atestacijos nuostatų  IX skyrių įvykdytų peratestavimų skaičius</t>
  </si>
  <si>
    <t>Mokyklų įgyvendinamų projektų, finansuojamų iš nacionalinių arba tarptautinių fondų, skaičius</t>
  </si>
  <si>
    <t>1200 </t>
  </si>
  <si>
    <t>10 </t>
  </si>
  <si>
    <t> 9</t>
  </si>
  <si>
    <t>99 </t>
  </si>
  <si>
    <t>97 </t>
  </si>
  <si>
    <t> 51</t>
  </si>
  <si>
    <t> 159</t>
  </si>
  <si>
    <t> 5</t>
  </si>
  <si>
    <t>suteikta eksperto kvalifikacinė klasė</t>
  </si>
  <si>
    <t xml:space="preserve">Mokinių, dalyvavusių socializacijos projektuose, dalis nuo bendro mokinių skaičiaus                  </t>
  </si>
  <si>
    <t>Nacionalinių ir ES fondų lėšomis finansuotų ir kultūros įstaigų įgyvendintų projektų skaičius</t>
  </si>
  <si>
    <t>Kultūros įstaigų darbuotojų, kėlusių kvalifikaciją, dalis</t>
  </si>
  <si>
    <t>R-04-01-04</t>
  </si>
  <si>
    <t>VKC gautos lėšos už parduotus bilietus į renginius</t>
  </si>
  <si>
    <t>02.03. Uždavinys. Atnaujinti (rekonstruoti) Visagino viešuosius, ūkinius pastatus</t>
  </si>
  <si>
    <t>planas</t>
  </si>
  <si>
    <t>Mokymuose (seminaruose), kt. priemonėse dalyvavusių tarybos narių skaičius</t>
  </si>
  <si>
    <t>P-05-02-01-01</t>
  </si>
  <si>
    <t>Pirminė teisinė pagalba</t>
  </si>
  <si>
    <t xml:space="preserve">Vaikų, gaunančių vienkartines ir pastovias išmokas, skaičius </t>
  </si>
  <si>
    <t>Neįgaliesiems pritaikytų būstų procentas nuo esamo poreikio (paraiškų)</t>
  </si>
  <si>
    <t>P-06-01-03-04</t>
  </si>
  <si>
    <t>Išmokų gavėjų skaičius</t>
  </si>
  <si>
    <t>Organizacijų, kurių veikloje dalyvaujama, skaičius</t>
  </si>
  <si>
    <t>R-09-01-02</t>
  </si>
  <si>
    <t xml:space="preserve">Reprezentacinės išlaidos </t>
  </si>
  <si>
    <t>LSA nario mokestis</t>
  </si>
  <si>
    <t>Gerinti visuomenei teikiamų paslaugų kokybę, didinant jų atitiktį visuomenės poreikiams</t>
  </si>
  <si>
    <t>Aptarnautų gyvenamosios vietos deklaravimo klausimais asmenų skaičius</t>
  </si>
  <si>
    <t>Užregistruotų skundų lygių galimybių pažeidimo srityje skaičius</t>
  </si>
  <si>
    <t>Įdiegtų naujų informacinių technologijų sistemų skaičius</t>
  </si>
  <si>
    <t>Savivaldybės veiklos viešinimo veiklų (vietinės televizijos laidų, informacinių leidinių) skaičius:  * tiesioginių televizijų skaičius</t>
  </si>
  <si>
    <t>R-02-01-02</t>
  </si>
  <si>
    <t>Mokinių, kuriems padengtos kelionės išlaidos (bilietų) į (iš) mokyklas(os), skaičius</t>
  </si>
  <si>
    <t>Pateiktų paraiškų susisiekimo infrastruktūros rekonstrukcijos finansavimui gauti</t>
  </si>
  <si>
    <t>Įgyvendintų socialinių programų skaičius</t>
  </si>
  <si>
    <t>P-06-01-03-01</t>
  </si>
  <si>
    <t>Remiamų studentų skaičius</t>
  </si>
  <si>
    <t>P-01-02-04-03</t>
  </si>
  <si>
    <t>P-10-02-05-01</t>
  </si>
  <si>
    <t>ne daugiau 100 tonų (ne daugiau 3,5 kg vienam gyventojui)</t>
  </si>
  <si>
    <t>Gyventojų, dalyvaujančių sporto ir sveikatingumo renginiuose, dalis nuo savivavaldybės gyventijų</t>
  </si>
  <si>
    <t>Savivaldybės sporto varžybų ir sveikatingumo renginių dalyvių skaičius</t>
  </si>
  <si>
    <t>Miško teritorijų pavertimas kitomis naudmenomis (detaliųjų planų skaičius)</t>
  </si>
  <si>
    <t>P-09-02-02-04</t>
  </si>
  <si>
    <t>01 tikslas. Įgyvendinti bendruomenės iniciatyvas, užtikrinti gyvenamosios vietovės bendruomenės išrinktų atstovavų - seniūnaičių efektyvų darbą</t>
  </si>
  <si>
    <t>Gavusių paramą ūkio subjektų dalis nuo visų besikreipiančių paramos dėl daugiabučių namų savininkų (bedrijų) rėmimo, procentas</t>
  </si>
  <si>
    <t>Daugiabučių namų savininkų (bendrijų) rėmimui skirtų lėšų panaudojimas</t>
  </si>
  <si>
    <t>100,00 Lt/29,00 EUR</t>
  </si>
  <si>
    <t>egz.</t>
  </si>
  <si>
    <t>tūkst. Eur</t>
  </si>
  <si>
    <t>12</t>
  </si>
  <si>
    <t>Įvykdytų (įgyvendinamų) administracinės naštos mažinimo plano priemonių santykis nuo visų planuotų vykdyti</t>
  </si>
  <si>
    <t>02.03. Uždavinys. Organizuoti savivaldybės veiklą vadovaujantis šiuolaikiniais vadybos metodais</t>
  </si>
  <si>
    <t>P-01-02-03-01</t>
  </si>
  <si>
    <t>Valstybinės kalbos vartojimo  ir taisyklingumo kontrolė</t>
  </si>
  <si>
    <t>Civilinės būklės aktų registravimas</t>
  </si>
  <si>
    <t>Kelių eismo įvykių skaičiaus mažėjimas, palyginus su ankstesniais metais</t>
  </si>
  <si>
    <t>P-06-01-01-01</t>
  </si>
  <si>
    <t>Pagerėjęs Visagino savivaldybės indeksas</t>
  </si>
  <si>
    <t>E-01-02</t>
  </si>
  <si>
    <t>taip</t>
  </si>
  <si>
    <t>E-02-09</t>
  </si>
  <si>
    <t>VKC ir VVB organizuotų mėgėjų meno ir pramoginių renginių skaičius</t>
  </si>
  <si>
    <t>VKC ir VVB organizuotų edukacinių renginių skaičius</t>
  </si>
  <si>
    <t>VISAGINO SAVIVALDYBĖS 2017-2019 M. STRATEGINIO VEIKLOS PLANO VERTINIMO KRITERIJŲ SUVESTINĖ</t>
  </si>
  <si>
    <t>Parengtų (pakoreguotų) teritorijos planavimo dokumentų skaičius</t>
  </si>
  <si>
    <t>P-09-02-02-02</t>
  </si>
  <si>
    <t>ne daugiau 13 %</t>
  </si>
  <si>
    <t>ne daugiau 12 %</t>
  </si>
  <si>
    <t xml:space="preserve">Suteiktų konsultacijų (savivaldybės administracijos, VšĮ IAE regiono verslo inkubatorius) valandų skaičius </t>
  </si>
  <si>
    <t>R-09-01-03</t>
  </si>
  <si>
    <t>P-05-01-01-01</t>
  </si>
  <si>
    <t>Organizuota mokymų jaunimo organizacijų ir mokinių tarybų nariams ir dalyvauta juose, skaičius</t>
  </si>
  <si>
    <t>R-05-02-01</t>
  </si>
  <si>
    <t>R-05-02-02</t>
  </si>
  <si>
    <t xml:space="preserve">Socialinės paramos mokiniams administravimas </t>
  </si>
  <si>
    <t xml:space="preserve"> Visagino savivaldybės užimtumo didinimo programos administravimas</t>
  </si>
  <si>
    <t>Tarptautinio bendradarbiavimo plėtra</t>
  </si>
  <si>
    <t xml:space="preserve">2019 m. </t>
  </si>
  <si>
    <t xml:space="preserve">2020 m. </t>
  </si>
  <si>
    <t>Pateiktų audito išvadų ir ataskaitų skaičius</t>
  </si>
  <si>
    <t>Visagino savivaldybės užimtumo didinimo programos administravimo lėšų panaudojimas</t>
  </si>
  <si>
    <t>Asmenų, dalyvavusių užimtumo didinimo programoje, skaičius</t>
  </si>
  <si>
    <t>Viešojo aukciono būdu parduotų objektų skaičius</t>
  </si>
  <si>
    <t>Panaudotos administracijos direktoriaus rezervo lėšos esant poreikiui</t>
  </si>
  <si>
    <t>Įvykdytų ir visų planuotų vykdyti programos priemonių santykis</t>
  </si>
  <si>
    <t>Mokymuose korupcijos prevencijos srityje dalyvavusių asmenų skaičius</t>
  </si>
  <si>
    <t>Pasirašytų tarptautinio bendradarbaivimo sutarčių skaičius</t>
  </si>
  <si>
    <t>R-01-02-03</t>
  </si>
  <si>
    <t>Darbuotojų, kėlusių savo kvalifikaciją, skaičius</t>
  </si>
  <si>
    <t>02.02. Uždavinys. Gerinti visuomenei teikiamų paslaugų kokybę, didinant jų atitiktį visuomenės poreikiams</t>
  </si>
  <si>
    <t xml:space="preserve">Įvykdytų (įgyvendinamų) ir planuotų vykdyti administracinės naštos mažinimo plano priemonių santykis </t>
  </si>
  <si>
    <t>Savivaldybės veiklos viešinimo veiklų (vietinės televizijos laidų, informacinių leidinių) skaičius:</t>
  </si>
  <si>
    <t>* tiesioginių televizijos laidų skaičius</t>
  </si>
  <si>
    <t>* interneto svetainių, kuriose skelbiama informacija apie savivaldybės veiklą, skaičius</t>
  </si>
  <si>
    <t>* leidinio „V každyj dom“ numerių skaičius (per metus)</t>
  </si>
  <si>
    <t>Gyventojų, dalyvaujančių sporto ir sveikatingumo renginiuose, dalis nuo savivavaldybės gyventojų skaičiaus</t>
  </si>
  <si>
    <t>mažiau nei 1230</t>
  </si>
  <si>
    <t>Mokinių, sėkmingai išlaikiusių mokyklinius ir valstybinius brandos egzaminus, dalis nuo bendro laikiusiųjų mokyklinius ir valstybinius brandos egzaminus mokinių skaičiaus</t>
  </si>
  <si>
    <t>- suteikta eksperto kvalifikacinė klasė</t>
  </si>
  <si>
    <t>Mokinių, dalyvavusių socializacijos projektuose, dalis nuo bendro mokinių skaičiaus</t>
  </si>
  <si>
    <t>Įgyvendintų socializacijos projektų skaičius</t>
  </si>
  <si>
    <t>Savivaldybėje organizuotų sporto renginių skaičius</t>
  </si>
  <si>
    <t>Bendrakomandinė prizinė vieta tarp savivaldybių</t>
  </si>
  <si>
    <t>Organizuotų sporto renginių neįgaliesiems skaičius</t>
  </si>
  <si>
    <t>Dalyvavusių sporto renginiuose neįgaliems skaičius</t>
  </si>
  <si>
    <t>Klientų, besinaudojančių mokamomis Visagino rekreacijos paslaugų centro paslaugomis, skaičius</t>
  </si>
  <si>
    <t>Įstaigose organizuotų kultūros renginių skaičius</t>
  </si>
  <si>
    <t>Registruotų vartotojų skaičius (VVB)</t>
  </si>
  <si>
    <t>Mėgėjų meno kolektyvų, studijų dalyvių skaičius (VKC)</t>
  </si>
  <si>
    <t>02 tikslas. Įgyvendinti valstybinę kultūros politiką per kultūrinius renginius, valstybei, tautai, savivaldybei reikšmingų sukakčių ir datų minėjimus, įtraukiant į jos vyksmą kuo platesnę bendruomenės dalį</t>
  </si>
  <si>
    <t>VKC ir VVB organizuotų profesionalaus meno parodų skačius</t>
  </si>
  <si>
    <t>01 tikslas. Įgyvendinti bendruomenės iniciatyvas, užtikrinti gyvenamosios vietovės bendruomenės išrinktų atstovų – seniūnaičių efektyvų darbą</t>
  </si>
  <si>
    <t>Organizuotų mokymų jaunimo organizacijų ir mokinių tarybų nariams ir dalyvių skaičius</t>
  </si>
  <si>
    <t>Mokymuose (seminaruose), kt. priemonėse dalyvavusių jaunimo tarybos narių skaičius</t>
  </si>
  <si>
    <t>Gavusių paramą ūkio subjektų dalis nuo visų besikreipiančių paramos dėl daugiabučių namų savininkų (bendrijų) rėmimo</t>
  </si>
  <si>
    <t>Įsteigtų naujų bendrijų skaičius</t>
  </si>
  <si>
    <t>Organizuota renginių gyventojų švietimo priešgaisrinės saugos klausimais</t>
  </si>
  <si>
    <t>P-05-03-01-03</t>
  </si>
  <si>
    <t>03.02. Uždavinys. Remti daugiabučių namų savininkus (bendrijas)</t>
  </si>
  <si>
    <t>Įgyvendintų energiją taupančių priemonių, namų techninių defektų, kurie kelia grėsmę namo ar atskirų jo konstrukcijų stabilumui ir (ar) žmonių saugumui, pašalinimo (remonto) darbų, skaičius</t>
  </si>
  <si>
    <t>Rizikos šeimų vaikų, gaunančių socialines paslaugas, skaičius</t>
  </si>
  <si>
    <t>Vaikų, gaunančių vienkartines ir pastovias išmokas, skaičius</t>
  </si>
  <si>
    <t>Asmenų, gavusių socialines pašalpas, skaičius</t>
  </si>
  <si>
    <t>Neįgaliesiems pritaikytų būstų dalis nuo esamo poreikio (paraiškų)</t>
  </si>
  <si>
    <t>Globojančių vaikus šeimų, gavusių paramą, skaičius</t>
  </si>
  <si>
    <t>Socialinių būstų, kuriuose atliktas remontas, skaičius</t>
  </si>
  <si>
    <t>Bendrabučio tipo pastato, esančios Kosmoso g. 28, Visagine, patalpos pritaikytos socialinam būstui įrengti (naujai įrengtų socialinių būstų skaičius)</t>
  </si>
  <si>
    <t>Įkurtų Savarankiško gyvenimo namų Visagine skaičius</t>
  </si>
  <si>
    <t>Vaiko teisių pažeidimų prevencijos įgyvendinimo priemonių skaičius</t>
  </si>
  <si>
    <t>Įsteigtas Visagino savivaldybės visuomenės sveikatos biuras</t>
  </si>
  <si>
    <t>Organizuotų įvairių visuomenės sveikatingumo stiprinimo skatinimo renginių skaičius</t>
  </si>
  <si>
    <t>Suteiktų konsultacijų skaičius (teikia visuomenės sveikatos biuras)</t>
  </si>
  <si>
    <t>Mokinių iki 18 metų, pateikusių profilaktinio sveikatos patikrinimo pažymą, dalis</t>
  </si>
  <si>
    <t>Įgyvendinta projektų vaikų sveikos gyvensenos skatinimo srityje</t>
  </si>
  <si>
    <t>P-07-01-02-06</t>
  </si>
  <si>
    <t>Asmenų, dalyvaujančių darbo saugos mokymose, skaičius</t>
  </si>
  <si>
    <t>Organizuotas privalamasis darbuotojų sveikatos tikrinimas (Visagino savivaldybės administracijoje), darbuotojų skaičius</t>
  </si>
  <si>
    <t>Darbo vietų, kurioms atliktas rizikos vertinimas, skaičius</t>
  </si>
  <si>
    <t>ne daugiau kaip 550 tonų (ne daugiau kaip 28 kg vienam gyventojui)</t>
  </si>
  <si>
    <t>Kelių eismo įvykių skaičiaus mažėjimas, palyginti su ankstesniais metais</t>
  </si>
  <si>
    <t>Įgyvendintų/įgyvendinamų investicinių projektų, finansuojamų iš ES ir kitų fondų paramos, skaičius</t>
  </si>
  <si>
    <t>Išduotų leidimų kirsti, pertvarkyti ar genėti skaičius</t>
  </si>
  <si>
    <t>Panaudotos lėšos už paviršinių nuotekų nuotakyno sistemos tvarkymą</t>
  </si>
  <si>
    <t>Verslumo lygis (veikiančių SVV įmonių skaičius, tenkantis 1000 gyventojų)</t>
  </si>
  <si>
    <t xml:space="preserve">Gavusių paramą ūkio subjektų dalis nuo visų besikreipiančių paramos iš SVV plėtros skatinimo priemonės </t>
  </si>
  <si>
    <t>Priimtų naujai inkubuojamų įmonių skaičius (VšĮ Ignalinos atominės elektrinės regiono verslo ir turizmo informacijos centras)</t>
  </si>
  <si>
    <t>01.01. Uždavinys. Sudaryti kuo palankesnes sąlygas pradėti ir plėtoti verslą, skatinti jaunimo verslumą bei didinti gyventojų užimtumą</t>
  </si>
  <si>
    <t>Suteiktų konsultacijų (VšĮ Ignalinos atominės elektrinės regiono verslo ir turizmo informacijos centras) valandų skaičius</t>
  </si>
  <si>
    <t>Organizuotų renginių jaunimo verslumui skatinti skaičius</t>
  </si>
  <si>
    <t>Įgyvendintų gyventojų užimtumo programų skaičius</t>
  </si>
  <si>
    <t>Materialinės investicijos, tenkančios vienam gyventojui</t>
  </si>
  <si>
    <t>Materialinės investicijos to meto kainomis, tenkančios Visagino savivaldybei</t>
  </si>
  <si>
    <t>Parengtų investicinių projektų ir kitų būtinų dokumentų projektų finansavimui gauti skaičius</t>
  </si>
  <si>
    <t>02.02. Uždavinys. Kurti aplinką, kuri sąlygotų investicijų pritraukimą</t>
  </si>
  <si>
    <t>Parengtų žemės sklypų planų ir/ar kadastrinių matavimų skaičius</t>
  </si>
  <si>
    <t>Investuotojų poreikiams pritaikytų programų santykis proc. nuo visų vykdomų programų (Visagino technologijos ir verslo profesinio mokymo centras)</t>
  </si>
  <si>
    <t>02.03. Uždavinys. Sudaryti sąlygas sukurti darbo vietas aukštos pridėtinės vertės (inovatyviai) pramonei ir verslui vystyti Visagine, plėtojant jį kaip šalies Energetikos kompetencijų centrą</t>
  </si>
  <si>
    <t>Dalyvauta turizmui vystyti skirtuose renginiuose, skaičius</t>
  </si>
  <si>
    <t>Pateiktų paraiškų susisiekimo infrastruktūros rekonstrukcijos finansavimui gauti skaičius</t>
  </si>
  <si>
    <t>Vietinio reguliaraus susisiekimo maršrutuose transporto lengvatomis pasinaudojusių keleivių skaičius</t>
  </si>
  <si>
    <t>Mokinių, kuriems padengtos kelionės (bilietų) išlaidos į (iš) mokyklas(os), skaičius</t>
  </si>
  <si>
    <t>Visagino miesto pravažiuojamųjų kelių paprastojo remonto darbai (KD)</t>
  </si>
  <si>
    <t>Rekonstruotos paviršinių (lietaus) nuotekų nuotakyno dalies (kolektoriaus) ilgis (724 m), Visagino g. atkarpos rekonstrukcija</t>
  </si>
  <si>
    <t>Įrengtų elektromobilių greitojo įkrovimo prieigų skaičius</t>
  </si>
  <si>
    <t>Visagino miesto centralizuoto šildymo sistema pertvarkyta į uždarąją</t>
  </si>
  <si>
    <t>Panaudotos Valstybės investicijų programos vykdomų projektų lėšos (10 programoje)</t>
  </si>
  <si>
    <t>Įgyvendintų darnaus judumo Visagino mieste plano priemonių skaičius</t>
  </si>
  <si>
    <t>Vykdomų Valstybės investicijų programos projektų skaičius (10 programoje)</t>
  </si>
  <si>
    <t>02.04. Uždavinys. Renovuoti ir įrengti dviračių ir pėsčiųjų takus, automobilių stovėjimo, sporto ir laisvalaikio aikšteles</t>
  </si>
  <si>
    <t>02.06. Uždavinys. Vykdyti Visagino miesto energinio efektyvumo didinimo daugiabučiuose namuose programą „Visagino enervizija“</t>
  </si>
  <si>
    <t>Pėsčiųjų perėjų, kuriose įrengtas kryptinis apšvietimas, skaičius</t>
  </si>
  <si>
    <t>Naujų objektų, sukurtų projektų įgyvendinimo metu, prijungtų prie AB ESO elektros skirstomųjų tinklų, skaičius</t>
  </si>
  <si>
    <t>P-10-03-01-05</t>
  </si>
  <si>
    <t>01.01. Uždavinys.  Sudaryti sąlygas ugdyti vaikus ikimokyklinėse, bendrojo lavinimo ir neformalaus švietimo įstaigose pagal patvirtintas ugdymo programas, teikti pedagoginę, psichologinę, metodinę, aprūpinimo transportu ir kitą pagalbą mokiniams, mokytojams ir mokykloms</t>
  </si>
  <si>
    <t>VISAGINO SAVIVALDYBĖS 2019-2021 M. STRATEGINIO VEIKLOS PLANO VERTINIMO KRITERIJŲ SUVESTINĖ</t>
  </si>
  <si>
    <t xml:space="preserve">2021 m. </t>
  </si>
  <si>
    <t>Informuoti visuomenę apie savivaldybės veiklą ir formuoti teigiamą savivaldybės įvaizdį, plėtoti dalykinius santykius ir ryšius su tarptautinėmis ir vietinėmis institucijomis ir organizacijomis</t>
  </si>
  <si>
    <t>Strateginio planavimo proceso savivaldybėje organizavimas</t>
  </si>
  <si>
    <t>Projekto „Darnaus judumo infrastruktūros įrengimas Visagino mieste“ " įgyvendinimas</t>
  </si>
  <si>
    <t>Savivaldybės erdvinių duomenų rinkinio tvarkymo funkcijos atlikimas</t>
  </si>
  <si>
    <t>Viešojo aukciono būdu parduodamų objektų dokumentų parengimo išlaidos</t>
  </si>
  <si>
    <t>Projekto „Gerinti sąlygas ugdyti fiziškai aktyvią visuomenę, remontuojant, atnaujinant (modernizuojant) ir (arba) rekonstruojant esamų sporto bazių infrastruktūrą Visagino savivaldybėje" įgyvendinimas</t>
  </si>
  <si>
    <t xml:space="preserve">Korupcijos prevencijos darbams bei antikorupciniam visuomenės švietimui </t>
  </si>
  <si>
    <t>Projekto  "Smart city - Visaginas " įgyvendinimas</t>
  </si>
  <si>
    <t>Automobilių stovėjimo aikštelių viešosiose teritorijose įrengimas</t>
  </si>
  <si>
    <t>Nekilnojamojo turto kadastriniams matavimams, turto vertinimui bei teisinei registracijai atlikti</t>
  </si>
  <si>
    <t>Duomenų teikimas Suteiktos valstybės pagalbos ir nereikšmingos pagalbos registrui</t>
  </si>
  <si>
    <t>Gyvenamosios vietos deklaravimo duomenų ir gyvenamosios vietos nedeklaravusių asmenų apskaitos duomenų tvarkymas</t>
  </si>
  <si>
    <t>Socialinėms paslaugoms (socialinei globai asmenims su sunkia negalia) administruoti</t>
  </si>
  <si>
    <t>Koordinuotai teikiamų paslaugų vaikams nuo gimimo iki 18 metų (turintiems didelių ir labai didelių specialiųjų ugdymosi poreikių – iki 21 metų) ir vaiko atstovams koordinavimas</t>
  </si>
  <si>
    <t>Savivaldybės nekilnojamojo turto išlaikymas ir administravimas</t>
  </si>
  <si>
    <t>Planuoti ir grąžinti dotaciją, skirtą savivaldybės biudžetui</t>
  </si>
  <si>
    <t>KT</t>
  </si>
  <si>
    <t>Asmens duomenų apsaugos, civilinės atsakomybės funkcijų vykdymas</t>
  </si>
  <si>
    <t>Paskolų grąžinimas, palūkanų ir banko paslaugų mokėjimas</t>
  </si>
  <si>
    <t>Dalyvauti rengiant ir vykdant mobilizaciją, demobilizaciją, priimančiosios šalies paramą</t>
  </si>
  <si>
    <t xml:space="preserve">Civilinės saugos administravimas, iš jų  pasirengimas Astravo atominės elektrinės branduolinei avarijai </t>
  </si>
  <si>
    <t xml:space="preserve">VISAGINO SAVIVALDYBĖS ADMINISTRACIJOS 2024-2026 METŲ STRATEGINIS VEIKLOS PLANAS </t>
  </si>
  <si>
    <t>II SKYRIUS</t>
  </si>
  <si>
    <t>SSPP tikslai ir uždaviniai</t>
  </si>
  <si>
    <t>Stebėsenos rodiklis (matavimo vnt.)</t>
  </si>
  <si>
    <t>Siektinos stebėsenos rodiklio reikšmės</t>
  </si>
  <si>
    <t>Eil. Nr.</t>
  </si>
  <si>
    <t>Programos kodas ir pavadinimas</t>
  </si>
  <si>
    <t>1. Savivaldybės biudžetas (įskaitant skolintas lėšas)</t>
  </si>
  <si>
    <t>Iš jo:</t>
  </si>
  <si>
    <t>1.1. savivaldybės biudžeto lėšos (nuosavos, be ankstesnių metų likučio)</t>
  </si>
  <si>
    <t>1.2. Lietuvos Respublikos valstybės biudžeto dotacijos</t>
  </si>
  <si>
    <t>1.3. Pajamų įmokos ir kitos pajamos</t>
  </si>
  <si>
    <t>1.5. Skolintos lėšos</t>
  </si>
  <si>
    <t>1.6. Ankstesnių metų likučiai</t>
  </si>
  <si>
    <t>2. Kiti šaltiniai (Europos Sąjungos finansinė parama projektams įgyvendinti ir kitos teisėtai gautos lėšos, nurodant atskirus šaltinius)</t>
  </si>
  <si>
    <t>Asignavimų ir kitų lėšų pokytis, palyginti su ankstesnių metų patvirtintų asignavimų ir kitų lėšų planu</t>
  </si>
  <si>
    <t>Programos uždavinio, priemonės kodas ir požymis</t>
  </si>
  <si>
    <t>Stebėsenos rodiklio kodas</t>
  </si>
  <si>
    <t>Siektinos stebėsenos rodiklių reikšmės</t>
  </si>
  <si>
    <t>Savivaldybės strateginio plėtros plano rodiklis</t>
  </si>
  <si>
    <t>Rodiklio pavadinimas, matavimo vnt.</t>
  </si>
  <si>
    <t>Planuojamos rodiklių reikšmės</t>
  </si>
  <si>
    <t>1.</t>
  </si>
  <si>
    <t>Ugdytinių skaičius</t>
  </si>
  <si>
    <t>Priemonių įgyvendinimas pagal planuotus terminus, proc.</t>
  </si>
  <si>
    <t>Patvirtinta startegija</t>
  </si>
  <si>
    <t>2023 m. priemonės įgyvendintos 100 proc.</t>
  </si>
  <si>
    <t>Dalyvavusių ugdytinių skaičius</t>
  </si>
  <si>
    <t>Sporto šakų skaičius</t>
  </si>
  <si>
    <t>Finansuotų ir įgyvendintų programų skaičius</t>
  </si>
  <si>
    <t>Finansuotų ir įgyvendintų projektų (VB, ES fondų, programų lėšomis) skaičius</t>
  </si>
  <si>
    <t>Pritrauktų lėšų procentinis santykis su SB skiriamais asignavimais</t>
  </si>
  <si>
    <t>7 proc.</t>
  </si>
  <si>
    <t>8 proc.</t>
  </si>
  <si>
    <t>9 proc.</t>
  </si>
  <si>
    <t>Už teikiamas paslaugas gautų lėšų procentinis santykis su SB skiriamais asignavimais</t>
  </si>
  <si>
    <t>5 proc.</t>
  </si>
  <si>
    <t>Pradėtų teikti naujų mokamų paslaugų skaičius</t>
  </si>
  <si>
    <t>Sukurtos svetainės struktūra ir turinys atitinka reikalavimus proc.</t>
  </si>
  <si>
    <t>90 proc.</t>
  </si>
  <si>
    <t>100 proc.</t>
  </si>
  <si>
    <t>Parengtų ir paskelbtų informacinių pranešimų, straipsnių interneto svetainėje skaičius</t>
  </si>
  <si>
    <t>Renginių skaičius</t>
  </si>
  <si>
    <t>Sportininkų skaičius</t>
  </si>
  <si>
    <t>Įgyvendintų iniciatyvų skaičius</t>
  </si>
  <si>
    <t xml:space="preserve">0 proc. </t>
  </si>
  <si>
    <t xml:space="preserve">5 proc. </t>
  </si>
  <si>
    <t xml:space="preserve">15 proc. </t>
  </si>
  <si>
    <t xml:space="preserve">22 proc. </t>
  </si>
  <si>
    <t xml:space="preserve">70 proc. </t>
  </si>
  <si>
    <t xml:space="preserve">100 proc. </t>
  </si>
  <si>
    <t>Komandų skaičius</t>
  </si>
  <si>
    <t>≥50</t>
  </si>
  <si>
    <t>Patvirtinta strategija</t>
  </si>
  <si>
    <t>Sportininkų, dalyvavusių varžybose, skaičius</t>
  </si>
  <si>
    <t>&gt;50</t>
  </si>
  <si>
    <t>Pateiktų projektų (VB, ES fondų, programų lėšomis) skaičius</t>
  </si>
  <si>
    <t xml:space="preserve">20 proc. </t>
  </si>
  <si>
    <t xml:space="preserve">Veiklose dalyvavusių oficialiai JRD registruotų savanorių skaičius, vnt. </t>
  </si>
  <si>
    <t>3 proc.</t>
  </si>
  <si>
    <t>0,5 proc.</t>
  </si>
  <si>
    <t>1 proc.</t>
  </si>
  <si>
    <t>Organizuotų renginių skaičius</t>
  </si>
  <si>
    <t>VšĮ Visagino ekonomikos plėtros agentūra</t>
  </si>
  <si>
    <t>1.1.</t>
  </si>
  <si>
    <t>1.2.</t>
  </si>
  <si>
    <t>10000 Eur</t>
  </si>
  <si>
    <t>Naujų gydytojų pritraukimas ir įdarbinimas ne mažiau nei 1 gydytoją per metus</t>
  </si>
  <si>
    <t>2024 metai</t>
  </si>
  <si>
    <t>2025 metai</t>
  </si>
  <si>
    <t>Šilumos tiekimo tinklų rekonstravimas, tinklų ilgis km</t>
  </si>
  <si>
    <t>Biokuro vandens šildymo katilo kuro padavimo transporterio remontas, vnt.</t>
  </si>
  <si>
    <t>Geriamojo vandens tiekimo tinklų rekonstravimas, tinklų ilgis km</t>
  </si>
  <si>
    <t>Įrangos ir įrankių įsigijimas Vandenvietės ir valymo įrangos baro veiklai užtikrinti, kompl.</t>
  </si>
  <si>
    <t>Nuotekų surinkimo tinklų rekonstravimas, tinklų ilgis km</t>
  </si>
  <si>
    <t>Nuotekų ir paviršinio vandens tyrimų laboratorijos akreditavimas, vnt.</t>
  </si>
  <si>
    <t>Apskaitos prietaisų su nuotoliniu duomenų nuskaitymu sistemų įrengimas, daugiabučių namų skaičius (vnt.)</t>
  </si>
  <si>
    <t>IP telefonijos įdiegimas, vnt.</t>
  </si>
  <si>
    <t>Dalyvavusių mokymuose darbuotojų skaičius, asm.</t>
  </si>
  <si>
    <t>2.</t>
  </si>
  <si>
    <t>3.</t>
  </si>
  <si>
    <t>5.</t>
  </si>
  <si>
    <t>6.</t>
  </si>
  <si>
    <t>7.</t>
  </si>
  <si>
    <t>8.</t>
  </si>
  <si>
    <t>Priemonė</t>
  </si>
  <si>
    <t>Įvykdymo terminas</t>
  </si>
  <si>
    <t>Vidaus administravimo ir informacinių technologijų skyrius</t>
  </si>
  <si>
    <t xml:space="preserve">Įdiegta informacinė kapinių skaitmeninimo sistema </t>
  </si>
  <si>
    <t>Skatinti asmenis ar ūkio subjektus naudotis el. paslaugomis savivaldybės interneto svetainėje</t>
  </si>
  <si>
    <t xml:space="preserve">Kartą per ketvirtį  </t>
  </si>
  <si>
    <t xml:space="preserve">Savivaldybės administracijos skyriai </t>
  </si>
  <si>
    <t>Paskelbta informacija svetainėje, FB paskyroje</t>
  </si>
  <si>
    <t xml:space="preserve">4. </t>
  </si>
  <si>
    <t>Peržiūrėti priimtus Visagino savivaldybės tarybos sprendimus, reglamentuojančius administracinių paslaugų teikimo aprašymus, ir įvertinus perteklinius informacinius įpareigojimus (ataskaitų teikimo dažnumą, popierinių dokumentų teikimą, terminus ir pan.) juos atnaujinti</t>
  </si>
  <si>
    <t>Teisės aktai peržiūrimi pagal poreikį (arba pasikeitus teisiniam reglamentavimui)</t>
  </si>
  <si>
    <t>Kartą per pusmetį teikti informaciją apie Administracinės naštos mažinimo plano priemonių įgyvendinimą Centralizuotam savivaldybės vidaus audito skyriui</t>
  </si>
  <si>
    <t>Visi savivaldybės administracijos skyriai ir į padalinius neįeinantys valstybės tarnautojai</t>
  </si>
  <si>
    <t>Kartą per pusmetį, atlikus Administracinės naštos mažinimo priemonių plano vykdymo vertinimą</t>
  </si>
  <si>
    <t>Centralizuotas vidaus audito skyrius</t>
  </si>
  <si>
    <t>Savivaldybės interneto svetainėje paskelbti informaciją apie administracinės naštos mažinimo priemonių vykdymą.</t>
  </si>
  <si>
    <t>Paskelbta informacija svetainėje</t>
  </si>
  <si>
    <t>Nurodyti ir įvertinti praėjusio ataskaitinio laikotarpio administracinės naštos mažinimo priemonių vykdymo rezultatus tarybos veiklos ataskaitoje</t>
  </si>
  <si>
    <t xml:space="preserve">Visagino savivaldybės taryba </t>
  </si>
  <si>
    <t xml:space="preserve">
Sėkmingai plėtoti ir įgyvendinti savivaldos teisę, užtikrinti subalansuotą plėtrą bei kokybiškai vykdyti viešojo administravimo ir viešųjų paslaugų teikimo funkcijas, tenkinant Visagino savivaldybės bendruomenės viešuosius poreikius ir interesus</t>
  </si>
  <si>
    <t>2026 metai</t>
  </si>
  <si>
    <t xml:space="preserve">                             SAVIVALDYBĖS PLĖTROS TIKSLAI, UŽDAVINIAI IR JŲ STEBĖSENOS RODIKLIAI</t>
  </si>
  <si>
    <t>E-1.1-1 Dirbančiųjų skaičius (tūkst. asm.)</t>
  </si>
  <si>
    <t>Siekiama stebėsenos rodiklio reikšmė (2030)</t>
  </si>
  <si>
    <t>Faktinė stebėsenos rodiklio reikšmė (2023)</t>
  </si>
  <si>
    <t>Materialinės investicijos, tenkančios 1-am gyventojui (Eur)</t>
  </si>
  <si>
    <t>Pritraukta naujų tiesioginių užsienio investicijų, tenkančių 1-am gyventojui (Eur)</t>
  </si>
  <si>
    <t>1116 Eur (2020)</t>
  </si>
  <si>
    <t>571 Eur  (2020)</t>
  </si>
  <si>
    <t>Ne mažiau kaip 1200 Eur (2030 )</t>
  </si>
  <si>
    <t>800 Eur (2030 m)</t>
  </si>
  <si>
    <t>Verslumo lygis (veikiančių SVV įmonių skaičius, tenkantis 1000 gyv., koef.)</t>
  </si>
  <si>
    <t>Gyventojų aktyvumas, vykdant individualią veiklą (gyventojų, besiverčiančių veikla pagal individualios veiklos pažymą ir verslo liudijimus, skaičius, tenkantis 1000-iui gyv., koef.)</t>
  </si>
  <si>
    <t>Sukurti ir įgyvendinti verslumo skatinimo programą</t>
  </si>
  <si>
    <t>Bendradarbystės centro „Spiečius“ narių skaičius</t>
  </si>
  <si>
    <t>Ne mažiau kaip 20 (2030)</t>
  </si>
  <si>
    <t>Ne mažiau kaip 5 (2030)</t>
  </si>
  <si>
    <t>1 (2024)</t>
  </si>
  <si>
    <t>100 (2030)</t>
  </si>
  <si>
    <t xml:space="preserve">15,5 (2022) </t>
  </si>
  <si>
    <t>1,52 (2022)</t>
  </si>
  <si>
    <t>0 (2022)</t>
  </si>
  <si>
    <t>15 (2022)</t>
  </si>
  <si>
    <t>Strateginėse verslo kryptyse veikiančių verslo subjektų skaičius</t>
  </si>
  <si>
    <t>1.1.-1</t>
  </si>
  <si>
    <t>8 (2030)</t>
  </si>
  <si>
    <t xml:space="preserve">0 (2022) </t>
  </si>
  <si>
    <t>5 (2030)</t>
  </si>
  <si>
    <t>1.1.-3</t>
  </si>
  <si>
    <t xml:space="preserve">Sukurti tinkamas sąlygas strateginėms verslo kryptims plėtotis Visagino savivaldybėje </t>
  </si>
  <si>
    <t>2 (2022)</t>
  </si>
  <si>
    <t>4 (2030)</t>
  </si>
  <si>
    <t>Nakvynių skaičius apgyvendinimo įstaigose, vnt.</t>
  </si>
  <si>
    <t>506 (2022)</t>
  </si>
  <si>
    <t>700 (2030)</t>
  </si>
  <si>
    <t>1.2.-1</t>
  </si>
  <si>
    <t>Turistų, apsilankiusių VTPC, dalis sezono metu (gegužės–rugpjūčio mėn.), palyginti su bendruoju metiniu turistų skaičiumi (proc.)</t>
  </si>
  <si>
    <t>72 (2022)</t>
  </si>
  <si>
    <t>50 (2030)</t>
  </si>
  <si>
    <t>10 (2030)</t>
  </si>
  <si>
    <t>3 (2030)</t>
  </si>
  <si>
    <t>Suformuotų turistų traukos objektų skaičius (vnt.)</t>
  </si>
  <si>
    <t>1.2.-3</t>
  </si>
  <si>
    <t>Asmenų, dalyvavusių perduodant Visagino daugiataučio kultūros paveldo ir tradicijų per turizmo ir edukacines veiklas, skaičius</t>
  </si>
  <si>
    <t>Visagino savivaldybės bendrojo ugdymo mokyklų tinklo pertvarkos 2022–2026 metų bendrojo plano kokybinių pokyčių / priemonių  įgyvendinimas, proc.</t>
  </si>
  <si>
    <t>98 (2026)</t>
  </si>
  <si>
    <t>2.1.-1</t>
  </si>
  <si>
    <t>Padidinti ugdymo paslaugų prieinamumą ir įtrauktį kuriant naujas ikimokyklinio ugdymo vietas ir efektyviai veikiančių mokyklų infrastruktūrą pritaikant vaikams su negalia bei bendriesiems ugdymo poreikiams gerinti</t>
  </si>
  <si>
    <t>Ikimokyklinio ugdymo įstaigų talpumas (vietų skaičius), vnt.</t>
  </si>
  <si>
    <t>895 (2022)</t>
  </si>
  <si>
    <t>983 (2027)</t>
  </si>
  <si>
    <t>Mokyklų, kuriose buvo įdiegtos universalaus dizaino ir kitos inžinerinės priemonės, aplinką pritaikant asmenims, turintiems negalią, dalis nuo visų mokyklų</t>
  </si>
  <si>
    <t>40 (2023)</t>
  </si>
  <si>
    <t>2.1.-2</t>
  </si>
  <si>
    <t>Plėtoti įvairialypį švietimą vykdant visos dienos mokyklų veiklą</t>
  </si>
  <si>
    <t>Neformaliojo vaikų švietimo galimybėmis pasinaudojusių mokinių dalis (išskyrus ikimokykliniame ir priešmokykliniame ugdyme dalyvaujančius vaikus) (proc.)</t>
  </si>
  <si>
    <t>46,9  (2027)</t>
  </si>
  <si>
    <t>Stiprinti mokyklas įgalinant dirbti su įvairių galių ir gebėjimų mokiniais, kurie mokyklų pedagogų, mokymosi aplinkos padedami ir motyvuojami įveikia barjerus ir pasiekia maksimalų savo individualių galimybių mokymosi rezultatą</t>
  </si>
  <si>
    <t>Visagino savivaldybės ugdymo įstaigų, dalyvavusių Tūkstantmečio gimnazijų programos veiklose skaičius</t>
  </si>
  <si>
    <t>3  (2030)</t>
  </si>
  <si>
    <t>2.1.-4</t>
  </si>
  <si>
    <t>Skatinti mokinių domėjimąsi gamtos mokslais, matematika, technologijomis ir kt. veiklomis, išbandant save įvairiose praktinėse-tiriamosiose veiklose</t>
  </si>
  <si>
    <t>Pasirašytų bendradarbiavimo sutarčių su verslo atstovais skaičius</t>
  </si>
  <si>
    <t>2.1.-5</t>
  </si>
  <si>
    <t>Skatinti kokybinę kaitą bei lyderystės raišką švietimo įstaigose išbandant / taikant inovatyvius mokymo(si) modelius, aktyviai dalyvaujant projektinėje veikloje</t>
  </si>
  <si>
    <t>1(2022)</t>
  </si>
  <si>
    <t>6 (2030)</t>
  </si>
  <si>
    <t>90 (2030)</t>
  </si>
  <si>
    <t>2.1.-6</t>
  </si>
  <si>
    <t>Siekti, kad visi turėtų lanksčių kvalifikacijos kėlimo ir persikvalifikavimo galimybių, atsižvelgiant į verslumo ir skaitmeninius įgūdžius, geriau numatyti pokyčius ir naujų įgūdžių reikalavimus, grindžiamus darbo rinkos poreikiais, sudaryti palankesnes sąlygas keisti profesinę veiklą ir skatinti profesinį judumą</t>
  </si>
  <si>
    <t>Asmenų, kurie dalyvavę mokymuose įgijo kompetenciją, dalis proc. nuo visų besimokančiųjų VTVPMC</t>
  </si>
  <si>
    <t>98 (2030)</t>
  </si>
  <si>
    <t>80 (2030)</t>
  </si>
  <si>
    <t>30 (2030)</t>
  </si>
  <si>
    <t>Sudaryti sąlygas visų amžiaus grupių ir galimybių visaginiečiams jų sveikai gyvensenai, fiziniam aktyvumui, sportavimui bei siekti, kad tai taptų savivaldybės bendruomenės gyvensenos dalimi</t>
  </si>
  <si>
    <t>Veikiančių atvirų sporto erdvių  skaičius (vnt.)</t>
  </si>
  <si>
    <t>10 (2022)</t>
  </si>
  <si>
    <t>21 (2030)</t>
  </si>
  <si>
    <t>2.2-1</t>
  </si>
  <si>
    <t>Didinti fizinio aktyvumo lygį visose savivaldybės gyventojų amžiaus grupėse, plėsti galimybes bendruomenės fiziniam aktyvumui ir sveikatinimo veikloms</t>
  </si>
  <si>
    <t>Sporto varžybose ir sveikatingumo renginiuose dalyvavusių asmenų  skaičius, vnt. per metus</t>
  </si>
  <si>
    <t>2466 (2021)</t>
  </si>
  <si>
    <t xml:space="preserve">Kasmet, didėjantis ne mažiau kaip 20 proc. </t>
  </si>
  <si>
    <t>2.2-2</t>
  </si>
  <si>
    <t>Vykdyti talentingų sportininkų atranką, sudaryti jiems tinkamas sąlygas meistriškumui didinti</t>
  </si>
  <si>
    <t>20 (2022)</t>
  </si>
  <si>
    <t>40 (2030)</t>
  </si>
  <si>
    <t>2.2-3</t>
  </si>
  <si>
    <t>Gerinti sporto ir fizinio aktyvumo specialistų kvalifikaciją ir pritraukti naujus specialistus, kurių kompetencijos reikalingos bendruomenės poreikiams tenkinti, sporto ir fizinio aktyvumo paslaugų plėtrai ir kokybės užtikrinimui</t>
  </si>
  <si>
    <t>Kvalifikaciją patobulinusių sportinio ugdymo specialistų, dirbančių Visagino savivaldybės įstaigose, skaičius (proc.)</t>
  </si>
  <si>
    <t>30 2022)</t>
  </si>
  <si>
    <t>2.2-4</t>
  </si>
  <si>
    <t>Didinti visuomenės informuotumą apie fizinio aktyvumo naudą ir vykdyti sporto informacijos sklaidą</t>
  </si>
  <si>
    <t>Informacinėmis priemonėmis pasiektų asmenų dalis proc. nuo visų gyventojų</t>
  </si>
  <si>
    <t>2.2-5</t>
  </si>
  <si>
    <t>Plėtoti ir atnaujinti sporto infrastruktūrą, aprūpinti poreikius atitinkančia įranga ir inventoriumi sudarant tinkamas sąlygas bendruomenės fiziniam aktyvumui, aukšto meistriškumo sportininkų rengimui bei varžybų nuo savivaldybės lygmens iki tarptautinių vykdymui</t>
  </si>
  <si>
    <t>Asmenų dalyvavusių aukšto lygio sporto varžybose dalis proc. nuo visų gyventojų</t>
  </si>
  <si>
    <t>Įgyvendinti valstybinę kultūros politiką ir formuoti regioninį identitetą, stiprinti pilietiškumą ir bendruomenės į(si)traukimą į kūrybines, kultūrines veiklas</t>
  </si>
  <si>
    <t>Gyventojų, bent kartą per mėnesį besilankančių viešuose kultūros renginiuose, dalis proc. nuo bendro gyventojų skaičiaus</t>
  </si>
  <si>
    <t>70 (2030)</t>
  </si>
  <si>
    <t>2.3.-1</t>
  </si>
  <si>
    <t>Formuoti Visagino, kaip daugiakultūrio miesto, atviro kultūrinėms inovacijoms ir patrauklaus profesionalaus meno sklaidai, laukiančio svečių, reputaciją</t>
  </si>
  <si>
    <t>Kultūros renginiuose apsilankiusių asmenų skaičius proc. nuo bendro gyventojų skaičiaus</t>
  </si>
  <si>
    <t>0  (2022)</t>
  </si>
  <si>
    <t>80  (2030)</t>
  </si>
  <si>
    <t>2.3.-2</t>
  </si>
  <si>
    <t>Visagino savivaldybėje sukurti palankiausiais regione sąlygas menininkų kūrybai ir kūrybiniams verslams vystytis</t>
  </si>
  <si>
    <t xml:space="preserve">Naujai susikūrusių kūrybinių verslų skaičius </t>
  </si>
  <si>
    <t>2.3.-3</t>
  </si>
  <si>
    <t>Plėtoti / tobulinti pagal kintančius bendruomenės poreikius kultūros infrastruktūrą bei užtikrinti kultūros, laisvalaikio, kūrybos erdvių prieinamumą bendruomenei ir kūrėjams</t>
  </si>
  <si>
    <t xml:space="preserve">Naujai įkurtų erdvių, kuriose skatinamos meniškos ir meninės veiklos, skaičius </t>
  </si>
  <si>
    <t>2.3.-4</t>
  </si>
  <si>
    <t>Sudaryti palaikančias ir motyvuojančias sąlygas etninės kultūros sklaidai, Dainų švenčių tradicijos tęstinumui, senųjų tradicijų, papročių populiarinimui, jų gyvybingumo puoselėjimui</t>
  </si>
  <si>
    <t>Asmenų, dalyvavusių etninės kultūros renginiuose, dalis proc. nuo visų savivaldybės gyventojų</t>
  </si>
  <si>
    <t>2.3.-5</t>
  </si>
  <si>
    <t>Stiprinti įstaigų partnerystę / tinklaveiką, plėtoti projektinę veiklą</t>
  </si>
  <si>
    <t>Asmenų, dalyvavusių kultūros ir švietimo bendradarbiavimo  veiklose, dalis proc. nuo visų savivaldybės gyventojų</t>
  </si>
  <si>
    <t>2.3.-6</t>
  </si>
  <si>
    <t>Ugdyti įvairiakalbę, kritiškai mąstančią Visagino bendruomenę, kurią jungia valstybinė kalba ir pagarba valstybei</t>
  </si>
  <si>
    <t>Gyventojų, dalyvavusių pilietinio ugdymo veiklose, dalis proc. nuo visų savivaldybės gyventojų</t>
  </si>
  <si>
    <t>Stiprinti ir puoselėti gyventojų sveikatą</t>
  </si>
  <si>
    <t>Vidutinė tikėtina gyvenimo trukmė (metais)</t>
  </si>
  <si>
    <t xml:space="preserve">76  (2020 m.)  </t>
  </si>
  <si>
    <t>78,3 (2030)</t>
  </si>
  <si>
    <t>2.4.-1</t>
  </si>
  <si>
    <t>Užtikrinti prieinamas aukštos kokybės sveikatos priežiūros paslaugas</t>
  </si>
  <si>
    <t>187,5 (2021)</t>
  </si>
  <si>
    <t>Mažėjantis</t>
  </si>
  <si>
    <t>2.4.-2</t>
  </si>
  <si>
    <t>Išplėsti su visuomenės sveikatos stiprinimu susijusias paslaugas</t>
  </si>
  <si>
    <t>Visuomenės sveikatos stiprinimo veiklose dalyvavusios tikslinės grupės dalis (proc.):</t>
  </si>
  <si>
    <t>Ikimokyklinio ir mokyklinio amžiaus vaikai (0–18 m.)</t>
  </si>
  <si>
    <t>50 (2021)</t>
  </si>
  <si>
    <t>12 (2021)</t>
  </si>
  <si>
    <t>0 (2030)</t>
  </si>
  <si>
    <t>Socialines paslaugas gavusių asmenų skaičius proc. nuo bendro gyventojų skaičiaus</t>
  </si>
  <si>
    <t>8 ( 2022)</t>
  </si>
  <si>
    <t>Ne mažiau  kaip  12 (2030)</t>
  </si>
  <si>
    <t>2.5-1</t>
  </si>
  <si>
    <t>Pagerinti  ir plėsti socialinių paslaugų kokybę ir prieinamumą bei sukurti jų plėtrai reikalingą  infrastruktūrą</t>
  </si>
  <si>
    <t>21 proc. (2021)</t>
  </si>
  <si>
    <t>Ne mažiau kaip 26 proc. (2030)</t>
  </si>
  <si>
    <t>Sudaryti galimybes jaunimui atvykti, dirbti ir gyventi Visagino savivaldybėje</t>
  </si>
  <si>
    <t xml:space="preserve">Jaunimo (14–29 metų amžiaus) dalis nuo bendro Visagino savivaldybės gyventojų skaičiaus (proc.) </t>
  </si>
  <si>
    <t xml:space="preserve">12,94 (2021)  </t>
  </si>
  <si>
    <t>13,5 (2030)</t>
  </si>
  <si>
    <t>2.6-1</t>
  </si>
  <si>
    <t>Pritaikyti viešąsias erdves jaunimo poreikiams</t>
  </si>
  <si>
    <t>Jaunimo poreikiams pritaikytų jaunimo erdvių skaičius (vnt.)</t>
  </si>
  <si>
    <t>2.6-2</t>
  </si>
  <si>
    <t>Sudaryti sąlygas jaunimo savirealizacijai</t>
  </si>
  <si>
    <t>Jaunuolių, turinčių Jaunimo savanoriškos tarnybos (JST) pažymėjimą, skaičius (per metus)</t>
  </si>
  <si>
    <t>4 (2022)</t>
  </si>
  <si>
    <t>Ne mažiau kaip 30 (2030)</t>
  </si>
  <si>
    <t>80 (2022)</t>
  </si>
  <si>
    <t xml:space="preserve">Gyventojų socialinio, pilietinio aktyvumo, dalyvavimo savanoriškoje, visuomeninėje veikloje, tarpusavio pasitikėjimo, bendruomenės socialinės atsakomybės ir įsitraukimo didinimas  </t>
  </si>
  <si>
    <t>2.7.-1</t>
  </si>
  <si>
    <t>Stiprinti nevyriausybines ir bendruomenines organizacijas, gerinti aplinką jų veiklai, remti pilietines iniciatyvas</t>
  </si>
  <si>
    <t xml:space="preserve">Veikiančių nevyriausybinių ir bendruomeninių organizacijų skaičius </t>
  </si>
  <si>
    <t>2.7.-2</t>
  </si>
  <si>
    <t>Įtraukti nevyriausybinį sektorių į viešųjų paslaugų teikimą, tinkamai pasinaudoti iš bendruomenės kylančiomis iniciatyvomis vietos plėtrai</t>
  </si>
  <si>
    <t>Savivaldybės viešųjų paslaugų, kurias teikia nevyriausybinės ir bendruomeninės organizacijos, dalis proc. nuo visų teikiamų paslaugų</t>
  </si>
  <si>
    <t>2.7.-3</t>
  </si>
  <si>
    <t>Sudaryti galimybes bendruomenei įsitraukti ir aktyviai dalyvauti sprendžiant jai aktualius klausimus</t>
  </si>
  <si>
    <t>Tobulinti viešojo valdymo sistemą, didinti jos efektyvumą ir atvirumą</t>
  </si>
  <si>
    <t>Ne mažiau kaip 55 (2030)</t>
  </si>
  <si>
    <t>2.8.-1</t>
  </si>
  <si>
    <t>Gerinti viešojo valdymo institucijų teikiamų paslaugų kokybę, didinti jų prieinamumą ir patrauklumą</t>
  </si>
  <si>
    <t>Gyventojų, per paskutinius 12 mėnesių dalyvavusių sprendžiant viešuosius vietos reikalus, dalis proc.</t>
  </si>
  <si>
    <t>30 (2022)</t>
  </si>
  <si>
    <t>Ne mažiau kaip 70 (2030)</t>
  </si>
  <si>
    <t>2.8.-2</t>
  </si>
  <si>
    <t>Kurti ir plėtoti saugią aplinką Visagino savivaldybėje</t>
  </si>
  <si>
    <t>Parengta ir įgyvendinta  Kompleksinės saugumo stiprinimo ir saugios savivaldybės plėtros programa, vnt.</t>
  </si>
  <si>
    <t xml:space="preserve">1/1 (2030) </t>
  </si>
  <si>
    <t xml:space="preserve">2.8.-3 </t>
  </si>
  <si>
    <t>Sustiprinti teigiamą Visagino savivaldybės  įvaizdį ir komunikaciją</t>
  </si>
  <si>
    <t>Savivaldybės išorinės komunikacijos lygis, auditorijos dydis (medijų paskyrų sekėjai, interneto svetainės naudotojai, naujienlaiškių prenumeratoriai ir kt.)</t>
  </si>
  <si>
    <t>„Facebook“ 3 486 tūkst. (2022)</t>
  </si>
  <si>
    <t>140 t (2022)</t>
  </si>
  <si>
    <t>Mažėjantis iki 100 t(2030)</t>
  </si>
  <si>
    <t>3.1-1</t>
  </si>
  <si>
    <t>~8000 (2022)</t>
  </si>
  <si>
    <t>~19000 (2030)</t>
  </si>
  <si>
    <t>3.1-2</t>
  </si>
  <si>
    <t xml:space="preserve">Auto įvykių skaičius per metus </t>
  </si>
  <si>
    <t>10 (2021)</t>
  </si>
  <si>
    <t>3.1-3</t>
  </si>
  <si>
    <t>Pagerinti viešojo transporto paslaugų teikimą gyventojams</t>
  </si>
  <si>
    <t>Ne mažesnis kaip 2 proc. (2030)</t>
  </si>
  <si>
    <t>Skatinti tvarų miesto teritorijos vystymą</t>
  </si>
  <si>
    <t>Gyventojų skaičiaus metinis pokytis (pagal vidutinį metinį gyventojų skaičių) (proc.)</t>
  </si>
  <si>
    <t>19 707 (2022)</t>
  </si>
  <si>
    <t>Teigiamas, ne mažesnis kaip 1 proc. per metus</t>
  </si>
  <si>
    <t>3.2-1</t>
  </si>
  <si>
    <t>Plėsti, prižiūrėti ir modernizuoti teritorijas, įrengiant reikalingą infrastruktūrą</t>
  </si>
  <si>
    <t>Sutvarkyta / įrengta / atnaujinta teritorijų, ha</t>
  </si>
  <si>
    <t>3.2-2</t>
  </si>
  <si>
    <t xml:space="preserve">Skatinti kokybišką urbanistinį ir teritorijų planavimą  </t>
  </si>
  <si>
    <t>Pagal bendrojo plano sprendinius parengtų žemesnio lygio teritorijų planavimo dokumentų skaičius</t>
  </si>
  <si>
    <t xml:space="preserve">4 (2022) </t>
  </si>
  <si>
    <t>3.2-3</t>
  </si>
  <si>
    <t>Užtikrinti  kultūros paveldo objektų priežiūrą</t>
  </si>
  <si>
    <t xml:space="preserve">Visuomenei atvertų kultūros paveldo objektų skaičius </t>
  </si>
  <si>
    <t>Skatinti žaliąją savivaldybės plėtrą</t>
  </si>
  <si>
    <t>Teršalų, išmestų į aplinkos orą iš stacionarių taršos šaltinių,  tonos</t>
  </si>
  <si>
    <t>606,88 (2021)</t>
  </si>
  <si>
    <t>500 (2030)</t>
  </si>
  <si>
    <t>3.3.-1</t>
  </si>
  <si>
    <t>Užtikrinti tvarų kraštovaizdžio vystymą(si), išsaugant ekosistemas ir prisitaikant prie klimato kaitos</t>
  </si>
  <si>
    <t>21 (2022)</t>
  </si>
  <si>
    <t>Nemažėjantis (2030)</t>
  </si>
  <si>
    <t>3.3.-2</t>
  </si>
  <si>
    <t>Skatinti energijos taupymą, atsinaujinančių ir alternatyvių energijos išteklių naudojimą</t>
  </si>
  <si>
    <t>Atsinaujinančio kuro dalis centrinio šildymo sistemoje (proc.)</t>
  </si>
  <si>
    <t>84 (2022)</t>
  </si>
  <si>
    <t>Savivaldybės įstaigų ir įmonių, įdiegusių atsinaujinančių ir alternatyvių energijos išteklių priemones savo pastatuose, dalis (proc.)</t>
  </si>
  <si>
    <t>Atnaujinta (modernizuota) daugiabučių namų nuo bendro nerenovuotų daugiabučių namų skaičiaus dalis proc.</t>
  </si>
  <si>
    <t>3.3-3</t>
  </si>
  <si>
    <t>Modernizuoti miesto inžinerinę infrastruktūrą laikantis inovatyvumo ir ekologiškumo principų</t>
  </si>
  <si>
    <t>0,279 (2022)</t>
  </si>
  <si>
    <t>Ne mažiau kaip 2,390 (2030)</t>
  </si>
  <si>
    <t>Atnaujinti geriamojo vandens tiekimo tinklai, km</t>
  </si>
  <si>
    <t>0,978 (2022)</t>
  </si>
  <si>
    <t>Ne mažiau kaip 6,353 (2030)</t>
  </si>
  <si>
    <t>Atnaujinti nuotekų surinkimo tinklai, km</t>
  </si>
  <si>
    <t>Ne mažiau kaip 0,230 (2030)</t>
  </si>
  <si>
    <t>Ne mažiau kaip 4 (2030)</t>
  </si>
  <si>
    <t>3.3-4</t>
  </si>
  <si>
    <t>Sąvartynuose šalinamų atliekų dalis, palyginti su bendru komunalinių atliekų srautu (proc.)</t>
  </si>
  <si>
    <t>19,9  (2021)</t>
  </si>
  <si>
    <t>Perdirbta, pakartotinai ar kitaip panaudota (pvz., energijai gauti) dalis, palyginti su visomis surinktomis ir susidariusiomis atliekomis (proc.)</t>
  </si>
  <si>
    <t>62,2 (2021)</t>
  </si>
  <si>
    <t>77,0 (2030)</t>
  </si>
  <si>
    <t>3.3-5</t>
  </si>
  <si>
    <t>Stebimų aplinkos monitoringo objektų (pvz., oras, paviršinis vanduo, maudyklos, dirvožemis, triukšmas ir kt.) skaičius, vnt.</t>
  </si>
  <si>
    <t xml:space="preserve">2.1.-3 </t>
  </si>
  <si>
    <t xml:space="preserve">2.2. </t>
  </si>
  <si>
    <t xml:space="preserve">2.3. </t>
  </si>
  <si>
    <t xml:space="preserve">2.4. </t>
  </si>
  <si>
    <t>Stacionaro ligonių skaičius, tenkantis 1 tūkst. Gyventojų</t>
  </si>
  <si>
    <t>Didėjantis arba ne mažesnis kaip 80,0 proc. (2030</t>
  </si>
  <si>
    <t>Didėjantis arba ne mažesnis kaip 25 proc. (2030</t>
  </si>
  <si>
    <t>2.5.</t>
  </si>
  <si>
    <t>Teikiamų socialinių paslaugų rūšių (bendrųjų socialinių paslaugų, socialinės priežiūros paslaugų, socialinės globos paslaugų ir kt. ) skaičius (vnt</t>
  </si>
  <si>
    <t xml:space="preserve">2.6. </t>
  </si>
  <si>
    <t>Pilietinės visuomenės ir privačiojo sektoriaus
subjektai, dalyvavę rengiant ir (ar) įgyvendinant miestui svarbių klausimų sprendimus, vnt.</t>
  </si>
  <si>
    <t>2.8.</t>
  </si>
  <si>
    <t>Gyventojų, pasitikinčių savivaldybės institucija ir jos įstaigomis, dalis proc</t>
  </si>
  <si>
    <t xml:space="preserve">3.1. </t>
  </si>
  <si>
    <t>Šiltnamio efektą 
sukeliančių dujų kiekis (tonomis), tenkantis Visagino savivaldybės gyventojams</t>
  </si>
  <si>
    <t xml:space="preserve">Naujo arba modernizuoto 
viešojo transporto naudotojų skaičius per metus </t>
  </si>
  <si>
    <t>Didinti eismo saugumą ir 
gyventojų sąmoningumą darnaus judumo srityje</t>
  </si>
  <si>
    <t xml:space="preserve">Asmenų, pasinaudojusių naujai 
sukurtomis viešojo transporto paslaugomis, proc. nuo bendro gyventojų skaičiaus </t>
  </si>
  <si>
    <t xml:space="preserve">3.2. </t>
  </si>
  <si>
    <t>3.3</t>
  </si>
  <si>
    <t>Apsauginę funkciją atliekančių želdynų ir želdinių, tenkančių 1 gyventojui, plotas (kv. m</t>
  </si>
  <si>
    <t xml:space="preserve">Atnaujinti šilumos tinklai, km
</t>
  </si>
  <si>
    <t>Įdiegti žiedinės 
ekonomikos procesus</t>
  </si>
  <si>
    <t>Užtikrinti visapusišką 
aplinkos būklės stebėseną ir taršą ribojančių priemonių taikymą</t>
  </si>
  <si>
    <t>SSPP tikslų
 ir uždavinių 
kodas</t>
  </si>
  <si>
    <t xml:space="preserve"> Pagerinti investicijų pritraukimo ir verslo plėtros sąlygas</t>
  </si>
  <si>
    <t xml:space="preserve">1.1.-2 </t>
  </si>
  <si>
    <t xml:space="preserve"> Skatinti gyventojų verslumą ir ekonominį mobilumą</t>
  </si>
  <si>
    <t xml:space="preserve"> Didinti turistinį savivaldybės patrauklumą, teikiant viešąsias paslaugas bei plėtojant viešąją turizmo infrastruktūrą</t>
  </si>
  <si>
    <t xml:space="preserve"> Skatinti turizmo konkurencingumą, teikiant viešąsias ir verslo paslaugas bei vykdant aktyvią paslaugų rinkodarą</t>
  </si>
  <si>
    <t>1.2.-2</t>
  </si>
  <si>
    <t xml:space="preserve"> Visagino turizmo, gamtos ir kultūros objektų pritaikymas lankymui, modernizuojant viešąją turizmo infrastruktūrą</t>
  </si>
  <si>
    <t xml:space="preserve"> Visagino kaip monoindustrinio miesto urbanistikos, daugiataučio kultūros paveldo ir tradicijų perdavimas per turizmo ir edukacines veiklas</t>
  </si>
  <si>
    <t>2.1</t>
  </si>
  <si>
    <t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t>
  </si>
  <si>
    <t>„YouTube“ 469 (2020)"</t>
  </si>
  <si>
    <t>„YouTube“ 1,2 tūkst. (2030)"</t>
  </si>
  <si>
    <t>Interneto svetainės naudotojai 253,7 tūkst./ metus (2020)</t>
  </si>
  <si>
    <t>Interneto svetainės naudotojai 500 tūkst. / metus (2030)</t>
  </si>
  <si>
    <t xml:space="preserve">Pradinė stebėsenos rodiklio reikšmė (2022) </t>
  </si>
  <si>
    <t>2.7.</t>
  </si>
  <si>
    <t>„Facebook“10 000 tūkst. (2030)"</t>
  </si>
  <si>
    <t xml:space="preserve">
III SKYRIUS
PLANUOJAMI PASIEKTI REZULTATAI
</t>
  </si>
  <si>
    <t xml:space="preserve">
IV SKYRIUS
PROGRAMOS
</t>
  </si>
  <si>
    <t>Asignavimų valdytojo kodas</t>
  </si>
  <si>
    <t>Finansavimo šaltinis</t>
  </si>
  <si>
    <t>2025 m. išlaidų projektas, tūkst. Eur</t>
  </si>
  <si>
    <t>SB(ĮP)</t>
  </si>
  <si>
    <t>Iš viso:</t>
  </si>
  <si>
    <t xml:space="preserve">Savivaldybės tarybos darbo organizavimas </t>
  </si>
  <si>
    <t xml:space="preserve">Savivaldybės administracijos veiklos organizavimas </t>
  </si>
  <si>
    <t>SB (ĮP)</t>
  </si>
  <si>
    <t>Įstaigos</t>
  </si>
  <si>
    <t>SB (D)</t>
  </si>
  <si>
    <t>Visagino „Verdenės“ gimnazija (Valstybinės kalbos testavimas)</t>
  </si>
  <si>
    <t>Projekto  "Paslaugų ir asmenų aptarnavimo kokybės gerinimas" įgyvendinimas</t>
  </si>
  <si>
    <t>Duomenų atvėrimo priemonių įgyvendinimas</t>
  </si>
  <si>
    <t xml:space="preserve">Lopšelis-darželis „Gintarėlis“ </t>
  </si>
  <si>
    <t>Draugystės progimnazija</t>
  </si>
  <si>
    <t>Gyventojų informavimas (taryba)</t>
  </si>
  <si>
    <t>Administracija</t>
  </si>
  <si>
    <t>2024  m. išlaidų projektas (lėšų poreikis), tūkst. Eur</t>
  </si>
  <si>
    <t>2024  m.asignavimų  planas, tūkst. Eur</t>
  </si>
  <si>
    <t>2026 m. išlaidų projektas, tūkst. Eur</t>
  </si>
  <si>
    <t xml:space="preserve">2023 m. asignavimų planas </t>
  </si>
  <si>
    <t>IŠ VISO programai finansuoti pagal finansavimo šaltinius (1 ir 2 punktai)</t>
  </si>
  <si>
    <t>Stebėsenos rodiklio pavadinimas
(matavimo vnt.)</t>
  </si>
  <si>
    <t>Atliktų Visagino savivaldybės konsoliduotų ataskaitų rinkinio, savivaldybės biudžeto ir turto naudojimo, savivaldybės nuosavybės teise valdomo nekilnojamojo turto valdymo, naudojimo ir disponavimo juo efektyvumo auditų skaičius</t>
  </si>
  <si>
    <t>R-01-01-01-01</t>
  </si>
  <si>
    <t>R-01-01-01-02</t>
  </si>
  <si>
    <t>R-01-01-01-03</t>
  </si>
  <si>
    <t>R-01-01-02-01</t>
  </si>
  <si>
    <t>Jaunimo reikalų koordinatoriams savivaldybėse rekomenduotų atlikti užduočių įgyvendinimas (ne mažiau, kaip), procentai</t>
  </si>
  <si>
    <t>Gyvenamosios vietos deklaracijų, asmenų pateiktų elektroniniu būdu, dalies didėjimas per metus, ne mažiau kaip 1,5 proc</t>
  </si>
  <si>
    <t>P-01-01-02-14</t>
  </si>
  <si>
    <t>Įregistruotų nekilnojamojo turto objektų savivaldybėje skaičius</t>
  </si>
  <si>
    <t>Mero  rezervas</t>
  </si>
  <si>
    <t>Savivaldybės finansinių įsipareigojimų vykdymas (paskolų grąžinimas ir palūkanų mokėjimas</t>
  </si>
  <si>
    <t xml:space="preserve">Bendrosios dotacijos kompensacijos grąžinimas nuo planuotos </t>
  </si>
  <si>
    <t>Savivaldybės finansinių įsipareigojimų vykdymas po projektų įgyvendinimo (draudimų ir kt.)</t>
  </si>
  <si>
    <t>Atvertų duomenų rinkinių kiekis</t>
  </si>
  <si>
    <t>Projekte „Smart city – Visaginas“ numatytų įgyvendinti priemonių skaičius</t>
  </si>
  <si>
    <t>Informacinių leidinių, kuriuose skelbiama informacija apie savivaldybės veiklą, skaičius</t>
  </si>
  <si>
    <t>LSA nario mokesčiui numatytų lėšų panaudojimas</t>
  </si>
  <si>
    <t xml:space="preserve">Savivaldybės tarybos mero sekretoriato darbo organizavimas </t>
  </si>
  <si>
    <t>E-01-01-01</t>
  </si>
  <si>
    <t>85</t>
  </si>
  <si>
    <t>E-01-01-02</t>
  </si>
  <si>
    <t>R-01-01-02-02</t>
  </si>
  <si>
    <t>Švietimo įstaigų veiklos organizavimas</t>
  </si>
  <si>
    <t xml:space="preserve">Vaikų lopšelio-darželio „Auksinis gaidelis“ </t>
  </si>
  <si>
    <t xml:space="preserve">Vaikų lopšelio-darželio „Auksinis raktelis“ </t>
  </si>
  <si>
    <t>Vaikų lopšelio-darželio „Ąžuoliukas“</t>
  </si>
  <si>
    <t xml:space="preserve">Vaikų lopšelio-darželio „Kūlverstukas“ </t>
  </si>
  <si>
    <t>Draugystės progimnazijos</t>
  </si>
  <si>
    <t>"Verdenės" gimnazijos</t>
  </si>
  <si>
    <t>Visagino kūrybos ir menų akademijos</t>
  </si>
  <si>
    <t>Iš viso</t>
  </si>
  <si>
    <t>SD</t>
  </si>
  <si>
    <t>Savivaldybės įstaigų ugdymo proceso užtikrinimas</t>
  </si>
  <si>
    <t>SB (MK)</t>
  </si>
  <si>
    <t xml:space="preserve">SD </t>
  </si>
  <si>
    <t>Kt.</t>
  </si>
  <si>
    <t>Švietimo pagalbos tarnyba</t>
  </si>
  <si>
    <t>Savivaldybės administracijos nepaskirstytos lėšos 2,4 proc.</t>
  </si>
  <si>
    <t>Besimokančiųjų iniciatyvų skatinimas, pažinimo, lavinimosi, saviraiškos galimybių užtikrinimas ir konkursų, olimpiadų organizavimas</t>
  </si>
  <si>
    <t>Edukacinių programų, projektų įgyvendinimas tobulinant švietimo darbuotojų kvalifikaciją, skatinant jų iniciatyvas</t>
  </si>
  <si>
    <t>Nacionalinio mokinių pasiekimų patikrinimo, pagrindinio ugdymo pasiekimų patikrinimo organizavimas ir brandos egzaminų vykdymas</t>
  </si>
  <si>
    <t>Dalyvavimas nacionaliniu ir tarptautiniu lygiu įgyvendinamuose projektuose</t>
  </si>
  <si>
    <t>Neformaliojo vaikų švietimo programų įgyvendinimas</t>
  </si>
  <si>
    <t>Projekto " Draugystės progimnazijos dalyvavimas 09.2.1. ESFA-V-719 priemonėje "Kokybės krepšelis" įgyvendinimas</t>
  </si>
  <si>
    <t>Projekto "IT programavimo ir robotikos kompetencijų ugdymas pasienio regionų Latgalos ir Visagino mokyklose" įgyvendinimas (Interreg)</t>
  </si>
  <si>
    <t>Visagino savivaldybės bendrojo ugdymo mokyklų tinklo pertvarkos plano priemonių įgyvendinimas pagal mokyklų parengtus ir suderintus priemonių planus</t>
  </si>
  <si>
    <t xml:space="preserve">Projekto "Visagino savivaldybės priemonių, numatytų  "Tūkstantmečio mokyklų" Visagino ir Ignalinos rajono savivaldybių Švietimo pažangos plane" įgyvendinimas </t>
  </si>
  <si>
    <t>Vaikų vasaros poilsio organizavimas, saugias, socialinės-emocines kompetencijas ugdančios ugdymo aplinkos kūrimas</t>
  </si>
  <si>
    <t>Vienai sąlyginei mokytojo pareigybei tenkančių mokinių skaičius bendrojo ugdymo mokyklose</t>
  </si>
  <si>
    <t>Lėšų, skirtų besimokančiųjų iniciatyvų skatinimui, pažinimui, saviraiškos galimybių užtikrinimui ir konkursų, olimpiadų organizavimui, panaudojimas</t>
  </si>
  <si>
    <t>R-02-01-02-01</t>
  </si>
  <si>
    <t>R-02-01-02-02</t>
  </si>
  <si>
    <t>Lėšų, skirtų pagrindinio ugdymo pasiekimų patikrinimo organizavimui ir brandos egzaminų vykdymui, panaudojimas</t>
  </si>
  <si>
    <t>Švietimo srityje  įgyvendinamų projektų, finansuojamų iš nacionalinių arba tarptautinių fondų, skaičius</t>
  </si>
  <si>
    <t xml:space="preserve">Paskatintų asmenų skaičius </t>
  </si>
  <si>
    <t>Visagino savivaldybės bendrojo ugdymo mokyklų tinklo pertvarkos plane, numatytų įgyvendinti  priemonių proc., nuo visų planuotų įgyvendinti</t>
  </si>
  <si>
    <t>P-02-01-03-05</t>
  </si>
  <si>
    <t>Tūkstantmečio gimnazijų Visagino ir Ignalinos rajono savivaldybių švietimo pažangos plane Visagino savivaldybei numatytų priemonių įgyvendinimas proc., nuo visų planuotų įgyvendinti</t>
  </si>
  <si>
    <t>Pagal Newton Rooms konceptą pritaikytų ir įrengtų patalpų skaičius</t>
  </si>
  <si>
    <t>Mokinių besinaudojančių sukurta visos dienos mokyklos infrastruktūra skaičius</t>
  </si>
  <si>
    <t xml:space="preserve">Vaikų lopšelio-darželio „Gintarėlis“ </t>
  </si>
  <si>
    <t>"Atgimimo" gimnazijos</t>
  </si>
  <si>
    <t>"Gerosios vilties" progimnazijos</t>
  </si>
  <si>
    <t>"Žiburio" pagrindinės mokyklos</t>
  </si>
  <si>
    <t>Švietimo pagalbos tarnybos</t>
  </si>
  <si>
    <t>Atgimimo gimnazijos</t>
  </si>
  <si>
    <t>EGADP</t>
  </si>
  <si>
    <t xml:space="preserve">
EGADP</t>
  </si>
  <si>
    <t>R-02-01-02-03</t>
  </si>
  <si>
    <t>R-02-01-02-04</t>
  </si>
  <si>
    <t>R-01-01-02-03</t>
  </si>
  <si>
    <t>R-01-01-02-04</t>
  </si>
  <si>
    <t xml:space="preserve">Programos įgyvendinimo laikotarpis 2024-2026 m. </t>
  </si>
  <si>
    <t xml:space="preserve"> Įgyvendinant priemonę planuojama viešame aukcione parduoti savivaldybės nekilnojamojo turtą ir kitus nekilnojamuosius daiktus bei užtikrinti sistemos administravimo mokestį.</t>
  </si>
  <si>
    <t>Įgyvendinant šią priemonę, finansuojami įvairūs savivaldybės 
prisiimti įsipareigojimai po projektų įgyvendinimo (nekilnojamojo turto draudimas ir kita).</t>
  </si>
  <si>
    <t>Įgyvendinant šią priemonę bus tinkamai organizuotas savivaldybės duomenų
 atvėrimas visuomenei, teisingai nustatyti duomenų atvėrimo uždaviniai ir prioritetai bei efektyviausi būdai juos atverti</t>
  </si>
  <si>
    <t>R-01-01-02-05</t>
  </si>
  <si>
    <t>R-01-01-02-06</t>
  </si>
  <si>
    <t>R-01-01-02-07</t>
  </si>
  <si>
    <t>R-01-01-02-08</t>
  </si>
  <si>
    <t>R-01-01-02-10</t>
  </si>
  <si>
    <t>R-01-01-02-11</t>
  </si>
  <si>
    <t>R-01-01-02-12</t>
  </si>
  <si>
    <t>R-01-01-02-13</t>
  </si>
  <si>
    <t>R-01-01-02-15</t>
  </si>
  <si>
    <t>R-01-01-02-16</t>
  </si>
  <si>
    <t>R-01-01-02-17</t>
  </si>
  <si>
    <t>R-01-01-02-18</t>
  </si>
  <si>
    <t>R-01-01-02-19</t>
  </si>
  <si>
    <t>R-01-01-02-20</t>
  </si>
  <si>
    <t>R-01-01-03-01</t>
  </si>
  <si>
    <t>R-01-01-03-03</t>
  </si>
  <si>
    <t>R-01-01-03-05</t>
  </si>
  <si>
    <t>R-01-01-04-01</t>
  </si>
  <si>
    <t>R-01-01-04-02</t>
  </si>
  <si>
    <t>R-01-01-04-03</t>
  </si>
  <si>
    <t>R-01-01-04-04</t>
  </si>
  <si>
    <t>R-01-01-05-01</t>
  </si>
  <si>
    <t>R-01-02-02-01</t>
  </si>
  <si>
    <t>R-01-02-02-02</t>
  </si>
  <si>
    <t>R-01-02-02-03</t>
  </si>
  <si>
    <t>R-01-02-02-05</t>
  </si>
  <si>
    <t>R-01-02-02-07</t>
  </si>
  <si>
    <t>R-01-02-02-08</t>
  </si>
  <si>
    <t>R-01-02-03-01</t>
  </si>
  <si>
    <t>R-01-02-04-02</t>
  </si>
  <si>
    <t>R-01-02-04-03</t>
  </si>
  <si>
    <t>R-01-02-04-04</t>
  </si>
  <si>
    <t xml:space="preserve">Asignavimų pasikeitimas </t>
  </si>
  <si>
    <t>Užtikrinti efektyvią  įstaigų, veikiančių sporto srityje, veiklą</t>
  </si>
  <si>
    <t>Sportinio ugdymo programų ir sportininkų rengimo veiklos organizavimas ir paslaugų kokybės užtikrinimas</t>
  </si>
  <si>
    <t>Draugystės 10 g., buvusios mokyklos pastato ir aplinkinės teritorijos konversija pritaikant ją daugiafunkcinės sporto arenos  sukūrimui</t>
  </si>
  <si>
    <t>Sporto įvairovės, gyventojų fizinio aktyvumo, prieinamumo įvairioms visuomenės grupėms užtikrinimas</t>
  </si>
  <si>
    <t>Analizės ir schemos miesto erdvių tvarkymui, kurios būtų pritaikytos  fizinio aktyvumo veikloms (bėgimo, ėjimo trasos, lauko treniruoklių stotelės) parengimas</t>
  </si>
  <si>
    <t>Sporto projektų  įgyvendinimo Visagino savivaldybėje užtikrinimas</t>
  </si>
  <si>
    <t xml:space="preserve">Vaikų mokymo plaukti programos įgyvendinimas </t>
  </si>
  <si>
    <t>Kultūros įstaigų veiklos organizavimas</t>
  </si>
  <si>
    <t>Muziejinės veiklos Visagino savivaldybėje užtikrinimas</t>
  </si>
  <si>
    <t>Rengimasis dalyvauti Dainų šventėse</t>
  </si>
  <si>
    <t>Etninės kultūros sklaida, senųjų tradicijų, papročių populiarinimas, gyvybingumo puoselėjimas</t>
  </si>
  <si>
    <t>Kalendorinių švenčių organizavimas</t>
  </si>
  <si>
    <t>Nematerialaus kultūros paveldo apsaugos administravimas ir sklaida</t>
  </si>
  <si>
    <t xml:space="preserve">Dalyvavimas nacionaliniu ir tarptautiniu lygmeniu įgyvendinamuose projektuose </t>
  </si>
  <si>
    <t>Profesionalaus meno sklaida savivaldybėje</t>
  </si>
  <si>
    <t>Visagino bendruomenėms svarbių datų, sukakčių, profesinių švenčių paminėjimas</t>
  </si>
  <si>
    <t>Tradicinių Visagino savivaldybės festivalių, formuojančių Visagino ir regiono kultūrinį savitumą, organizavimas</t>
  </si>
  <si>
    <t>Tolygios kultūrinės raidos įgyvendinimas regione ir konkurso tvarka kultūros projektų finansavimas</t>
  </si>
  <si>
    <t>Valstybės švenčių, sukakčių, įvykių minėjimas, visuomenės pilietiškumo, patriotiškumo ir nacionalinės savivertės stiprinimas</t>
  </si>
  <si>
    <t>Valstybinių švenčių, atmintinų datų paminėjimas</t>
  </si>
  <si>
    <t>Lietuvos Respublikos  Seimo sprendimais minėtinų svarbių datų, įvykių ir asmenybių sukakčių paminėjimas</t>
  </si>
  <si>
    <t>Sociokultūrinių bendruomenės poreikių tenkinimas, laisvalaikio, neformaliojo švietimo programų, kultūrinių edukacijų, ugdančių gyventojų kultūrines kompetencijas ir kūrybiškumą, organizavimas įtraukiant skirtingo amžiaus, pomėgių ir poreikių visuomenės grupes</t>
  </si>
  <si>
    <t>Sociokultūrinių bendruomenės poreikių tenkinimas, laisvalaikio organizavimas</t>
  </si>
  <si>
    <t>Naujamečio laikotarpio priemonių įgyvendinimas</t>
  </si>
  <si>
    <t>Visagino miesto šventės organizavimas</t>
  </si>
  <si>
    <t>188711925</t>
  </si>
  <si>
    <t xml:space="preserve">Visagino viešosios bibliotekos veiklos užtikrinimas </t>
  </si>
  <si>
    <t>Visagino kultūros centro veiklos užtikrinimas</t>
  </si>
  <si>
    <t>Skatinti vietos bendruomenių iniciatyvas</t>
  </si>
  <si>
    <t>Tradicinių religinių bendrijų ir bendruomenių veiklos ir kultūrinių iniciatyvų skatinimas</t>
  </si>
  <si>
    <t>Vietos iniciatyvų projektų savivaldybėje įgyvendinimo skatinimas</t>
  </si>
  <si>
    <t>Dalyvavimas vietos veiklos grupių veikloje, viešosios naudos nevyriausybinių ir bendruomeninių organizacijų institucinio stiprinimo projektų (gebėjimai, lyderystė, sąlygos viešosios naudos organizacijų veiklos tvarumui užtikrinti, socialinis verslas ir kt. ) finansavimas</t>
  </si>
  <si>
    <t>Dalyvaujamojo biudžeto priemonių įgyvendinimo užtikrinimas</t>
  </si>
  <si>
    <t>Jaunimo politikos įgyvendinimas</t>
  </si>
  <si>
    <t>Jaunimo savanoriškos tarnybos Visagino savivaldybėje programos įgyvendinimas</t>
  </si>
  <si>
    <t>Atvirą darbą su jaunimu vykdančių organizacijų programų finansavimas</t>
  </si>
  <si>
    <t xml:space="preserve">Jaunimo vasaros užimtumo programos įgyvendinimas </t>
  </si>
  <si>
    <t>Visagino savivaldybės nusikaltimų prevencijos ir kontrolės programos įgyvendinimas</t>
  </si>
  <si>
    <t>Gaisrų prevencijos programos Visagino savivaldybėje įgyvendinimas</t>
  </si>
  <si>
    <t>Butų- patalpų, esančių Visagine, Festivalio g. 6,8 išpirkimas iš savininkų neskelbiamų derybų būdu</t>
  </si>
  <si>
    <t>Konkursų ir projektų, kurių pagrindinis tikslas gilinti gyventojų žinias  apie  asmenų lygybę ir draudimą varžyti žmogaus teises ir teikti jam privilegijas lyties, rasės, tautybės, kalbos, kilmės, socialinės padėties, tikėjimo, įsitikinimų ar pažiūrų pagrindu, kovos su prekyba žmonėmis srityje; taip pat teikiamą pagalbą smurtą patyrusiems asmenims organizavimas ir įgyvendinimas</t>
  </si>
  <si>
    <t>Socialinės paramos programos  (06) uždaviniai, priemonės, asignavimai ir kitos lėšos (tūkst.eurų) ir jų stebėsenos rodikliai</t>
  </si>
  <si>
    <t>Užtikrinti efektyvią savivaldybės biudžetinių socialinių paslaugų įstaigų veiklą</t>
  </si>
  <si>
    <t>Socialinių įstaigų veiklos organizavimas</t>
  </si>
  <si>
    <t>Visagino socialinių paslaugų centro veiklos užtikrinimas</t>
  </si>
  <si>
    <t>Visagino šeimos ir vaiko gerovės centro veiklos užtikrinimas</t>
  </si>
  <si>
    <t>Užtikrinti socialinių išmokų ir kompensacijų mokėjimą</t>
  </si>
  <si>
    <t>Išmokų vaikams skyrimas ir administravimas (SADM)</t>
  </si>
  <si>
    <t>Tikslinių kompensacijų mokėjimas ir administravimas</t>
  </si>
  <si>
    <t>Išmokų nedarbingiems neįgaliems asmenims, auginantiems vaikus iki 18 metų bei vaikus iki 24 metų, besimokančius bendrojo lavinimo mokyklose, profesinėse mokyklose, aukštesniosiose ar aukštosiose mokyklose dienine forma mokėjimas (SADM)</t>
  </si>
  <si>
    <t>Mokesčių už socialiai jautrioms grupėms suteiktas paslaugas kompensavimas</t>
  </si>
  <si>
    <t>Socialinės priežiūros paslaugų  šeimoms teikimo užtikrinimas (SPC)</t>
  </si>
  <si>
    <t xml:space="preserve">Socialinės paramos mokiniams išlaidoms už įsigytus produktus skyrimas </t>
  </si>
  <si>
    <t xml:space="preserve">Socialinės paramos mokinio reikmenims įsigyti skyrimas </t>
  </si>
  <si>
    <t xml:space="preserve">Socialinių paslaugų asmenims su sunkia negalia užtikrinimas </t>
  </si>
  <si>
    <t>Socialinės globos paslaugų suaugusiems asmenims su negalia pirkimas</t>
  </si>
  <si>
    <t>Gyvenamosios aplinkos pritaikymas neįgaliesiems</t>
  </si>
  <si>
    <t xml:space="preserve">Neįgaliųjų asmenų poilsiui  (maudymuisi) užtikrinti, reikalingos aplinkos sukūrimas, Visagino ežere </t>
  </si>
  <si>
    <t>Mokesčių už komunalines paslaugas kompensavimas neįgaliesiems</t>
  </si>
  <si>
    <t>Vienkartinių, tikslinių, periodinių ir sąlyginių pašalpų gyventojams  teikimas</t>
  </si>
  <si>
    <t>Dotacija iš valstybės biudžeto lėšų, skirtų iš Lietuvos Respublikos socialinės apsaugos ir darbo ministerijos, vienkartinėms išmokoms įsikūrti gyvenamojoje vietoje savivaldybės teritorijoje ir (ar) mėnesinėms kompensacijoms vaiko ugdymo pagal ikimokyklinio ar priešmokyklinio ugdymo programą išlaidoms finansuoti</t>
  </si>
  <si>
    <t>Socialiai pažeidžiamų gyventojų grupių užimtumas, tarpžinybinio bendradarbiavimo skatinimas</t>
  </si>
  <si>
    <t xml:space="preserve">Transporto paslaugų organizavimas </t>
  </si>
  <si>
    <t>Socialinės rizikos židinių formavimosi  mažinimas,  sukuriant saugesnę  ir patogesnę aplinką   asmenims,  gyvenantiems  bendrabučiuose</t>
  </si>
  <si>
    <t xml:space="preserve">Senyvo amžiaus žmonių gyvenimo kokybės stiprinimas </t>
  </si>
  <si>
    <t xml:space="preserve">Pagalba šeimoms, globojančioms vaikus </t>
  </si>
  <si>
    <t xml:space="preserve">Paramos maistu teikimas socialinės rizikos asmenims </t>
  </si>
  <si>
    <t>Gyvenamojo būsto priskiriamo įvairioms socialinėms reikmėms priežiūra</t>
  </si>
  <si>
    <t>Projekto "Bendrabučio tipo pastato, esančio Kosmoso g. 28 Visagine, patalpų pritaikymas socialinio būsto įrengimui-II etapas " įgyvendinimas</t>
  </si>
  <si>
    <t>Vienkartinė parama įsteigus šeimyną</t>
  </si>
  <si>
    <t>Lengvatų suteikimas vietinės rinkliavos už komunalinių atliekų surinkimą iš atliekų turėtojų ir atliekų tvarkymą</t>
  </si>
  <si>
    <t>Asmens palaikų, kurių laidojimu privalo rūpintis savivaldybė, pervežimo ir laidojimo kompensavimas</t>
  </si>
  <si>
    <t xml:space="preserve">Būsto nuomos ar išperkamosios būsto nuomos mokesčių dalies kompensacijoms </t>
  </si>
  <si>
    <t xml:space="preserve"> Fizinių ar juridinių asmenų, perdavusių savo būstą ar patalpas neatlygintinai naudotis panaudos pagrindais dėl karinių veiksmų iš Ukrainos pasitraukusiems gyventojams kompensacijoms</t>
  </si>
  <si>
    <t>Skatinti socialinių paslaugų plėtrą bendruomenėje</t>
  </si>
  <si>
    <t xml:space="preserve">Šeimos gerovę užtikrinančių paslaugų ir priemonių sistemos įgyvendinimas" </t>
  </si>
  <si>
    <t>Visagino garbės piliečių nuostatuose numatytų teisių įgyvendinimas</t>
  </si>
  <si>
    <t>Asmeninės pagalbos teikimo užtikrinimas</t>
  </si>
  <si>
    <t>Socialinės reabilitacijos paslaugų neįgaliesiems paslaugų teikimo organizavimas</t>
  </si>
  <si>
    <t>Integralios pagalbos plėtra Visagino savivaldybėje</t>
  </si>
  <si>
    <t xml:space="preserve">Vaikų dienos centrų veiklos užtikrinimas </t>
  </si>
  <si>
    <t xml:space="preserve">Projekto "Senjorų dienos centro kūrimas gerinant gyvenimo kokybę pasienio regionuose"  įgyvendinimas </t>
  </si>
  <si>
    <t>Projekto "Apleisto (nenaudojamo) buvusio visuomeninio pastato konversija ir pritaikymas Savarankiško gyvenimo namų Visagine įkūrimui"</t>
  </si>
  <si>
    <t>Socialinių paslaugų plėtros pasitelkiant nevyriausybines organizacijas programos įgyvendinimas</t>
  </si>
  <si>
    <t>Projekto “Bendruomeninių vaikų globos namų įkūrimas ir vaikų dienos centrų tinklo plėtra Visagino savivaldybėje”</t>
  </si>
  <si>
    <t>Stiprinti ir plėtoti visuomenės sveikatinimo veiklą</t>
  </si>
  <si>
    <t>Savivaldybės visuomenės sveikatos priežiūros rėmimo specialiųjų programų vykdymas</t>
  </si>
  <si>
    <t xml:space="preserve">Dalyvavimas programose, skirtose sveikatai stiprinti </t>
  </si>
  <si>
    <t xml:space="preserve">Sveikos gyvensenos įgūdžių bendruomenėse stiprinimui bei visuomenės sveikatos stebėsenos savivaldybėje vykdymui </t>
  </si>
  <si>
    <t>Narkotikų, alkoholio ir tabako vartojimo prevencijos ir kontrolės stiprinimas</t>
  </si>
  <si>
    <t>Žmonių užkrečiamųjų ligų profilaktikos ir kontrolės organizavimas (Covid 19)</t>
  </si>
  <si>
    <t>Projekto "Priklausomybės ligų profilaktikos, diagnostikos ir gydymo kokybės ir prieinamumo gerinimas Visagino savivaldybėje" įgyvendinimas</t>
  </si>
  <si>
    <t>Psichikos sveikatos stiprinimo, psichosocialinės pagalbos ir savižudybių prevencijos intervencijų plėtra</t>
  </si>
  <si>
    <t>Trūkstamų specialybių gydytojų skatinimo dirbti Visagino savivaldybės viešosiose asmens sveikatos priežiūros įstaigose programos įgyvendinimas</t>
  </si>
  <si>
    <t>Remti sveikatos priežiūros paslaugų teikimą nustatytų kategorijų žmonėms</t>
  </si>
  <si>
    <t>Kompleksinių paslaugų sutrikusios raidos vaikams bei pagalbos jų šeimoms pagalbos centro įkūrimas</t>
  </si>
  <si>
    <t>Projekto „Rokiškio rajono, Kupiškio rajono ir Visagino savivaldybių mokyklų sveikatos kabinetų atnaujinimas“ įgyvendinimas</t>
  </si>
  <si>
    <t>Užtikrinti Savivaldybės darbuotojų saugą darbe</t>
  </si>
  <si>
    <t>Savivaldybės darbuotojų saugos darbe užtikrinimo programa</t>
  </si>
  <si>
    <t>Mažinti aplinkos užterštumą ir gerinti vandens telkinių, bendro naudojimo ir kitų teritorijų būklę</t>
  </si>
  <si>
    <t>Vietinės rinkliavos už komunalinių atliekų surinkimą administravimas</t>
  </si>
  <si>
    <t>Užterštų teritorijų valymas</t>
  </si>
  <si>
    <t>Aplinkos monitoringo, prevencinių ,aplinkos atkūrimo priemonių įgyvendinimas</t>
  </si>
  <si>
    <t xml:space="preserve">Atliekų tvarkymas ir atliekų tvarkymo infrastruktūros plėtra </t>
  </si>
  <si>
    <t>Želdynų ir želdinių apsaugos tvarkymo, būklės stebėsenos, želdinių kūrimo, veisimo, inventorizacijos priemonių įgyvendinimas</t>
  </si>
  <si>
    <t xml:space="preserve">Tekstilės atliekų surinkimas </t>
  </si>
  <si>
    <t xml:space="preserve">Visuomenės švietimas ir mokymas aplinkosaugos klausimais </t>
  </si>
  <si>
    <t xml:space="preserve">Miško sklypų savininkų, valdytojų ir naudotojų, įgyvendinančių medžiojamų gyvūnų daromos žalos miškui apsaugos priemones, kuriomis jie siekia išvengti medžiojamųjų gyvūnų daromos žalos miškui, rėmimas </t>
  </si>
  <si>
    <t>Atsinaujinančių energijos šaltinių panaudojimo skatinimas, aplinkai palankių technologijų diegimas</t>
  </si>
  <si>
    <t>Aplinkos kokybės gerinimas  ir apsauga</t>
  </si>
  <si>
    <t>Projekto  "Oro monitoringo sistemos modernizavimas, įrengiant stacionarias oro taršos stebėjimo vietas Visagino savivaldybėje"</t>
  </si>
  <si>
    <t>Mokestis už paviršinių nuotekų nuotakyno sistemos tvarkymą</t>
  </si>
  <si>
    <t>Triukšmo prevencijos programos įgyvendinimas</t>
  </si>
  <si>
    <t xml:space="preserve"> Naminių gyvūnų ir bešeimininkių gyvūnų gerovės užtikrinimas bei 
reikalingos infrastruktūros įrengimas</t>
  </si>
  <si>
    <t>Išsaugoti, formuoti etalonines kraštovaizdžio teritorijas, gerinti ekologinę būklę gamtinio karkaso teritorijose</t>
  </si>
  <si>
    <t>Projekto  "Dalies kanalizuoto Gulbinės upelio Visagino mieste išlaisvinimas ir žaliosios infrastruktūros elementų kūrimas" įgyvendinimas</t>
  </si>
  <si>
    <t>Bendradarbiavimas su VšĮ „Euroregiono Ežerų kraštas direktorato biuras“</t>
  </si>
  <si>
    <t>Investicijoms pritaikytos verslo ir gamybos pastatų bei žemės infrastruktūros, skatinant apleistų/nenaudojamų/neefektyviai naudojamų teritorijų ir pastatų konversiją ir pritaikymą ekonominei veiklai, sukūrimas</t>
  </si>
  <si>
    <t>Verslo skatinimas ir investicijų pritraukimas</t>
  </si>
  <si>
    <t>Visagino savivaldybės užimtumo didinimo programos įgyvendinimas</t>
  </si>
  <si>
    <t>Aukštos profesinės kvalifikacijos specialistų pritraukimo (skatinimo) dirbti Visagino savivaldybės teritorijoje programos įgyvendinimas</t>
  </si>
  <si>
    <t>Pritraukti ES ir kitų fondų lėšas miesto plėtros projektams įgyvendinti</t>
  </si>
  <si>
    <t>Paraiškų parengimas ES struktūrinių fondų paramai gauti ir būtinosios (privalomosios) dokumentacijos prie projektų parengimas</t>
  </si>
  <si>
    <t>Dalyvavimas Utenos regiono plėtros tarybos veikloje</t>
  </si>
  <si>
    <t>Bendradarbiavimo su Visagino technologijų ir verslo profesinio mokymo centru, siekiant pritraukti investuotojus į regioną, užtikrinimas</t>
  </si>
  <si>
    <t>Teritorijų planavimo dokumentų rengimas</t>
  </si>
  <si>
    <t>Žemės sklypų planų (kadastrinių matavimų) rengimas</t>
  </si>
  <si>
    <t>Projekto "Apleistų / avarinių pastatų nugriovimas ir teritorijos valymas, regeneruojant buvusį karinį miestelį ir pritaikant kompleksą inovatyviai pramonei vystyti - SMART PARK įkūrimui" įgyvendinimas</t>
  </si>
  <si>
    <t>Inovacijų, paremtų technologijų panaudojimu, viešajame ir privačiame sektoriuose skatinimas.</t>
  </si>
  <si>
    <t>Skaitmeninės įmonių plėtros ir neutralios klimatui ekonomikos skatinimas</t>
  </si>
  <si>
    <t>Investicijų programos "Visagino darnios ateities kūrimas" parengimas (angl. investment concept "Creating a sustainable future in Visaginas", EUCF (European city facility) projekto įgyvendinimas)</t>
  </si>
  <si>
    <t>Projekto "Saulės jėgainių parko Visagino savivaldybėje" įrengimas</t>
  </si>
  <si>
    <t>Projekto "Laisvalaikio ir aktyvaus poilsio erdvės sukūrimas Jaunystės g. 4, Visagine" įgyvendinimas</t>
  </si>
  <si>
    <t>Žygių (pėsčiomis) maršrutų sukūrimas ir priėjimų prie lankomų/gamtos objektų įrengimas, atokvėpio/stebėjimo vietų įrengimas</t>
  </si>
  <si>
    <t>Daugiataučio kultūros paveldo perdavimo per vietos verslo paslaugas rėmimas</t>
  </si>
  <si>
    <t xml:space="preserve">Vandens transporto priemonių nuleidimo vietų įrengimas </t>
  </si>
  <si>
    <t>Miesto kraštovaizdžio formavimas ir įprasminimas</t>
  </si>
  <si>
    <t>Tematinių renginių organizavimas, išnaudojant miesto viešąją infrastruktūrą daugiataučio, kūrybiško, energetikos miesto įvaizdžiui viešinti</t>
  </si>
  <si>
    <t>Ekonomikos ir investicijų augimo skatinimas savivaldybėje, vystant turizmo plėtrą</t>
  </si>
  <si>
    <t xml:space="preserve">Turizmo, rekreacijos ir poilsio viešųjų paslaugų teikimas per Visagino rekreacijos paslaugų centro filialo „Visagino parkas“ </t>
  </si>
  <si>
    <t>Projekto "Rytų Aukštaitijos miestai ir miesteliai – informavimo apie lankytinas vietas stiprinimas ženklinimo priemonėmis" įgyvendinimas</t>
  </si>
  <si>
    <t xml:space="preserve">Savivaldybės lankomų turistinių objektų priežiūra ir remontas </t>
  </si>
  <si>
    <t>Keleivių vežimo nuostolių padengimas ir lengvatinis keleivių  vežimas</t>
  </si>
  <si>
    <t xml:space="preserve">Kompensacijų mokėjimas už lengvatinį keleivių vežimą </t>
  </si>
  <si>
    <t>Mokinių pavėžėjimas</t>
  </si>
  <si>
    <t>Transporto paslaugų teikimas savivaldybės biudžetinėms įstaigoms, kitiems juridiniams ir fiziniams asmenims</t>
  </si>
  <si>
    <t>Projektas "Darnaus judumo infrastruktūros įrengimas Visagino mieste - II etapas</t>
  </si>
  <si>
    <t xml:space="preserve">Kelių priežiūros ir plėtros programos priemonių įgyvendinimas </t>
  </si>
  <si>
    <t xml:space="preserve">Elektromobilių įkrovimo prieigų tinklo Visagino mieste   plėtra ir esamo išlaikymas </t>
  </si>
  <si>
    <t>Projekto "Infrastruktūros sutvarkymas šalia nebaigto statyti pastato, esančio Festivalio g. 5, pertvarkant teritoriją į automobilių stovėjimo aikštelę" įgyvendinimas</t>
  </si>
  <si>
    <t>Projekto "Autobusų stoties su turizmo informacijos centru įrengimas  Visagino savivaldybėje" įgyvendinimas</t>
  </si>
  <si>
    <t>Miesto šaligatvių paprastasis remontas</t>
  </si>
  <si>
    <t>Atnaujinti (rekonstruoti) Visagino viešuosius, ūkinius pastatus</t>
  </si>
  <si>
    <t>Projekto "Pastato, esančio Tarybų g. 23. Visagine  patalpų atnaujinimas ir pritaikymas  Visagino miesto muziejaus veiklai" įgyvendinimas"</t>
  </si>
  <si>
    <t>Projekto "VšĮ IAE regiono verslo ir turizmo informacijos centro pastato, esančio adresu Taikos g. 7, energijos vartojimo efektyvumo didinimas" įgyvendinimas</t>
  </si>
  <si>
    <t>Renovuoti ir įrengti automobilių stovėjimo, dviračių ir pėsčiųjų takus, sporto ir laisvalaikio aikšteles</t>
  </si>
  <si>
    <t>Projekto „Dviračių tako su apšvietimu, nuo sankryžos (Taikos prospekto ir Energetikų g.) iki valstybinės reikšmės kelio Nr. 177, Visagine“ įgyvendinimas</t>
  </si>
  <si>
    <t>Renovuoti ir įrengti dviračių ir pėsčiųjų takus</t>
  </si>
  <si>
    <t>Projektavimo darbų paslaugos ir projektų ekspertizė</t>
  </si>
  <si>
    <t>Prižiūrėti, remontuoti ir įrengti vaikų žaidimų aikšteles savivaldybėje</t>
  </si>
  <si>
    <t>Projekto "Sedulinos alėjos atkarpos nuo Parko g. iki Visagino g. rekonstrukcija" įgyvendinimas</t>
  </si>
  <si>
    <t>Projekto "Jungties nuo geležinkelio stoties iki Visagino miesto centro įrengimas, kartu su etno kultūrų parku įrengimas" įgyvendinimas</t>
  </si>
  <si>
    <t>Remontuoti ir prižiūrėti savivaldybės turtą</t>
  </si>
  <si>
    <t>Pastatų konstrukcijų ir inžinerinių tinklų remontas, avariniai darbai</t>
  </si>
  <si>
    <t>Vykdyti Visagino savivaldybės daugiabučių namų atnaujinimo (modernizavimo) programą</t>
  </si>
  <si>
    <t>Visagino savivaldybės daugiabučių namų atnaujinimo (modernizavimo) programos įgyvendinimui ir daugiabučių namų savininkų bendrijų valdymo organų švietimui</t>
  </si>
  <si>
    <t>Įgyvendinti savivaldybės infrastruktūros plėtros įstatymo nuostatas</t>
  </si>
  <si>
    <t>Visagino savivaldybės infrastruktūros plėtros priemonių plane numatytų priemonių įgyvendinimas</t>
  </si>
  <si>
    <t>Tvarkyti gyvenamąją aplinką, administruoti gatvių apšvietimo paslaugas</t>
  </si>
  <si>
    <t>Visagino miesto teritorijos ribų pažymėjimas, gatvių pavadinimų ir objektų (pastatų) numeracijos ženklinimo darbai</t>
  </si>
  <si>
    <t>Apšvietimo sistemos avarinės būklės ruožų keitimo ir naujų kabelinių linijų nutiesimo darbai</t>
  </si>
  <si>
    <t>Projekto Visagino gatvių apšvietimo sistemos modernizavimas" įgyvendinimas</t>
  </si>
  <si>
    <t xml:space="preserve">Savivaldybės gatvių apšvietimas </t>
  </si>
  <si>
    <t>Elektros linijų ir elektros spintų, apskaitos skydų montavimas</t>
  </si>
  <si>
    <t>Pastatų šilumos sistemos ir šilumos mazgų priežiūra ir remontas</t>
  </si>
  <si>
    <t>Naujų objektų, sukurtų projektų įgyvendinimo metu, prijungimas prie AB "ESO" elektros skirstomųjų tinklų, esamų VSA objektų galių didinimas ir esamų kabelių iškėlimo paslaugos</t>
  </si>
  <si>
    <t>Požeminių tinklų topografinių planų atnaujinimas Visagino miesto ir savivaldybės teritorijoje</t>
  </si>
  <si>
    <t>Vykdyti kapinių priežiūros darbus</t>
  </si>
  <si>
    <t>Visų kapinių, esančių Visagino savivaldybės teritorijoje,  priežiūros darbai</t>
  </si>
  <si>
    <t xml:space="preserve">Projekto "Kapinių Dūkšto kel. 62 plėtra" įgyvendinimas  </t>
  </si>
  <si>
    <t>Savivaldybės kaimiškųjų vietovių infrastruktūros tvarkymas</t>
  </si>
  <si>
    <t>Kraštovaizdžio ekologinės pusiausvyros formavimas, išardant nebaigtos statybos arba nereikalingus , netinkamus naudoti statinius Visagino savivaldybėje</t>
  </si>
  <si>
    <t>Visagino savivaldybės sporto renginių organizavimas pagal patvirtintą metinį Sporto renginių planą bei sąlygų dalyvauti tarptautiniuose čempionatuose atstovaujant Visagino savivaldybei užtikrinimas</t>
  </si>
  <si>
    <t>Įgyvendinant priemonę planuojama pradėti rengti projektinę dokumentaciją daugiafunkcinės sporto arenos sukūrimui ir aplinkinės teritorijos konversijai, šalia pastato, esančio  Draugystės g. 10.</t>
  </si>
  <si>
    <t>Įgyvendinant šią priemonę planuojama prisidėti prie esamų sporto bazių plėtros, priežiūros ir remonto bei užtikrinti dalinį finansavimą Sporto rėmimo fondo lėšomis finansuojamiems projektams. Teikiamų projektų tikslas – prisidėti prie sporto bazių prieinamumo didinimo, sąlygų įvairaus amžiaus ir poreikių asmenų fiziniam aktyvumui gerinimo ir organizuotai sportuojančių asmenų skaičiaus didėjimo.</t>
  </si>
  <si>
    <t xml:space="preserve">2022-08-26 Visagino savivaldybės taryba sprendimu Nr. TS-148 "Dėl Visagino savivaldybės pradinių klasių mokinių mokymo plaukti programos patvirtinimo" buvo patvirtinta Visagino savivaldybės pradinių klasių mokinių mokymo plaukti programą, kurios pagrindinis tikslas mažinti skendimų skaičių, ugdyti sveiką mokinį ir formuoti sveikos bei fiziškai aktyvios mokinių gyvensenos įgūdžius
</t>
  </si>
  <si>
    <t xml:space="preserve">Plaukti išmokusių  mokinių skaičius, nuo visų Programos dalyvių proc. </t>
  </si>
  <si>
    <t xml:space="preserve">Projektų finansuojamų sporto rėmimo fondo lėšomis skaičius </t>
  </si>
  <si>
    <t xml:space="preserve">Parengtų analizių skaičius </t>
  </si>
  <si>
    <t xml:space="preserve">Sporto projektų finansuojamų savivaldybės biudžeto lėšomis skaičius </t>
  </si>
  <si>
    <t>Finansuotų įstaigų sakičius</t>
  </si>
  <si>
    <t>4</t>
  </si>
  <si>
    <t>Įgyvendinant aukščiau numatytą priemonę bus užtikrintas viešųjų įstaigų Visagino sporto ir rekreacijos centro, Visagino krepšinio mokyklos, Visagino futbolo centro ir Visagino graikų-romėnų imtynių centro veiklos organizavimas ir ugdymo/treniruočių proceso užtikrinimas pagal finansavimo sutartis</t>
  </si>
  <si>
    <t>35</t>
  </si>
  <si>
    <t>40</t>
  </si>
  <si>
    <t>Metinio renginių plano įgyvendinimas</t>
  </si>
  <si>
    <t>270</t>
  </si>
  <si>
    <t>285</t>
  </si>
  <si>
    <t>300</t>
  </si>
  <si>
    <t>Plėtoti ir tobulinti sporto varžybas ir sporto sveikatingumo renginius siekiant įtraukti vaikus, jaunimą ir kitas gyventojų grupes į sportinę veiklą, rengti sporto specialistus</t>
  </si>
  <si>
    <t>Įgyvendinant šią priemonę planuojama atlikti Visagino miesto viešosiose erdvėse esančios sporto įrangos bei naujos poreikį bei tikslingai tvarkyti ir numatyti lėšas kitiems planavimo laikotarpiams.</t>
  </si>
  <si>
    <t>E-03-01-01</t>
  </si>
  <si>
    <t>R-03-01-01-01</t>
  </si>
  <si>
    <t>E-03-01-02</t>
  </si>
  <si>
    <t>R-03-01-02-01</t>
  </si>
  <si>
    <t>R-03-01-02-02</t>
  </si>
  <si>
    <t>R-03-01-02-03</t>
  </si>
  <si>
    <t>6</t>
  </si>
  <si>
    <t>R-03-01-02-04</t>
  </si>
  <si>
    <t>R-03-01-02-06</t>
  </si>
  <si>
    <t>R-03-01-02-08</t>
  </si>
  <si>
    <t>R-04-01-01-01</t>
  </si>
  <si>
    <t>V-04-01-01-01</t>
  </si>
  <si>
    <t>E-04-01-01</t>
  </si>
  <si>
    <t>E-04-02-01</t>
  </si>
  <si>
    <t>R-04-02-01-02</t>
  </si>
  <si>
    <t>R-04-02-01-03</t>
  </si>
  <si>
    <t>R-04-02-01-04</t>
  </si>
  <si>
    <t>E-04-02-02</t>
  </si>
  <si>
    <t>R-04-02-02-01</t>
  </si>
  <si>
    <t>Finansuotų kultūros srityje veikiančių 
įstaigų skaičius</t>
  </si>
  <si>
    <t>Užtikrinti efektyvią kultūros įstaigų veiklą</t>
  </si>
  <si>
    <t>Registruotų skaitytojų skaičiaus didėjimas, lyginant su praėjusiais metais, proc.</t>
  </si>
  <si>
    <t>0,2</t>
  </si>
  <si>
    <t>Visų renginių lankytojų skaičiaus didėjimas, lyginant su praėjusiais metais,proc.</t>
  </si>
  <si>
    <t>V-04-01-01-02</t>
  </si>
  <si>
    <t>Organizuotų renginių  skaičius</t>
  </si>
  <si>
    <t>8</t>
  </si>
  <si>
    <t>Profesionalaus meno sklaidos renginių skaičius Visagino kultūros centre: - koncertų (klasikinės, džiazo muzikos), - spektaklių, - parodų</t>
  </si>
  <si>
    <t>Organizuota svarbių datų ir sukakčių paminėjimų skaičius</t>
  </si>
  <si>
    <t>Organizuota festivalių, formuojančių Visagino ir regiono kultūrinį savitumą</t>
  </si>
  <si>
    <t>Finansuotų/įgyvendintų projektų skaičius</t>
  </si>
  <si>
    <t xml:space="preserve">Organizuota sociokultūrinių bendruomenės poreikius tenkinančių renginių skaičius </t>
  </si>
  <si>
    <t>Organizuota valstybinių švenčių, svarbių Lietuvai datų minėjimų skaičius</t>
  </si>
  <si>
    <t>R-04-02-01-01</t>
  </si>
  <si>
    <t>R-04-02-02-02</t>
  </si>
  <si>
    <t>R-04-02-02-03</t>
  </si>
  <si>
    <t>R-04-02-02-04</t>
  </si>
  <si>
    <t>R-04-02-02-05</t>
  </si>
  <si>
    <t>R-04-02-03-01</t>
  </si>
  <si>
    <t>R-04-02-03-02</t>
  </si>
  <si>
    <t>R-04-02-04-01</t>
  </si>
  <si>
    <t>R-04-02-04-02</t>
  </si>
  <si>
    <t>R-04-02-04-03</t>
  </si>
  <si>
    <t>300141349</t>
  </si>
  <si>
    <t>300509331</t>
  </si>
  <si>
    <t>Visagino viešosios bibliotekos  ir Visagino kultūros centro veiklos užtikrinimas</t>
  </si>
  <si>
    <t>Įgyvendinant šią priemonę bus vykdomas 2023-03-10 Visagino savivaldybės taryba sprendimu Nr. TS-37 "Dėl Muziejinės veiklos tęstinumo Visagino savivaldybėje programos patvirtinimo", patvirtinta Muziejinės veiklos tęstinumo Visagino savivaldybėje programa</t>
  </si>
  <si>
    <t>Įgyvendinant šią priemonę bus vykdomi renginiai 
susiję su kalendorinėmis šventėmis (Sekminės, Joninės ir kt.)</t>
  </si>
  <si>
    <t>Įgyvendinant šią priemonę Visagino kultūros centre bus vykdoma profesionalaus meno sklaida, organizuojamos menininkų rezidencijos, organizuojamos parodos.</t>
  </si>
  <si>
    <t>Įgyvendinant šią priemonę bus organizuojama metų nominacijų šventė Mano miestas – Visaginas, jaunųjų menininkų klubo „Paletė“ 20-mečio jubiliejus, Visagino 50-mečio jubiliejaus paminėjimo programos vystymas, leidyba.</t>
  </si>
  <si>
    <t xml:space="preserve">Siekiant įgyvendinti šią priemonę numatytos dvi kryptys:
- 2020 m. rugpjūčio 27 d. Visagino savivaldybės taryba sprendimu Nr. TS-184 „Dėl Kultūros projektų finansavimo konkurso nuostatų patvirtinimo“ patvirtino Visagino savivaldybės kultūros projektų finansavimo konkurso nuostatus, kurių pagrindinis tikslas skatinti kultūros ir meno įvairovę, sklaidą, prieinamumą įvairioms visuomenės grupėms Visagino savivaldybėje. Konkurso būdu lėšos bus skiriamos muzikos, teatro, šokio, vizualiojo meno, literatūros, etninės kultūros, kultūros paveldo srities ir tarpsritiniams (įvairias meno ar kultūros sritis jungiantys projektai ir jų sklaida) projektams iš dalies finansuoti;
- taip pat šios priemonės lėšomis galės būti užtikrintas Lietuvos kultūros tarybai teikiamų projektų nuosavai lėšų daliai padengti reikalingas kofinansavimas, kurio nepadengia skirtos lėšos. Tam Visagino savivaldybės administracijos direktoriaus 2020 m. liepos 17 d. įsakymu ĮV-E-389 yra patvirtintas Kultūros rėmimo fondo lėšomis finansuojamų projektų, įgyvendinamų Visagino savivaldybėje, bendrafinansavimo tvarkos aprašas. </t>
  </si>
  <si>
    <t>Įgyvendinant šią priemonę bus organizuojami Laisvės gynėjų dienos, Valstybės atkūrimo dienos, Lietuvos nepriklausomybės atkūrimo dienos, Valstybės dienos paminėjimo renginiai.</t>
  </si>
  <si>
    <t>Kt</t>
  </si>
  <si>
    <t>ĮP</t>
  </si>
  <si>
    <t>Savivaldybės administracija</t>
  </si>
  <si>
    <t>Visagino kultūros centras</t>
  </si>
  <si>
    <t>Visagino viešoji biblioteka</t>
  </si>
  <si>
    <t>Visagino kūrybos menų akademija</t>
  </si>
  <si>
    <t>„Projekto „Pabėgėlių iš Ukrainos priėmimas ir ankstyva integracija“ įgyvendinimas</t>
  </si>
  <si>
    <t>P</t>
  </si>
  <si>
    <t>Užimtumo tarnyboje prie Lietuvos Respublikos socialinės apsaugos ir darbo ministerijos bedarbio statusu registruotų ukrainiečių skaičius</t>
  </si>
  <si>
    <t>0–3 metų vaikai</t>
  </si>
  <si>
    <t>4–6 metų amžiaus vaikai</t>
  </si>
  <si>
    <t>70+ amžiaus asmenys</t>
  </si>
  <si>
    <t>Bendrojo ugdymo įstaigose registruoti mokiniai</t>
  </si>
  <si>
    <t>Bendras asmenų skaičius</t>
  </si>
  <si>
    <t>68</t>
  </si>
  <si>
    <t>25</t>
  </si>
  <si>
    <t>42</t>
  </si>
  <si>
    <t>44</t>
  </si>
  <si>
    <t>82</t>
  </si>
  <si>
    <t>261</t>
  </si>
  <si>
    <t>Planuojama skirti lėšas (konkurso tvarka) Visagino savivaldybėje veikiančių tradicinių religinių bendrijų ir bendruomenių projektams, kurių įgyvendinimu gerinama kulto pastatų ir juos supančių viešųjų erdvių infrastruktūra, realizuojami sociokultūriniai tikslai, remti. Projektų konkursų finansavimo sąlygų aprašas tvirtinamas teisės aktų nustatyta tvarka</t>
  </si>
  <si>
    <t>Įgyvendinant priemonę bus įgyvendinamos priemonės, kurių tikslas informuoti visuomenę apie nuostatas, įtvirtinančias lyčių lygybės, lygių galimybių ir nediskriminavimo (dėl lyties, rasės, tautybės, pilietybės, kalbos, kilmės, socialinės padėties, tikėjimo, įsitikinimų ar pažiūrų, amžiaus, negalios, lytinės orientacijos, etninės priklausomybės, religijos ir kitų diskriminacinių motyvų). Taip pat bus organizuojamos prevencinės priemonės (metodinės ir konsultacinės) dėl smurto artimoje aplinkoje (įskaitant pagalbos priemones), lygių galimybių, kovos su prekyba žmonėmis srityje</t>
  </si>
  <si>
    <t>Paremtų tradicinių religinių bendrijų ir bendruomenių veiklos ir kultūrinių iniciatyvų vietos projektų skaičius</t>
  </si>
  <si>
    <t>3</t>
  </si>
  <si>
    <t>Vietos veiklos grupių, kurių veikloje dalyvaujama skaičius</t>
  </si>
  <si>
    <t>Įgyvendintų dalyvaujamojo biudžeto priemonių skaičius</t>
  </si>
  <si>
    <t>Jaunimo politikos įgyvendinimo srityje organizuotų renginių skaičius</t>
  </si>
  <si>
    <t>Jaunimo vasaros užimtumo programoje dalyvavusių jaunuolių skaičius</t>
  </si>
  <si>
    <t xml:space="preserve">Įgyvendintų priemonių skaičius </t>
  </si>
  <si>
    <t>Išpirktų butų skaičius</t>
  </si>
  <si>
    <t>Iš bendruomenės gautų skundų, susijusių su Lietuvos Respublikos Konstitucijos 29 straipsnio nuostatomis, skaičius</t>
  </si>
  <si>
    <t>R-05-01-01-01</t>
  </si>
  <si>
    <t>R-05-01-01-02</t>
  </si>
  <si>
    <t>R-05-01-01-03</t>
  </si>
  <si>
    <t>R-05-01-01-04</t>
  </si>
  <si>
    <t>R-05-01-01-05</t>
  </si>
  <si>
    <t>E-05-01-01</t>
  </si>
  <si>
    <t>E-05-02-01</t>
  </si>
  <si>
    <t>R-05-02-01-01</t>
  </si>
  <si>
    <t>R-05-02-01-02</t>
  </si>
  <si>
    <t>R-05-02-01-03</t>
  </si>
  <si>
    <t>R-05-02-01-04</t>
  </si>
  <si>
    <t>E-05-03-01</t>
  </si>
  <si>
    <t>R-05-03-01-02</t>
  </si>
  <si>
    <t>R-05-03-01-01</t>
  </si>
  <si>
    <t>R-05-03-01-03</t>
  </si>
  <si>
    <t>R-05-03-01-04</t>
  </si>
  <si>
    <t>E-05-04-01</t>
  </si>
  <si>
    <t>R-05-04-01-01</t>
  </si>
  <si>
    <t>R-05-04-01-02</t>
  </si>
  <si>
    <t>300079075</t>
  </si>
  <si>
    <t>190230824</t>
  </si>
  <si>
    <t>Visagino Atgimimo gimnazija</t>
  </si>
  <si>
    <t>Visagino Draugystės progimnazija</t>
  </si>
  <si>
    <t>Visagino Gerosios vilties progimnazija</t>
  </si>
  <si>
    <t>Visagino Verdenės gimnazija</t>
  </si>
  <si>
    <t>Visagino "Žiburio" pagrindinė mokykla</t>
  </si>
  <si>
    <t>Visagino vaikų l-d Auksinis raktelis</t>
  </si>
  <si>
    <t>Visagino vaikų lopšelis-darželis Kūlverstukas</t>
  </si>
  <si>
    <t>Visagino vaikų l-d Gintarėlis</t>
  </si>
  <si>
    <t>Visagino vaikų l-d "Ąžuoliukas"</t>
  </si>
  <si>
    <t>Visagino L-d Auksinis gaidelis (Vaikystės pedagogikos centras)</t>
  </si>
  <si>
    <t>Šeimos ir vaiko gerovės centras</t>
  </si>
  <si>
    <t>Savivaldyės administracija</t>
  </si>
  <si>
    <t>D</t>
  </si>
  <si>
    <t>Iš jų: dotacija iš valstybės biudžeto lėšų, skirtų iš Lietuvos Respublikos Socialinės apsaugos ir darbo ministerijos, skirtų būstų nuomai iš fizinių ir juridinių asmenų apmokėti</t>
  </si>
  <si>
    <t xml:space="preserve">Socialinių paslaugų centras </t>
  </si>
  <si>
    <t xml:space="preserve">Visagino savivaldybės tarybos sprendimų, susijusių su mokesčių už teikiamas paslaugas, kompensavimu įgyvendinimas (100 proc. mokesčio už vieną neformaliojo švietimo programą jų pasirinktoje vienoje Visagino savivaldybės biudžetinėje neformaliojo švietimo įstaigoje kompensacija suaugusiems neįgaliems asmenims, kurių pajamos bendrai gyvenantiems asmenims arba vienam gyvenančiam asmeniui per mėnesį yra mažesnės negu 3 valstybės remiamų pajamų dydžiai; mokesčio už baseinų suteiktas paslaugas kompensavimas, NVŠ, mokesčio už ikimokyklinį ugdymą lengvatos ir pan.) </t>
  </si>
  <si>
    <t>Visagino savivaldybės tarybos 2011 m. vasario 17 d. sprendimu Nr. TS-18 „Dėl mokesčių asmenims, kuriems nustatytas specialusis nuolatinės slaugos poreikis, kompensavimo“ neįgaliems asmenims su sunkia negalia kompensuojami mokesčiai už komunalines paslaugas (laiptinių ir rūsių apšvietimas, liftas, bendro naudojimo vietų valymas), kuriomis jie nesinaudoja (savivaldybės biudžeto lėšos). Už šios priemonės įgyvendinimą atsakingas Socialinės paramos skyrius.</t>
  </si>
  <si>
    <t xml:space="preserve">Įgyvendinant šią priemonę bus tvarkomas ir prižiūrimas Visagino savivaldybei priklausantis gyvenamasis būstas priskiriamas įvairioms socialinėms reikmėms. </t>
  </si>
  <si>
    <t xml:space="preserve">Įgyvendinant šią priemonę bus užtikrintas kompleksinių paslaugų šeimai organizavimas po projekto įgyvendinimo. </t>
  </si>
  <si>
    <t>Įgyvendinant šią priemonę gali būti suteikiama lengvata atliekų turėtojams už vietinės rinkliavos už komunalinių atliekų surinkimą iš atliekų turėtojų ir atliekų tvarkymą.</t>
  </si>
  <si>
    <t>Įgyvendinant šią priemonę gali būti kompensuojama Būsto nuomos ar išperkamosios būsto nuomos mokesčių dalis.</t>
  </si>
  <si>
    <t xml:space="preserve">Įgyvendinant šią priemonę gali būti kompensuojamos,  fizinių ar juridinių asmenų, perdavusių savo būstą ar patalpas neatlygintinai naudotis panaudos pagrindais dėl karinių veiksmų iš Ukrainos pasitraukusiems gyventojams, patirtos išlaidos. </t>
  </si>
  <si>
    <t xml:space="preserve">Visagino socialinių paslaugų centras įgyvendindamas Integralios pagalbos plėtros 2022-2029 metų veiksmų plano, patvirtinto Lietuvos Respublikos socialinės apsaugos ir darbo ministro 2022 m. rugpjūčio 24 d. įsakymu Nr. A1-552 „Dėl Integralios pagalbos plėtros 2022-2029 metų veiksmų plano patvirtinimo“, nuostatas 2023 metais teiks integralios pagalbos paslaugas Visagino savivaldybėje. Šios paslaugos sudaro palankias sąlygas neįgaliems vaikams, neįgaliems darbingo amžiaus asmenims, senyvo amžiaus asmenims kuo ilgiau gyventi sau artimoje aplinkoje – namuose bei siekiant padėti suaugusiems šeimos nariams, prižiūrintiems savo artimuosius, derinti šeimos ir darbo įsipareigojimus. </t>
  </si>
  <si>
    <t xml:space="preserve">Planuojamo projekto tikslas – teikiant socialines paslaugas vyresnio amžiaus ir suaugusiems asmenims su negalia organizuoti sociokultūrinę veiklą, siekiant mažinti jų socialinę atskirtį, gerinti gyvenimo kokybę – aktyviai dalyvauti NVO, bendruomenėje, stiprinti ryšius ir dalintis patirtimi tarp vyresnio amžiaus asmenų bei organizacijų sudarant sąlygas realizuoti savo gebėjimus ir lūkesčius. Šio projekto įgyvendinimo metu taip pat planuojama suremontuoti Vilties g. 1, Visagine, esančiame pastate tualetą, pritaikytą neįgaliesiems, virtuvėlę. </t>
  </si>
  <si>
    <t>Visagino savivaldybė siekdama skatinti nevyriausybines organizacijas, asociacijas, labdaros ir paramos fondus, religines bendruomenes ir bendrijas, viešąsias įstaigas (išskyrus viešąsias įstaigas, kurių savininkė yra valstybė arba savivaldybė), kurių buveinė teisės aktų nustatyta tvarka Juridinių asmenų registre užregistruota ir veikla vykdoma Visagino savivaldybės teritorijoje, aktyviai dalyvauti projektinėje veikloje, pagal Socialinių paslaugų plėtros pasitelkiant nevyriausybines organizacijas programą finansuos nevyriausybinių organizacijų veiklą, skirtą gerinti neįgaliųjų, senyvo amžiaus asmenų socialinę integraciją, mažinti socialinę atskirtį ir skatins nevyriausybinių organizacijų bendradarbiavimą socialinių paslaugų plėtojimą, socialinių paslaugų kokybės gerinimo ir socialinės atskirties mažinimo srityje bei didins nevyriausybinio sektoriaus aktyvumą sprendžiant socialinius klausimus, stiprinant tarpusavio pagalbą ir tenkinant visuomenės poreikius.</t>
  </si>
  <si>
    <t>Tikslinių kompensacijų gavėjų skaičius</t>
  </si>
  <si>
    <t>Išmokų nedarbingiems neįgaliesiems, auginantiems vaikus iki 18 metų, gavėjų skaičius</t>
  </si>
  <si>
    <t>Asmenų, priklausančių socialiai jautrioms grupėms, gavusių kompensacijas skaičius</t>
  </si>
  <si>
    <t>Socialinių darbuotojų, teikiančių socialinę priežiūrą šeimoms, pareigybių skaičius, vienetai</t>
  </si>
  <si>
    <t>Mokinių, gaunančių nemokamą maitinimą, vidutinis skaičius per mėnesį</t>
  </si>
  <si>
    <t>Mokinių, gaunančių paramą mokinio reikmenims įsigyti, skaičius</t>
  </si>
  <si>
    <t>540</t>
  </si>
  <si>
    <t>Asmenų su sunkia negalia, gaunančių socialinę globą, skaičius</t>
  </si>
  <si>
    <t>Asmenų, kuriems socialinės paslaugos teikiamos kitų steigėjų įstaigose, skaičius</t>
  </si>
  <si>
    <t>7</t>
  </si>
  <si>
    <t>80</t>
  </si>
  <si>
    <t>Neįgaliųjų asmenų poilsiui (maudymuisi) užtikrinti  sukurtos infrastruktūros skaičius</t>
  </si>
  <si>
    <t>Neįgaliųjų, kuriems kompensuota dalis mokesčio už komunalines paslaugas, skaičius</t>
  </si>
  <si>
    <t>110</t>
  </si>
  <si>
    <t>Kitą socialinę paramą gavusių asmenų skaičius</t>
  </si>
  <si>
    <t>200</t>
  </si>
  <si>
    <t>Asmenų, gavusių transporto paslaugas, skaičius</t>
  </si>
  <si>
    <t>60</t>
  </si>
  <si>
    <t xml:space="preserve">Suremontuotų bendrabučių patalpų skaičius </t>
  </si>
  <si>
    <t>Paslaugas gavusių senyvo amžiaus žmonių skaičius</t>
  </si>
  <si>
    <t>45</t>
  </si>
  <si>
    <t>Suremontuotų, gyvenamo būsto, priskiriamo įvairioms socialinėms  reikmėms skaičius</t>
  </si>
  <si>
    <t>Kompleksines paslaugas gavusių šeimų skaičius</t>
  </si>
  <si>
    <t>170</t>
  </si>
  <si>
    <t>120</t>
  </si>
  <si>
    <t>Asmenų, kurių pervežimu ir palaidojimu pasirūpino savivaldybė, skaičius</t>
  </si>
  <si>
    <t>Asmenų (šeimų), gavusių būsto nuomos mokesčio dalies kompensaciją, skaičius, vienetai</t>
  </si>
  <si>
    <t>Fizinių ar juridinių asmenų, perdavusių savo būstą ar patalpas neatlygintinai naudotis panaudos pagrindais dėl karinių veiksmų iš Ukrainos pasitraukusiems gyventojams skaičius</t>
  </si>
  <si>
    <t>Šeimos gerovę užtikrinančių priemonių skaičius</t>
  </si>
  <si>
    <t>Asmenų, kuriems suteiktas Garbės piliečių vardas, skaičius</t>
  </si>
  <si>
    <t>Asmenų, kuriems suteikta individuali pagalba namuose ir viešojoje aplinkoje, skaičius</t>
  </si>
  <si>
    <t>Socialinės reabilitacijos neįgaliesiems bendruomenėje paslaugas gavusių asmenų, skaičius</t>
  </si>
  <si>
    <t>Integralios pagalbos namuose gavėjų skaičius</t>
  </si>
  <si>
    <t>Įkurtų dienos centrų senjorams skaičius</t>
  </si>
  <si>
    <t>Veikiančių savarankiško gyvenimo namų  Visagine skaičius</t>
  </si>
  <si>
    <t xml:space="preserve">Įgyvendintų projektų skaičius </t>
  </si>
  <si>
    <t>Veikiančių  bendruomeninių vaikų globos namų skaičius</t>
  </si>
  <si>
    <t>Globėjų (rūpintojų), kuriems teikiama pagalba, skaičius</t>
  </si>
  <si>
    <t>E-06-01-01</t>
  </si>
  <si>
    <t>R-06-01-01-01</t>
  </si>
  <si>
    <t>V-06-01-01-01</t>
  </si>
  <si>
    <t>R-06-01-02-01</t>
  </si>
  <si>
    <t>R-06-01-02-02</t>
  </si>
  <si>
    <t>R-06-01-02-03</t>
  </si>
  <si>
    <t>R-06-01-02-04</t>
  </si>
  <si>
    <t>R-06-01-02-06</t>
  </si>
  <si>
    <t>R-06-01-02-07</t>
  </si>
  <si>
    <t>R-06-01-02-08</t>
  </si>
  <si>
    <t>R-06-01-02-09</t>
  </si>
  <si>
    <t>R-06-01-02-10</t>
  </si>
  <si>
    <t>R-06-01-02-11</t>
  </si>
  <si>
    <t>R-06-01-03-01</t>
  </si>
  <si>
    <t>R-06-01-03-02</t>
  </si>
  <si>
    <t>R-06-01-03-03</t>
  </si>
  <si>
    <t>R-06-01-03-04</t>
  </si>
  <si>
    <t>R-06-01-03-05</t>
  </si>
  <si>
    <t>R-06-01-03-06</t>
  </si>
  <si>
    <t>R-06-01-03-07</t>
  </si>
  <si>
    <t>R-06-01-03-08</t>
  </si>
  <si>
    <t>R-06-01-03-09</t>
  </si>
  <si>
    <t>R-06-01-03-10</t>
  </si>
  <si>
    <t>R-06-01-03-11</t>
  </si>
  <si>
    <t>R-06-01-03-12</t>
  </si>
  <si>
    <t>R-06-01-03-13</t>
  </si>
  <si>
    <t>R-06-01-03-14</t>
  </si>
  <si>
    <t>R-06-01-03-15</t>
  </si>
  <si>
    <t>R-06-01-03-16</t>
  </si>
  <si>
    <t>R-06-01-03-17</t>
  </si>
  <si>
    <t>R-06-01-03-18</t>
  </si>
  <si>
    <t>R-06-02-01-01</t>
  </si>
  <si>
    <t>R-06-02-01-02</t>
  </si>
  <si>
    <t>R-06-02-01-03</t>
  </si>
  <si>
    <t>R-06-02-01-04</t>
  </si>
  <si>
    <t>R-06-02-01-05</t>
  </si>
  <si>
    <t>R-06-02-01-06</t>
  </si>
  <si>
    <t>R-06-02-01-07</t>
  </si>
  <si>
    <t>R-06-02-01-08</t>
  </si>
  <si>
    <t>R-06-02-01-09</t>
  </si>
  <si>
    <t>R-06-02-01-10</t>
  </si>
  <si>
    <t>R-06-02-01-11</t>
  </si>
  <si>
    <t>R-06-02-01-12</t>
  </si>
  <si>
    <t>R-06-02-01-13</t>
  </si>
  <si>
    <t>R-06-02-01-14</t>
  </si>
  <si>
    <t>AA</t>
  </si>
  <si>
    <t>E-07-01-01</t>
  </si>
  <si>
    <t>R-07-01-01-01</t>
  </si>
  <si>
    <t>R-07-01-01-02</t>
  </si>
  <si>
    <t>R-07-01-01-03</t>
  </si>
  <si>
    <t>R-07-01-01-04</t>
  </si>
  <si>
    <t>R-07-01-01-05</t>
  </si>
  <si>
    <t>R-07-01-01-06</t>
  </si>
  <si>
    <t>R-07-01-01-07</t>
  </si>
  <si>
    <t>R-07-01-01-08</t>
  </si>
  <si>
    <t>R-07-01-01-09</t>
  </si>
  <si>
    <t>R-07-01-01-10</t>
  </si>
  <si>
    <t>R-07-01-01-11</t>
  </si>
  <si>
    <t>E-07-02-01</t>
  </si>
  <si>
    <t>R-07-01-02-02</t>
  </si>
  <si>
    <t>R-07-01-02-03</t>
  </si>
  <si>
    <t>R-07-01-02-04</t>
  </si>
  <si>
    <t>E-07-02-03</t>
  </si>
  <si>
    <t>R-07-01-03-01</t>
  </si>
  <si>
    <t>Vykdomų visuomenės sveikatos rėmimo programos priemonių skaičius</t>
  </si>
  <si>
    <t>Įstaigų, dalyvaujančių programose, skirtose sveikatai stiprinti, skaičius</t>
  </si>
  <si>
    <t xml:space="preserve">Suaugusiųjų, kurie savo dabartinę sveikatos būklę vertina kaip gerą arba labai gerą, dalis </t>
  </si>
  <si>
    <t>70,06</t>
  </si>
  <si>
    <t>71,01</t>
  </si>
  <si>
    <t>71,95</t>
  </si>
  <si>
    <t>34</t>
  </si>
  <si>
    <t>Lėšų, skirtų užkrečiamųjų ligų profilaktikos ir asmens higienos klausimais panaudojimas</t>
  </si>
  <si>
    <t>65</t>
  </si>
  <si>
    <t>Įgyvendintų projektų, skirtų priklausomybės ligų profilaktikai, skaičius</t>
  </si>
  <si>
    <t>14,3</t>
  </si>
  <si>
    <t xml:space="preserve">Atvykusių dirbti gydytojų ar studentų, kuriems apmokėtos studijos, skaičius </t>
  </si>
  <si>
    <t>Sveikatos priežiūros įstaigų, dalyvaujančių sveikatos priežiūros įstaigų tinklo pertvarkoje</t>
  </si>
  <si>
    <t xml:space="preserve">Įgyvendinant  projekto veiklas, sukurtų naujų paslaugų skaičius </t>
  </si>
  <si>
    <t>Įkurtų Kompleksinių paslaugų sutrikusios raidos vaikams bei pagalbos jų šeimoms skaičius</t>
  </si>
  <si>
    <t xml:space="preserve">Įkurtų psichiatrijos dienos stacionarų skaičius </t>
  </si>
  <si>
    <t>Atnaujintų savivaldybių mokyklų sveikatos kabinetų skaičius</t>
  </si>
  <si>
    <t>Privalomajame darbuotojų sveikatos tikrinime dalyvavusių Visagino savivaldybės administracijos darbuotojų dalis</t>
  </si>
  <si>
    <t xml:space="preserve">Įgyvendinant priemonę bus siekiama stabdyti ir mažinti neteisėtą narkotikų, alkoholio ir tabako vartojimą, jų paklausą ugdant neigiamą požiūrį į jį tarp vaikų ir jaunimo, šeimose, bendruomenėse ir visuomenėje, diegiant žmogaus gyvenimo reikšmės ir vertybinių nuostatų bei sveikos gyvensenos sampratą. Siekiama stiprinti savivaldybės institucijų ir įstaigų, verslo subjektų, visuomenės bendradarbiavimo ir koordinavimo narkotikų, alkoholio ir tabako vartojimo prevencijos ir kontrolės srityje. </t>
  </si>
  <si>
    <t>Sudaryta nepriklausoma Visagino savivaldybės neveiksnių asmenų būklės peržiūrėjimo komisija, kuri peržiūri neveiksnaus asmens būklę, jeigu per vienus metus nuo teismo sprendimo pripažinti asmenį neveiksniu tam tikroje srityje įsiteisėjimo dienos Lietuvos Respublikos civilinio kodekso 2.10 straipsnio 4 dalyje nurodyti asmenys arba neveiksniu tam tikroje srityje pripažintas asmuo nesikreipia dėl teismo priimto sprendimo pripažinti asmenį neveiksniu tam tikroje srityje panaikinimo. Taip pat ši komisija kreipiasi į sprendimą pripažinti asmenį neveiksniu tam tikroje srityje priėmusį teismą dėl teismo sprendimo, kuriuo asmuo pripažintas neveiksniu tam tikroje srityje, peržiūrėjimo.</t>
  </si>
  <si>
    <t>Psichikos sveikatos stiprinimas – vienas iš šios Vyriausybės prioritetų, kuriems skiriamas ypatingas dėmesys, ypač siekiant sumažinti savižudybių skaičių. Visose savivaldybėse teikiamos nemokamos tęstinės psichologinės ir/ar psichoterapinės konsultacijas žmonėms su savižalos rizika. Siekiama, kad bent 10 proc. visų savivaldos gyventojų galėtų gauti ne mažiau kaip 3 nemokamas konsultacijas per metus, o per metus iš viso būtų suteikiama apie 100 tūkst. individualių ir / ar grupinių konsultacijų. Be to, numatyta iš Privalomojo sveikatos draudimo fondo lėšų apmokėti iki 5 tūkstančių asmenų su aukšta savižalos rizika vadybos atvejų kasmet.</t>
  </si>
  <si>
    <t>2021 m. spalio 14 d. Visagino savivaldybės tarybos sprendimu Nr. TS – 205 „Dėl Trūkstamų specialybių gydytojų motyvavimo dirbti Visagino savivaldybės viešosiose asmens sveikatos priežiūros įstaigose programos patvirtinimo“ buvo patvirtinta programa, kurios pagrindinis tikslas – nustatyti skatinimo priemonių skyrimo naujai atvykstantiems dirbti trūkstamų specialybių gydytojams ir rezidentams Visagino viešosiose asmens sveikatos priežiūros įstaigose tvarką, kad būtų užtikrintas kokybiškas asmens sveikatos priežiūros paslaugų teikimas savivaldybės gyventojams bei remti studentus, kad baigę studijas ir rezidentūros studijas atvyktų dirbti į Visagino savivaldybę. Programoje numatytos skatinimo priemonės taikomos įsidarbinusiems pirmą kartą įstaigoje trūkstamos specialybės gydytojams ir rezidentams ne mažesniu kaip vieno 0,5 etato krūviu. Skatinimo priemonių finansavimo dydis yra taikomas proporcingai dirbtam darbo krūviui (bet ne daugiau kaip vieno etato darbo krūviui). Gydytojas ar rezidentas pirmą kartą dėl skatinimo priemonės skyrimo gali kreiptis per 12 mėnesių nuo darbo sutarties su ASPĮ pasirašymo dienos.</t>
  </si>
  <si>
    <t>Visagino savivaldybė pritardama Lietuvos Respublikos sveikatos apsaugos ministerijos inicijuotai sveikatos priežiūros įstaigų tinklo reformai dalyvaus sveikatos priežiūros įstaigų tinklo reformoje, kurios tikslas – kokybiškų ir saugių asmens sveikatos priežiūros paslaugų teikimas gyventojams nepaisant jų gyvenamosios vietos, socialinės ar ekonominės padėties.</t>
  </si>
  <si>
    <t>Ją vykdo Visagino savivaldybės administracija, programos uždaviniai:
•	darbuotojų instruktavimas;
•	darbuotojų medicininė apžiūra;
•	darbuotojų skiepijimas;
•	darbuotojų mokymas;
•	socialinėje srityje dirbančių darbuotojų draudimas.</t>
  </si>
  <si>
    <t>Atliekų, kurių turėtojo nustatyti neįmanoma arba kuris nebeegzistuoja, tvarkymas</t>
  </si>
  <si>
    <t>"Atgimimo gimnazija"</t>
  </si>
  <si>
    <t>"Verdenės" gimnazija</t>
  </si>
  <si>
    <t>"Gerosios vilties" progimnazija</t>
  </si>
  <si>
    <t>"Žiburio" pagrindinė mokykla</t>
  </si>
  <si>
    <t>Lopšelis darželis "Auksinis gaidelis"</t>
  </si>
  <si>
    <t>Lopšelis darželis "Auksinis raktelis"</t>
  </si>
  <si>
    <t>Lopšelis darželis "Ąžuoliukas"</t>
  </si>
  <si>
    <t>Lopšelis-darželis "Gintarėlis"</t>
  </si>
  <si>
    <t>Lopšelis-darželis "Kūlverstukas"</t>
  </si>
  <si>
    <t>Visagino kūrybos ir menų akademija</t>
  </si>
  <si>
    <t>Įgyvendinant šią priemonę bus užtikrinamas paviršinių nuotekų priėmimo į paviršinių nuotekų tinklus sutarčių su savivaldybės biudžetinėmis įstaigomis įgyvendinimas, t. y. abonentinio mokesčio mokėjimas UAB „Visagino būstas“.</t>
  </si>
  <si>
    <t>Projektą planuojama įgyvendinti 2021-2027 m. Europos Sąjungos investicijų programos lėšomis. Planuojama, kad šalia Gulbinės upelio bus kuriamas naujas mažaaukštės statybos gyvenamųjų namų kvartalas Visagino mieste, todėl įgyvendinus šį projektą bus sutvarkyta natūrali gamtinė aplinka, sumažintas CO2 kiekis, dėl puvimo proceso užpelkėjusiame slėnyje, mažesnis teritorijos šiukšlinimas, atsiras rekreacinės erdvės. Įgyvendinus projektą savivaldybė išsaugos Visagine mieste esančias natūralias ir pusiau natūralias teritorijas, susistiprins gamtinio karkaso teritorijų ekologinį potencialą, išsaugos  biologinę įvairovę, sumažins ekosistemos degradavimą. 2023-2024 m. planuojamas projektinių dokumentų rengimas</t>
  </si>
  <si>
    <t>R-08-01-01-01</t>
  </si>
  <si>
    <t>E-08-01-01</t>
  </si>
  <si>
    <t>R-08-01-01-02</t>
  </si>
  <si>
    <t>R-08-01-01-03</t>
  </si>
  <si>
    <t>R-08-01-01-04</t>
  </si>
  <si>
    <t>R-08-01-01-05</t>
  </si>
  <si>
    <t>R-08-01-01-06</t>
  </si>
  <si>
    <t>R-08-01-01-07</t>
  </si>
  <si>
    <t>R-08-01-01-08</t>
  </si>
  <si>
    <t>R-08-01-01-09</t>
  </si>
  <si>
    <t>R-08-01-01-10</t>
  </si>
  <si>
    <t>R-08-01-01-11</t>
  </si>
  <si>
    <t>R-08-01-01-12</t>
  </si>
  <si>
    <t>R-08-01-01-13</t>
  </si>
  <si>
    <t>Suteikta finansinė parama miško sklypų savininkams, valdytojams ir naudotojams</t>
  </si>
  <si>
    <t>Įgyvendintų projektų, atsinaujinančių išteklių energijos naudojimo, srityje skaičius</t>
  </si>
  <si>
    <t>R-08-01-01-14</t>
  </si>
  <si>
    <t>E-08-01-02</t>
  </si>
  <si>
    <t>Lėšų už paviršinių nuotekų nuotakyno sistemos tvarkymą panaudojimas</t>
  </si>
  <si>
    <t>R-08-01-02-01</t>
  </si>
  <si>
    <t>99</t>
  </si>
  <si>
    <t>E-08-01-03</t>
  </si>
  <si>
    <t>R-08-01-03-01</t>
  </si>
  <si>
    <t>Programos lėšomis įgyvendintų priemonių, skirtų gyvūnų globai, saugojimui ir populiacijos kontrolei, skaičius</t>
  </si>
  <si>
    <t>E-08-01-04</t>
  </si>
  <si>
    <t>R-08-01-04-01</t>
  </si>
  <si>
    <t>E-08-01-05</t>
  </si>
  <si>
    <t>R-08-01-05-01</t>
  </si>
  <si>
    <t>Visagino kaip post-branduolinės erdvės paveldo išsaugojimas, aktualizavimas, pristatymas</t>
  </si>
  <si>
    <t>Projektas "Europe direct Visagino savivaldybėje" apivartynėms lėšoms</t>
  </si>
  <si>
    <t xml:space="preserve">Visagino, Ignalinos ir Zarasų rajonų savivaldybių funkcinės zonos  strategijos parengimas ir įgyvendinimas </t>
  </si>
  <si>
    <t>E-09-01-01</t>
  </si>
  <si>
    <t xml:space="preserve">Parengtų teritorijų planavimo dokumentų skaičius </t>
  </si>
  <si>
    <t>R-09-01-01-02</t>
  </si>
  <si>
    <t>Atliktų verslo aplinkos tyrimų skaičius</t>
  </si>
  <si>
    <t>R-09-01-01-03</t>
  </si>
  <si>
    <t>R-09-01-01-04</t>
  </si>
  <si>
    <t>BC „Spiečius“ vykdomų priemonių įgyvendinimas procentais</t>
  </si>
  <si>
    <t>R-09-01-01-05</t>
  </si>
  <si>
    <t>R-09-01-01-06</t>
  </si>
  <si>
    <t>Asmenų dalyvavusių gyventojų užimtumo programoje skaičius</t>
  </si>
  <si>
    <t>Talentų pritraukimo ir išlaikymo programos lėšomis paremtų asmenų  skaičius</t>
  </si>
  <si>
    <t>R-09-01-01-08</t>
  </si>
  <si>
    <t>R-09-01-01-09</t>
  </si>
  <si>
    <t>E-09-02-01</t>
  </si>
  <si>
    <t>R-09-02-01-01</t>
  </si>
  <si>
    <t>R-09-02-01-02</t>
  </si>
  <si>
    <t>R-09-02-01-03</t>
  </si>
  <si>
    <t>Įsteigtų pramonės parkų (laisvųjų ekonominių zonų) Visagino savivaldybėje skaičius</t>
  </si>
  <si>
    <t>E-09-02-02</t>
  </si>
  <si>
    <t>R-09-02-02-01</t>
  </si>
  <si>
    <t>R-09-02-02-02</t>
  </si>
  <si>
    <t>R-09-02-02-03</t>
  </si>
  <si>
    <t>R-09-02-02-04</t>
  </si>
  <si>
    <t>Parengtų teritorijų planavimo dokumentų skaičius</t>
  </si>
  <si>
    <t>Parengtų žemės sklypų planų (kadastrinių matavimų) skaičius</t>
  </si>
  <si>
    <t>E-09-02-03</t>
  </si>
  <si>
    <t>R-09-02-03-01</t>
  </si>
  <si>
    <t>R-09-02-03-02</t>
  </si>
  <si>
    <t>R-09-02-03-03</t>
  </si>
  <si>
    <t>R-09-02-03-04</t>
  </si>
  <si>
    <t>R-09-02-03-05</t>
  </si>
  <si>
    <t>R-09-02-03-06</t>
  </si>
  <si>
    <t>Inovacijų srityje įgyvendintų projektų skaičius</t>
  </si>
  <si>
    <t xml:space="preserve">Skaitmenizavimo srityje įgyvendintų projektų skaičius  </t>
  </si>
  <si>
    <t>E-09-03-01</t>
  </si>
  <si>
    <t>R-09-03-01-01</t>
  </si>
  <si>
    <t>R-09-03-01-02</t>
  </si>
  <si>
    <t>R-09-03-01-03</t>
  </si>
  <si>
    <t>R-09-03-01-04</t>
  </si>
  <si>
    <t>R-09-03-01-05</t>
  </si>
  <si>
    <t>R-09-03-01-06</t>
  </si>
  <si>
    <t>R-09-03-01-07</t>
  </si>
  <si>
    <t>R-09-03-01-08</t>
  </si>
  <si>
    <t>Sukurtų turizmo objektų skaičius</t>
  </si>
  <si>
    <t>Įrengtų miesto kraštovaizdžio formavimo ir įprasminimo priemonių skaičius</t>
  </si>
  <si>
    <t xml:space="preserve">Organizuotų renginių skaičius </t>
  </si>
  <si>
    <t>E-09-03-02</t>
  </si>
  <si>
    <t>R-09-03-02-01</t>
  </si>
  <si>
    <t>R-09-03-02-02</t>
  </si>
  <si>
    <t>R-09-03-02-03</t>
  </si>
  <si>
    <t>R-09-03-02-07</t>
  </si>
  <si>
    <t xml:space="preserve">Prižiūrėta ir suremontuota savivaldybės lankomų turistinių objektų </t>
  </si>
  <si>
    <t>E-09-04-01</t>
  </si>
  <si>
    <t>R-09-04-01-01</t>
  </si>
  <si>
    <t>Parengtų funkcinės (-ių) zonos (-ų) strategijų skaičius</t>
  </si>
  <si>
    <t>Bendradarbiaujant su VšĮ „Euroregiono Ežerų kraštas direktorato biuras“ nuolat  ieškoma galimybių įgyvendinti naujus projektus, kurie prisidėtų prie Visagino miesto plėtros bei įvaizdžio kūrimo</t>
  </si>
  <si>
    <t>Įgyvendinat šią priemonę bus įgyvendinamas 2020 m. gruodžio 22 d. Visagino savivaldybės tarybos sprendimas Nr. TS-275 „Dėl Utenos regiono plėtros tarybos steigimo“. Pagrindiniai Utenos regiono plėtros tarybos veiklos tikslai:
	planuoti, koordinuoti nacionalinės regioninės politikos įgyvendinimą Utenos regione ir bendrai su kitomis regionų plėtros tarybomis, savivaldybių institucijomis ir įstaigomis įgyvendinamas regioninės plėtros skatinimo priemones; 
	skatinti socialinę, ekonominę Utenos regiono plėtrą, darnų urbanizuotų teritorijų vystymą, socialinių ir ekonominių skirtumų tarp Utenos regiono ir kitų regionų bei šių skirtumų tarp Utenos regiono savivaldybių mažinimą;
	skatinti savivaldybių bendradarbiavimą, siekiant padidinti funkcinių zonų vystymo ir viešųjų paslaugų teikimo organizavimo efektyvumą;
	atstovauti Utenos regionui.</t>
  </si>
  <si>
    <t>Įgyvendinant savivaldybės urbanistinio ir teritorijų planavimo plėtrą ir tobulinimą, vykdant šią priemonę pagal poreikį bus rengiami teritorijų planavimo dokumentai, įgyvendinantys Visagino savivaldybės ir Visagino miesto bendrųjų planų sprendinius, atsižvelgiant į savivaldybės poreikį. Taip pat bus atlikti Visagino savivaldybės vandens tiekimo, nuotekų ir lietaus kanalizacijos tvarkymo infrastruktūros plėtros bei Visagino savivaldybės šilumos ir dujų ūkių (infrastruktūros plėtros) specialiųjų planų keitimai. 
Priemonės įgyvendinimas prisidės prie Strateginio plėtros plano priemonės „Savivaldybės urbanistinio ir teritorijų planavimo plėtra ir tobulinimas“, kurioje planuojami veiksmai: Visagino savivaldybės ir Visagino miesto bendrųjų planų sprendinių stebėsena ataskaitų parengimas; Visagino savivaldybės ir miesto bendrųjų planų keitimas; kitų, pagal poreikį parengtų,  reikalingų teritorijų planavimo dokumentų, žemės sklypų formavimo ir pertvarkymo projektų bei žemės sklypų planų parengimas; Visagino savivaldybės miškotvarkos planų parengimas.</t>
  </si>
  <si>
    <t>Atsižvelgiant į savivaldybės poreikį, bus rengiami žemės sklypų planai ir kadastriniai matavimai, įgyvendinantys Visagino savivaldybės ir Visagino miesto bendrųjų planų sprendinius.</t>
  </si>
  <si>
    <t>Įgyvendinant šią priemonę planuojama sukurti ir įgyvendinti inovacinės veiklos ir kūrybinės veiklos skatinimo sistemą, skatinti kompetencijų plėtrą skaičiavimo, dirbtinio intelekto, kibernetinio saugumo taikymo srityse. Vystyti darbo vietų suteikimo paslaugas (kūrybinių industrijų sektoriuje (inovacijų klasterio veiklos užtikrinimas).</t>
  </si>
  <si>
    <t>Įgyvendinant šią priemonę planuojama skatinti SVV subjektų skaitmenizavimo procesus. Kuriant skaitmeninio miestą dvynio platformą įtraukti verslo subjektus, turimą infrastruktūrą į bendrą savivaldybės rinkodarą. Skatinti įmones/įstaigas pereiti prie neutralios klimatui ekonomikos, planuojama parengti ir vykdyti energetinio efektyvumo didinimo programą, skatinti  atsinaujinančių energijos išteklių diegimą SVV, skatinti investicijas į elektromobilių krovimo aikšteles.</t>
  </si>
  <si>
    <t xml:space="preserve">Įgyvendinant šią priemonę planuojama, kad bus parengta atominės energetikos aktualizavimo ir pritaikymo edukacijai bei turizmui dalies patalpų, esančių Balto g. 1, Visagine, administraciniame pastate, pertvarkymo koncepcija, investicinė ir techninė dokumentacija. </t>
  </si>
  <si>
    <t xml:space="preserve">Šiuolaikinės turizmo vystymo tendencijas rodo išaugusi paklausą lėtajam, ekologiniam, saugančiam gamtą turizmui, jis vis labiau populiarėja tarp vietinių ir užsienio turistų. Pagrindinės savivaldybės poilsiavietės yra prie Visagino ežero. Estetiniu bei funkciniu požiūriu Visagino savivaldybėje turizmui tinkamiausi yra penki savivaldybės ežerai: Visaginas, Baltas, Gulbinis, Eglinis ir dalis Drūkšių ežero. Visagino savivaldybė ribojasi su Gražutės regioniniu parku, kuriame gausų miškų ir ežerų. Įgyvendinant šią priemonę planuojami sukurti įvairaus ilgio, sudėtingumo maršrutai aktyviam poilsiui Visagino savivaldybėje, į bendrus maršrutus įtraukiant Zarasų ir Ignalinos rajonų teritorijas (apjungiant į bendrus funkcinės zonos VIZA maršrutus):
	Žygių maršruto „Visaginas. Miestas miške-miškas mieste“ sukūrimas ir priėjimų prie lankomų/gamtos objektų įrengimas, atokvėpio/stebėjimo vietų įrengimas. Maršrutas apimtų tako per aukštapelkę įrengimą (pratęsimą), sujungiant Kukuižės pažintinį taką su aktyvaus poilsio ir sporto zona prie Visagino ežero; nusileidimo iš Kosmoso g. pritaikymą neįgaliesiems; poilsio vietų įrengimą ir audio/video/informacinės įrangos Kukuižės pažintiniame take įrengimą; privažiavimo/priėmimo prie paplūdimio infrastruktūros sutvarkymą (infrastruktūros kompleksinį sutvarkymą prie KC „Banga“ aktyvaus poilsio ir sporto zonos); pėsčiųjų tako aplink Visagino ežerą per miško masyvą, įskaitant link Gulbinio upelio įrengimą ir pritaikymą judėjimui su negalia, poilsio aikštelių įrengimą (įskaitant teminių (meno) vietų sukūrimą, pvz. sūpynių parkas, meno projektas saloje); viešosios infrastruktūros įrengimą prie Visagino ežero (II ir III miesto mikrorajone); viešųjų sanitarinių mazgų (wc) prie lankomų objektų įrengimą Visagino mieste; Gulbinio upelio pakrančių sutvarkymą, poilsio aikštelių įrengimą; informacinės infrastruktūros prie lankomų objektų įrengimą.
	Žygių maršrutų „VIZA. Pėsčiomis“ sukūrimas ir priėjimų prie lankomų/gamtos objektų, atokvėpio vietų įrengimas. Būtų kuriami maršrutai pasiekiant gamtos / lankomus objektus, esančius Visagino sav., Zarasų ir Ignalinos r. (žygių takai 4 km, 6 km, 14 km, 20 km): 1) Balto, Baltojo ežerų (Visagino sav.), Bestinio ež. ir Lapušiškio piliakalnio (Visagino sav., Ignalinos r. sav.), Karačiunkos ež. (Zarasų r.sav.), AE valdymo simuliatorius (Visagino sav.); 2) Balto, Kukuižės, Visagino ež. (Visagino sav.), Smalvų, Karačiunkos ež., Švento, Luodžio ež. Zarasų r. sav.).
	Žygių maršruto „Ties Drūkšiais“ sukūrimas: poilsio aikštelės Šaškų kaime sutvarkymas (aplinkos sutvarkymo darbai, meno plenerai ar instaliacijos); I pasaulinio karo militaristinių objektų aktualizavimas (Šaškų kaimas). </t>
  </si>
  <si>
    <t>Įgyvendinant priemonę bus rengiami projektai, kurie apimtų šias veiklas:
•	Vietovei būdingo materialaus ir nematerialaus paveldo išsaugojimas, pritaikymas lankytojams, edukacinei-pažintinei veiklai, regiono patrauklumui. (Pažintinio-edukacinio lankytojų centro „Energijos centras“  įkūrimas ir vystymas, Balto g.1, Visagino sav.)  Ignalinos AE valdymo pulto simuliatoriaus erdvių pritaikymas lankymu, pažintinio lankytojų centro įkūrimas ir vystymas, infrastruktūros atnaujinimas/energetinių priemonių diegimas ir pritaikymas centro tikslams, įrangos ir IT turinio sukūrimas ir diegimas, valdymo modelio kūrimas ir rinkodaros priemonių vykdymas);
•	Viešųjų erdvių ir objektų atnaujinimas pritaikant šiuolaikinėms reikmėms, išlaikant architektūrinį miesto paveldą ir identitetą (meno/vizualinės medžiagos parengimas iki projektų įgyvendinimo);
•	Energetikos pažinimo maršruto regione sukūrimas (įtraukiant VIZA regione esančius energetikos objektus), kuriant regiono turizmo klasterį (rinkodaros skaitmenizavimas);
•	Visagino tautinių mažumų kultūros, gastronomijos maršruto sukūrimas (tautinių bendrijų projektų rėmimas, teminių taškų sukūrimas);
•	Visagino savivaldybės  bendruomenės mokymai kuriant ekskursines ir edukacines programas ir programų vykdymas.</t>
  </si>
  <si>
    <t xml:space="preserve">Lyginant su Lietuvos vidurkiu Visaginas išsiskiria didele ne lietuvių tautybės gyventojų dalimi. Visagine aktyvūs ir kitų tautybių gyventojai, pavyzdžiui, baltarusiai, lenkai, ukrainiečiai ir kt., dėka kurių Visaginas gali vadintis daugiataučiu miestu. Tautinės mažumos dažnai dalyvauja miesto renginiuose, rengia savo tautines šventes, organizuoja tarptautinį tautinių mažumų festivalį „Rudeninės“. Nors tautinės bendruomenės turi sukurtas edukacijų programas, jas niekur nereklamuoja bei turistams nerengia. Tikimąsi , kad priemonės įgyvendinimas paskatins ekonominę veiklą. </t>
  </si>
  <si>
    <t xml:space="preserve">Įgyvendinant šią priemonę planuojama rengti architektūrinių  idėjų  konkursus ir techninę dokumentaciją miesto viešosioms erdvėms formuoti. 
Priemonės įgyvendinimas prisidės prie Strateginio plėtros plane suplanuoti veiksmo „Miesto architektūros viešinimas ir informacijos pritaikymas edukacinėms, pažintinėms veikloms ir moksliniam turizmui“ vykdymo. </t>
  </si>
  <si>
    <t>Su atominės elektrinės paveldu glaudžiai susijusi ir miesto urbanistika, išsiskirianti savo apgalvotu planavimu ir prisitaikymo prie natūralaus kraštovaizdžio. Visagine organizuojamos architektūrinės stovyklos, vedamos ekskursijos, leidžiančios susipažinti su miesto architektūriniais akcentais, vykdomi kultūros bei švietimo projektai, tyrinėjantys ir atkreipiantys dėmesį į miesto urbanistiką. Visagino savivaldybė garsėja meno ir kūrybinių iniciatyvų pasiūla, per pastaruosius metus mieste vis daugėja šiuolaikinio meno ir kūrybos šakų, kaip, pavyzdžiui, muralų, „Naujojo cirko“, šviesos instaliacijų ir kitų, išraiškų. Šiuolaikinio meno ir kūrybos iniciatyvos, be abejo, pritraukia turistus, kuria šiuolaikinio, progresyvaus miesto įvaizdį. Tam, kad menas ir kūryba taptų turistų traukos taškais, svarbu skatinti nepriklausomų menininkų įsikūrimą ir veiklos plėtrą. Taip pat, kūrybinių veiklų organizavimas ir pristatymas viešosiose erdvėse turi būti aiškus ir lengvai prieinamas bet kurio lygio menininkams</t>
  </si>
  <si>
    <t>Siekiant užtikrinti esamos turizmo infrastruktūros tinkamą pristatymą bei informacijos gavimo prieinamumą ir nenutrūkstamą suteikimą, VšĮ Visagino turizmo plėtras centras nuolat teiks turizmo informacijos paslaugas, reprezentuojančias Visagino savivaldybę, viešins Visagino savivaldybės lankytinas vietas, turizmo paslaugas. Siekiant kuo išsamiau pristatyti Visagino savivaldybės turizmo potencialą, planuojama dalyvauti turizmo parodose bei renginiuose, konsultuoti turizmo verslu užsiimančius fizinius ir juridinius asmenis, rengti ir dalyvauti rengiant turizmo informacinius leidinius, skleisti informaciją apie vykstančius turizmo, kultūros ir kitus visuomeninius renginius, įgyvendinti turizmo infrastruktūros projektus, bendradarbiaujant su kaimyninėmis savivaldybėmis išanalizuoti galimybes parengti ir įgyvendinti maršrutą, pritaikytą neįgaliesiems. 
Taip pat bus įgyvendinimas projektas „Europe direct Visagino savivaldybėje“.</t>
  </si>
  <si>
    <t xml:space="preserve">Įsteigus Visagino rekreacijos paslaugų centro filialą „Visagino parkas“ (toliau tekste – Parkas) (Visagino savivaldybės tarybos 2015 m. gruodžio 28 d. sprendimas Nr. TS-247) teikiamos turizmo, rekreacijos ir poilsio viešosios paslaugos, taip pat ieškomas investuotojas bei rengiama dokumentacija, siekiant išnuomoti Parko dalį (išskyrus patalpas, kuriose planuojama įgyvendinti projektą „Atominės energetikos aktualizavimas ir pritaikymas edukacijai bei turizmui“) privačiam subjektui. </t>
  </si>
  <si>
    <t>Įgyvendinant šią priemonę bus užtikrinta savivaldybės lankomų objektų priežiūra ir remontas.</t>
  </si>
  <si>
    <t>Įgyvendinant šią priemonę bus parengta Visagino, Ignalinos ir Zarasų rajonų savivaldybių funkcinės zonos strategija.</t>
  </si>
  <si>
    <t xml:space="preserve">Visagino rekreacijos paslaugų centras </t>
  </si>
  <si>
    <t>Renovuoti ir įrengti sporto bei laisvalaikio aikšteles</t>
  </si>
  <si>
    <t>Įgyvendinant priemonę pagal poreikį ir esamas lėšas gali būti vykdomas:
	bendrojo ugdymo, papildomojo ugdymo bei kitų mokymo (ugdymo) įstaigų patalpų remontas ir avariniai darbai;
	ikimokyklinio ugdymo įstaigų patalpų remontas ir avariniai darbai;
	-sporto įstaigų patalpų remontas ir avariniai darbai;
	-kultūros įstaigų patalpų remontas ir avariniai darbai;
	-socialines paslaugas teikiančių įstaigų patalpų remontas ir avariniai darbai;
	-sveikatos priežiūros įstaigų patalpų remontas ir avariniai darbai;
	-savivaldybės administracijos patalpų remontas ir avariniai darbai;
	-kitų įstaigų patalpų ir objektų remontas ir avariniai darbai.</t>
  </si>
  <si>
    <t>Įrengtų darnaus judumo infrastruktūros priemonių skaičius</t>
  </si>
  <si>
    <t>Pastatyta autobusų stotis su turizmo informacijos centru Visagino savivaldybėje</t>
  </si>
  <si>
    <t>Visagino miesto muziejaus veiklai pritaikytų patalpų skaičius, m2</t>
  </si>
  <si>
    <t>Atnaujintos sporto bazės objektų skaičius</t>
  </si>
  <si>
    <t>Modernizuotų viešųjų pastatų skaičius</t>
  </si>
  <si>
    <t>Įrengtų ir atnaujintų vaikų žaidimų, sporto bei laisvalaikio aikštelių skaičius Visagino savivaldybėje</t>
  </si>
  <si>
    <t>Rekonstruotų pėsčiųjų  alėjų  skaičius</t>
  </si>
  <si>
    <t>Atnaujintų namų skaičius  nuo bendro nerenovuotų daugiabučių namų skaičiaus procentais</t>
  </si>
  <si>
    <t xml:space="preserve">Įrengta gatvių žymėjimo lentelių </t>
  </si>
  <si>
    <t>Įgyvendintų projektų apšvietimo srityje skaičius</t>
  </si>
  <si>
    <t>Sumontuotų elektros linijų ir elektros spintų, apskaitos skydų skaičius</t>
  </si>
  <si>
    <t>Pasirašyta pastatų šilumos sistemos ir šilumos mazgų priežiūros ir remonto sutarčių skaičius</t>
  </si>
  <si>
    <t>Atnaujintų požeminių tinklų topografinių planų skaičius</t>
  </si>
  <si>
    <t xml:space="preserve">Prižiūrimų kapinių skaičius </t>
  </si>
  <si>
    <t>Sutvarkytų išardytų nebaigtos statybos arba nereikalingų, netinkamų naudoti statinių Visagino savivaldybėje skaičius</t>
  </si>
  <si>
    <t xml:space="preserve">Inicijuotų techninių projektų rengimo skaičius </t>
  </si>
  <si>
    <t>Diegti automatizuotą gyventojų priėmimo viename langelyje prašymų formą</t>
  </si>
  <si>
    <t xml:space="preserve">Įdiegta sistema </t>
  </si>
  <si>
    <t xml:space="preserve">Administracinės naštos mažinimo priemonių planas (1 programos priedas, 01.02.02.02. priemonė) </t>
  </si>
  <si>
    <t>Atlikti Visagino savivaldybės kapinių skaitmeninimą (atliktas kapinių skaitmeninimas leis administracijai šiuolaikiškai ir greitai atsakyti į gyventojų užklausas, suteikti reikalingas paslaugas, išduoti leidimus laidoti ir kaupti visus duomenis susijusius su kapaviečių priežiūra)</t>
  </si>
  <si>
    <t xml:space="preserve">Aplinkos tvarkymo skyrius
Viešųjų pirkimų skyrius
Vidaus administravimo ir informacinių technologijų skyrius
</t>
  </si>
  <si>
    <t>Kartą per pusmetį</t>
  </si>
  <si>
    <t>Iki 2024-12-31</t>
  </si>
  <si>
    <t>Iki 2024 m. gegužės 15 d.</t>
  </si>
  <si>
    <t>Ataskaitoje pateikta informacija apie administracinės naštos mažinimo priemonių įgyvendinimą</t>
  </si>
  <si>
    <t>Centralizuotas vidaus audito skyrius 
Vidaus administravimo ir informacinių technologijų skyrius</t>
  </si>
  <si>
    <t>Pateikta informacija</t>
  </si>
  <si>
    <t>Vertinti administracinės naštos mažinimo priemonių plano vykdymą ir pateikti vidaus audito ataskaitą administracijos direktoriui</t>
  </si>
  <si>
    <t>Parengta ataskaita</t>
  </si>
  <si>
    <t xml:space="preserve">2024 m. </t>
  </si>
  <si>
    <t>2024-2026 m.</t>
  </si>
  <si>
    <t>R-02-01-01-01</t>
  </si>
  <si>
    <t>R-02-01-01-02</t>
  </si>
  <si>
    <t>R-02-01-02-05</t>
  </si>
  <si>
    <t>R-02-01-02-08</t>
  </si>
  <si>
    <t>R-02-01-02-10</t>
  </si>
  <si>
    <t>E-02-01-03</t>
  </si>
  <si>
    <t>R-02-01-03-01</t>
  </si>
  <si>
    <t>R-02-01-03-02</t>
  </si>
  <si>
    <t>R-02-01-03-04</t>
  </si>
  <si>
    <t>E-02-02-01</t>
  </si>
  <si>
    <t>R-02-02-01-01</t>
  </si>
  <si>
    <t>Įgyvendinant šią priemonę bus užtikrintas Visagino savivaldybės bendrojo ugdymo mokyklų tinklo pertvarkos priemonių plano, patvirtinto 2022 m. kovo 31 d. Visagino savivaldybės tarybos Nr. TS-33 „Dėl Visagino savivaldybės bendrojo ugdymo mokyklų tinklo pertvarkos 2022–2026 metų bendrojo plano patvirtinimo“, įgyvendinimas</t>
  </si>
  <si>
    <t xml:space="preserve">Įgyvendinant projektą planuojama įrengti šiuo metu nenaudojamas patalpas Visagino darželiuose, pritaikant (rekonstruojant, remontuojant) šias patalpas kokybiškai vykdyti ikimokyklinio ir priešmokyklinio ugdymo programas bei siekiant didinti Visagino darželių ugdymo aprėptį (siūlant paslaugas didesniam įvairių tikslinių grupių skaičiui) ir gerinant teikiamų paslaugų kokybę, diegiant naujus ugdymo modelius (t. y. Visagino darželius specializuojant pagal STEAM koncepcijos kryptis bei daugiakalbę aplinką). </t>
  </si>
  <si>
    <t>Vaikų ir jaunimo vasaros poilsio organizavimas vykdant projektų konkursus, laimėjusių projektų finansavimą ir įgyvendinimo priežiūrą</t>
  </si>
  <si>
    <t>190230641</t>
  </si>
  <si>
    <t>190230443</t>
  </si>
  <si>
    <t>190231730</t>
  </si>
  <si>
    <t>190231011</t>
  </si>
  <si>
    <t>190230258</t>
  </si>
  <si>
    <t>190243280</t>
  </si>
  <si>
    <t>300135691</t>
  </si>
  <si>
    <t>190243095</t>
  </si>
  <si>
    <t>190243519</t>
  </si>
  <si>
    <t>193170510</t>
  </si>
  <si>
    <t>305632124</t>
  </si>
  <si>
    <t>300665693</t>
  </si>
  <si>
    <t>Vietinio ūkio valdymo ir statybos skyrius
Švietimo, kultūros, sporto ir valstybinės kalbos kontrolės skyrius</t>
  </si>
  <si>
    <t>E-10-01-01</t>
  </si>
  <si>
    <t>R-10-01-01-01</t>
  </si>
  <si>
    <t>R-10-01-01-02</t>
  </si>
  <si>
    <t>R-10-01-01-03</t>
  </si>
  <si>
    <t>R-10-01-01-04</t>
  </si>
  <si>
    <t>R-10-01-02-01</t>
  </si>
  <si>
    <t>R-10-01-02-04</t>
  </si>
  <si>
    <t>R-10-01-02-06</t>
  </si>
  <si>
    <t>R-10-01-02-08</t>
  </si>
  <si>
    <t>R-10-01-02-09</t>
  </si>
  <si>
    <t>R-10-01-02-10</t>
  </si>
  <si>
    <t>R-10-01-02-11</t>
  </si>
  <si>
    <t>R-10-01-02-14</t>
  </si>
  <si>
    <t>E-10-02-03</t>
  </si>
  <si>
    <t>R-10-02-03-01</t>
  </si>
  <si>
    <t>R-10-02-03-03</t>
  </si>
  <si>
    <t>R-10-02-03-09</t>
  </si>
  <si>
    <t>R-10-02-03-11</t>
  </si>
  <si>
    <t>R-10-02-04-01</t>
  </si>
  <si>
    <t>R-10-02-04-02</t>
  </si>
  <si>
    <t>R-10-02-04-03</t>
  </si>
  <si>
    <t>R-10-02-04-04</t>
  </si>
  <si>
    <t>R-10-02-04-06</t>
  </si>
  <si>
    <t>R-10-02-04-07</t>
  </si>
  <si>
    <t>R-10-02-04-08</t>
  </si>
  <si>
    <t>E-10-02-05</t>
  </si>
  <si>
    <t>R-10-02-05-01</t>
  </si>
  <si>
    <t>R-10-02-06-01</t>
  </si>
  <si>
    <t>E-10-02-06</t>
  </si>
  <si>
    <t>E-10-02-07</t>
  </si>
  <si>
    <t>R-10-02-07-01</t>
  </si>
  <si>
    <t>E-10-03-01</t>
  </si>
  <si>
    <t>R-10-03-01-01</t>
  </si>
  <si>
    <t>R-10-03-01-03</t>
  </si>
  <si>
    <t>R-10-03-01-04</t>
  </si>
  <si>
    <t>R-10-03-01-05</t>
  </si>
  <si>
    <t>R-10-03-01-06</t>
  </si>
  <si>
    <t>R-10-03-01-07</t>
  </si>
  <si>
    <t>R-10-03-01-09</t>
  </si>
  <si>
    <t>R-10-03-01-10</t>
  </si>
  <si>
    <t>E-10-03-02</t>
  </si>
  <si>
    <t>R-10-03-02-03</t>
  </si>
  <si>
    <t>R-10-03-02-04</t>
  </si>
  <si>
    <t>E-10-03-03</t>
  </si>
  <si>
    <t>R-10-03-03-01</t>
  </si>
  <si>
    <t>E-10-03-04</t>
  </si>
  <si>
    <t>R-10-03-04-01</t>
  </si>
  <si>
    <t>E-10-03-05</t>
  </si>
  <si>
    <t>R-10-03-05-01</t>
  </si>
  <si>
    <t>2024 m. priemonės įgyvendintos 100 proc.</t>
  </si>
  <si>
    <t>Savivaldybės valdomos įmonės ar 
viešosios įstaigos pavadinimas</t>
  </si>
  <si>
    <t>Viešųjų įstaigų planuojami pasiekti pagrindiniai veiklos rodikliai ir jų reikšmės</t>
  </si>
  <si>
    <t>VšĮ Visagino graikų-romėnų imtynių centro</t>
  </si>
  <si>
    <t>Savivaldybės valdomų įmonių planuojami pasiekti pagrindiniai veiklos rodikliai ir jų reikšmės</t>
  </si>
  <si>
    <t>Planuojama remti žemės sklypų, kuriuose medžioklė nėra uždrausta, savininkus, valdytojus ir naudotojus, įgyvendinančius žalos prevencijos priemones, kuriomis jie siekia išvengti medžiojamųjų gyvūnų daromos žalos miškui (želdinių apdorojimas repelentais, aptvėrimas tvoromis ar apsauginėmis juostomis, želdinių, gerinančių laukinių gyvūnų natūralias mitybos sąlygas, veisimas ir kitos priemonės). Lėšos skirstomos Visagino savivaldybės administracijos direktoriaus įsakymu</t>
  </si>
  <si>
    <t xml:space="preserve">Atliekų, kurių turėtojo nustatyti neįmanoma arba kuris nebeegzistuoja, tvarkymas. Šioje priemonėje suplanuotos lėšos naudojamos pavojingoms atliekoms, nenaudojamoms padangoms ir kitoms atliekoms, kai nežinomas atliekų tvarkytojas arba kai atliekas būtina sutvarkyti nedelsiant, siekiant išvengti neigiamo poveikio aplinkai, tvarkyti, surinkti ir šalinti. Įgyvendinama 2022-05-30 paslaugų teikimo sutartis Nr. 5-247, sutartis galioja 36 mėn ( iki 2025-05-30) . Planuojamų įsigyti paslaugų vertė  60 500 Eur. </t>
  </si>
  <si>
    <t xml:space="preserve">Įgyvendinant šią priemonę bus vykdomas 2020 m. rugpjūčio 27 d. Visagino savivaldybės tarybos sprendimas Nr. TS-171 „Dėl pritarimo projekto „Atsinaujinančių energijos išteklių panaudojimas Visagino savivaldybės visuomeninės paskirties pastatuose“ įgyvendinimui bei įgyvendinamas Visagino savivaldybės administracijos projektas „Atsinaujinančių energijos išteklių panaudojimas Visagino savivaldybės visuomeninės paskirties pastatuose“, kurio veiklų įgyvendinimo metu Visagino savivaldybės administracija (pasirašyta finansavimo sutartis), Visagino ekonomikos plėtros agentūra (projektas administraciniame vertinime) įsigys saulės elektrinės dalį iš nutolusio saulės jėgainių parko. </t>
  </si>
  <si>
    <t xml:space="preserve">Projektą planuojama įgyvendinti 2021-2027 m.  Europos Sąjungos investicijų programos lėšomis. Projekto veiklomis 2-5 stacionarių oro taršos stebėjimo vietų įrengimas. 2024-2026 m. planuojamas projektinių dokumentų rengimas. </t>
  </si>
  <si>
    <t>Įgyvendinant priemonę planuojama vykdyti aptiktų užterštų teritorijų, esančių tarp Dūkšto kelio 68 ir 76, 86 ir 90, Visagine valymą. Taip pat tvarkyti Eglinio ežero pakrantę. Įgyvendinant priemonę bus įgyvendinama 2022-12-30 paslaugų teikimo sutartis Nr. 5-635, sutartis galioja 36 mėn. (iki 2025-12-30)</t>
  </si>
  <si>
    <t>Išvalytų užterštų teritorijų kv.m.</t>
  </si>
  <si>
    <t>Įgyvendintų priemonių skaičius</t>
  </si>
  <si>
    <t>Įgyvendinant šią priemonę planuojama ;
1) Finansuoti visuomenės švietimo bei mokymo aplinkosauginius projektus.
2) Užtikrintas Lietuvos žaliųjų judėjimo Tarptautinės gamtosauginių mokyklų programos "Verdenės" gimnazijoje koordinavimas
3) Visagino savivaldybės atliekų prevencijos ir  tvarkymo 2021-2027 m. plane numatytų  visuomenės informavimo priemonių įgyvendinimas</t>
  </si>
  <si>
    <t>Įgyvendinant šią priemonę bus;
1) užtikrintas varninių paukščių gausos reguliavimo priemonių įgyvendinimas bei pagerinta aplinkos kokybė ir visuomenės saugumas, nes bus reguliuojama varninių paukščių populiacija. 
2) Sosnovskio barščio gausos reguliavimas ir naikinimas (1 ha )</t>
  </si>
  <si>
    <t>95</t>
  </si>
  <si>
    <t>Vietinės rinkliavos už komunalinių atliekų surinkimo dalis nuo apskaičiuotos, proc.</t>
  </si>
  <si>
    <t xml:space="preserve">Įsigytų vaizdo kamerų skaičius </t>
  </si>
  <si>
    <t xml:space="preserve">Atliktų matavimų skaičius </t>
  </si>
  <si>
    <t>2000</t>
  </si>
  <si>
    <t>3000</t>
  </si>
  <si>
    <t>Įgyvendinant šią priemonę vykdoma:
vandens telkinių paplūdimių valymas ir priežiūra;
kapinių tvarkymas ir priežiūra;
želdinių priežiūra, tvarkymas, atnaujinimas;
miesto žaliųjų zonų, gėlynų, parkų, skverų priežiūra, tvarkymas, atnaujinimas; 
miško parko zonos valymas;
sanitarijos darbų vykdymas;
suoliukų tarp daugiabučių namų, skveruose, gatvėse remontas;
mažųjų architektūrinių formų priežiūra;
miesto gatvių ir vietinių kelių valymas ir priežiūra.</t>
  </si>
  <si>
    <t xml:space="preserve">Taip </t>
  </si>
  <si>
    <t>Taip</t>
  </si>
  <si>
    <t>Įgyvendintos Lietuvos Respublikos geriamojo vandens tiekimo ir nuotekų tvarkymo įstatymo nuostatos</t>
  </si>
  <si>
    <t xml:space="preserve">
Įgyvendinant priemonę bus vykdomas 2022-11-24 Visagino savivaldybės tarybos sprendimo Nr. TS- 195 "Dėl Visagino savivaldybės tarybos 2009 m. spalio 8 d. sprendimo Nr. TS-211 „Dėl triukšmo prevencijos Visagino savivaldybės viešosiose vietose taisyklių patvirtinimo“ pakeitimo" įgyvendinimas bei esant poreikiui bus atliekami triukšmo, kylančio atliekant statybos darbus gyvenamosiose patalpose ir gyvenamosiose teritorijose, taip pat patalpose ir  teritorijose, kuriose privaloma laikytis nustatytų triukšmo ribinių dydžių matavimai</t>
  </si>
  <si>
    <t>Įgyvendintos Lietuvos Respublikos triukšmo valdymo įstatymo nuostatos</t>
  </si>
  <si>
    <t xml:space="preserve">Įgyvendintos  Lietuvos Respublikos gyvūnų gerovės ir apsaugos įstatymo nuostatos </t>
  </si>
  <si>
    <t xml:space="preserve">Sutvarkytų teritorijų skaičius, ha </t>
  </si>
  <si>
    <t>Įgyvendinti Lietuvos Respublikos triukšmo valdymo įstatymo nuostatas</t>
  </si>
  <si>
    <t>Įgyvendinti Lietuvos Respublikos geriamojo vandens tiekimo ir nuotekų tvarkymo įstatymo nuostatas</t>
  </si>
  <si>
    <t>Šiam uždaviniui įgyvendinti numatoma konkurso tvarka remti Visagino savivaldybėje registruotų ir savivaldybėje veiklą vykdančių nevyriausybinių organizacijų ir tautinių mažumų kultūros projektus. Projektų konkursų finansavimo sąlygų aprašas patvirtintas 2020 m. rugsėjo 24 d. Visagino savivaldybės tarybos sprendimu Nr. TS-210 „Dėl Visagino savivaldybės nevyriausybinių organizacijų projektų atrankos ir finansavimo savivaldybės biudžeto lėšomis tvarkos aprašo patvirtinimo“ bei 2022 m. balandžio 27 d. Visagino savivaldybės administracijos direktoriaus įsakymu Nr. ĮV-E-199 „Dėl Visagino savivaldybės tautinių mažumų kultūros projektų finansavimo tvarkos aprašo patvirtinimo“. 
Taip pat įgyvendinant šią priemonę konkurso būdu finansuojamos bendruomeninės veiklos, kurių  tikslas – skatinti gyvenamųjų vietovių bendruomenių savarankiškumą tenkinant socialinius jų narių (gyventojų) poreikius, stiprinti narių (gyventojų) sutelktumą ir tarpusavio pasitikėjimą ir kitą  bendruomeninę veiklą. Projektai finansuojami  LR socialinės apsaugos ir darbo ministerijos nustatyta tvarka.</t>
  </si>
  <si>
    <t xml:space="preserve">2023-08-25 Visagino savivaldybės tarybos sprendimo Nr. TS-157 "Dėl pritarimo Visagino miesto 2024-2029 metų vietos plėtros strategijos projektui"  įgyvendinimas 2024 m. </t>
  </si>
  <si>
    <t>Dalyvaujamojo biudžeto Projektų konkursų finansavimo sąlygų aprašas patvirtintas 2022 m. rugsėjo 29 d. Visagino savivaldybės tarybos sprendimu Nr. TS-171 „Dėl Visagino gyventojų iniciatyva teikiamų projektų, skirtų gyvenamajai aplinkai gerinti, idėjų atrankos ir finansavimo tvarkos aprašo patvirtinimo“. 2023 m.  vyko projektinių idėjų atranka ir ir buvo atrinktos 2 daugiausiai gyventojų balsų surinkę projektinės idėjos, kurias planuojama įgyvendinti 2024 m.: 
1. „Fontanas be vandens“ – surinko 45 gyventojų balsus.
2. „Žaidimo aikštelė jaunimui su laipiojimo elementais“ – surinko 44 gyventojų balsus;</t>
  </si>
  <si>
    <t xml:space="preserve">Įgyvendinti Lietuvos Respublikos jaunimo politikos pagrindų įstatymo nuostatas </t>
  </si>
  <si>
    <t xml:space="preserve">Įgyvendinant priemonę planuojama dalyvauti  "Jaunimo vasaros akademijoje" Telšiuose, organizuoti jau tradicija tampanti jaunimo festivalį Visagine, taip pat organizuoti įvairias akcijas ir šviečiamąsias veiklas  jaunimui bei užtikrinti Visagino jaunimo reikalų tarybos veiklą. </t>
  </si>
  <si>
    <t>Ši priemonė įgyvendinama vadovaujantis 2022-03-31 Visagino savivaldybės tarybos sprendimu Nr. TS-41 „Dėl Visagino savivaldybės tarybos 2019 m. birželio 27 d. sprendimo Nr. TS-159 „Dėl Visagino savivaldybės jaunimo savanoriškos tarnybos finansavimo tvarkos aprašo patvirtinimo“ pakeitimo“. Planuojama finansuoti ne mažiau kaip 6 jaunimo savanoriškos tarnybos programos dalyvius per metus, preliminarus 1 savanorio išlaikymas - 69 eur/1mėn * 6 mėn</t>
  </si>
  <si>
    <t xml:space="preserve">Jaunimo savanoriškos tarnybos programoje dalyvavusių asmenų skaičius </t>
  </si>
  <si>
    <t>Veikiančių jaunimo atvirų erdvių, jaunimo centrų skaičius (vnt.)</t>
  </si>
  <si>
    <t>Teikti institucinę paramą įstaigoms, vykdančioms atvirąjį darbą su jaunimu, siekiant skatinti atviro darbo su jaunimu formų ir įvairovės plėtrą, ypatingą dėmesį skiriant iš švietimo sistemos iškritusiam, nedirbančiam ir perkvalifikavimo programose nedalyvaujančiam jaunimui. Projektų konkursų  finansavimo sąlygų aprašas tvirtinamas teisės aktų nustatyta tvarka.</t>
  </si>
  <si>
    <t xml:space="preserve"> Šios programos tikslas padėti jaunimui įsitraukti į darbo rinką, įgyti reikiamos patirties vasaros atostogų laikotarpiu, o darbdaviams padėti išlaikyti jaunuolius darbo vietoje.  Programa patvirtinta Visagino savivaldybės tarybos 2021 m. kovo 25 d. sprendimu Nr. TS-66 „Dėl Visagino savivaldybės jaunimo vasaros užimtumo įgyvendinimo programos patvirtinimo“. </t>
  </si>
  <si>
    <t>Planuojama skirti lėšas NVO tarybos veiklos efektyvumui užtikrinti, siekiant stiprinti nevyriausybines ir bendruomenines organizacijas, gerinti aplinką jų veiklai, remti pilietines iniciatyvas</t>
  </si>
  <si>
    <t xml:space="preserve">Įgyvendinant priemonę planuojama konkurso tvarka remti projektus, susijusius su visuomeninių organizacijų ir pilietinės bendruomenės, kitų institucijų, skatinimu, organizuojant bei vykdant nusikaltimų prevenciją ir kontrolę Visagino savivaldybėje. Projektų konkursų finansavimo sąlygų aprašas tvirtinamas teisės aktų nustayta tvarka. </t>
  </si>
  <si>
    <t xml:space="preserve">Įgyvendintų įvairių formų viešosios komunikacijos priemonių skaičius </t>
  </si>
  <si>
    <t xml:space="preserve">Užregistruotų nusikaltimų, baudžiamųjų nusižengimų skaičius, tenkantis 100 tūkst. gyventojų </t>
  </si>
  <si>
    <t>1328</t>
  </si>
  <si>
    <t>1078</t>
  </si>
  <si>
    <t>980</t>
  </si>
  <si>
    <t>2021-06-23 Visagino savivaldybės tarybossprendimu Nr. TS-146 "Dėl Gaisrų prevencijos Visagino savivaldybėje 2021–2023 metų programos patvirtinimo" 2023 m. IV -2024 m. I ketvirti numatoma patvirtinti "Gaisrų prevencijos Visagino savivaldybėje 2024–2026 metų programą</t>
  </si>
  <si>
    <t>Projektas finansuojamas iš Prieglobsčio, migracijos ir integracijos fondo priemonės „Pagalba ekstremaliosios situacijos atveju“ lėšų. 
Pagrindinės projekto veiklos individualios psichologų konsultacijos; teisinės konsultacijos / informacijos teikimo paslaugos; savitarpio pagalbos ir streso valdymo grupės; psichotropinių medžiagų vartojimo, nelegalaus darbo mažinimo, prekybos žmonėmis prevencinės priemonės; kūrybinių dirbtuvių ukrainiečiams ir vietos bendruomenės nariams organizavimas; verslumo ugdymo ir įdarbinimo skatinimo seminarai ir individualios konsultacijos moterims ir merginoms; sporto ir sveikatingumo užsiėmimai; edukacinės programos sociokultūrinei ir pilietinei užsieniečių integracijai.
Projekto partneriai: BĮ Visagino šeimos ir vaiko gerovės centras, NVO Visagino šeimos krizių centras, NVO LRKD Visagino skyrius, NVO Visagino ukrainiečių bendrija, VšĮ Visagino ekonomikos plėtros agentūra, NVO  Trečiojo amžiaus universitetas, BĮ Visagino viešoji biblioteka.</t>
  </si>
  <si>
    <t>Iš planuojamų išpirkti 38 butų, 2023 m. išpirkta 10 butų. 2024-2025 m. planuojama išpirkti likusią dalį t.y. po 14 butų per metus.</t>
  </si>
  <si>
    <t xml:space="preserve"> Įgyvendinant priemonę vykdomas 12918 mokėtojų administravimas.  Taip pat įgyvendinama 2022-12-01 sutartis Nr. 5-574 "Komunalinių atliekų surinkimo Visagino savivaldybės teritorijoje ir jų vežimo į apdorojimo įrenginius paslaugų sutartis",  2023-06-15 Visaginos savivaldybės tarybos sprendimas Nr. TS-131 "Dėl Visagino savivaldybės tarybos 2021 m. gruodžio 23 d. sprendimo Nr. TS-266 „Dėl Visagino savivaldybės vietinės rinkliavos už komunalinių atliekų surinkimą iš atliekų turėtojų ir atliekų tvarkymą dydžio nustatymo metodikos, Visagino savivaldybės vietinės rinkliavos už komunalinių atliekų surinkimą iš atliekų turėtojų ir atliekų tvarkymą nuostatų patvirtinimo“ pakeitimo ir 2022-11-24 Visaginos savivaldybės tarybos sprendimas Nr. TS-198 "Dėl uždarosios akcinės bendrovės „Visagino būstas“ teikiamų komunalinių atliekų tvarkymo paslaugų kainų sąrašo patvirtinimo"</t>
  </si>
  <si>
    <t>4.</t>
  </si>
  <si>
    <t>Pasikeitimas  proc.</t>
  </si>
  <si>
    <t>Valdymo tobulinimo 
programa (01)</t>
  </si>
  <si>
    <t>Švietimo paslaugų plėtros
 programa (02)</t>
  </si>
  <si>
    <t xml:space="preserve">Organizuojamų maršrutų skaičius </t>
  </si>
  <si>
    <t xml:space="preserve">Patenkintų paraiškų proc. nuo visų gautų paraiškų </t>
  </si>
  <si>
    <t>97</t>
  </si>
  <si>
    <t>52</t>
  </si>
  <si>
    <t>Veikiančių elektromobilių greitojo įkrovimo prieigų skaičius</t>
  </si>
  <si>
    <t>Įrengta automobilių stovėjimo aikštelė</t>
  </si>
  <si>
    <t>Sutvarkytų miesto šaligatvių skaičius kv. m.</t>
  </si>
  <si>
    <t>Savivaldybės įnašo dalis, jeigu daugiabučio namo, kuriame yra savivaldybės būstas, savininkai priimtų sprendimą modernizuoti namą. Planuojama suorganizuoti bent vienus daugiabučių namų savininkų bendrijų valdymo organų mokymus (pagal bendrijų pirmininkų prašymus, pateiktus kontroliuojant valdymo organų veiklą)</t>
  </si>
  <si>
    <t>Santarvės a. reikalingas jėgos tinklo atskyrimas nuo apšvietimo tinklo. Kai būna didelė apšvietimo tinklo apkrova per šventes (naudojasi prekybininkai), išsijungia apšvietimas</t>
  </si>
  <si>
    <t>Visagino savivaldybės administracijos valdomų pastatų šilumos sistemų ir šilumos punktų priežiūra bei remontas  pagal Šilumos tinklų ir šilumos vartojimo įrenginių priežiūros (eksploatavimo) taisyklių reikalavimus</t>
  </si>
  <si>
    <t xml:space="preserve">Įrengta naujų kapinių plotų, ha  </t>
  </si>
  <si>
    <t>E-10-01-02</t>
  </si>
  <si>
    <t>9</t>
  </si>
  <si>
    <t>Įgyvendinant šią priemonę planuojama, kad bus atliktas Visagino senų kapinių kelių ir laiptų remontas, Magūnų kapinių laiptų remontas.</t>
  </si>
  <si>
    <t xml:space="preserve"> Erdvių pritaikytų įrengti  darbo vietas kūrybinių industrijų sektoriuje skaičius (kv. m.)</t>
  </si>
  <si>
    <t>Atsižvelgiant į tai, kad prasideda naujas laikotarpis 2021-2027 m. atsiranda poeikis teikti daugiau paraiškų. Pagal ankstesnius pirkimus preliminari vienos paraiškos parengimo kaina nuo 2000-10000 Eur (kaina priklauso nuo paraiškos sudėtingumo)</t>
  </si>
  <si>
    <t xml:space="preserve">Užtikrinta Visagino viešosios bibliotekos veikla </t>
  </si>
  <si>
    <t>Kalėdinis kūrybinių darbų konkursas, Kalėdų senelio dirbtuvės</t>
  </si>
  <si>
    <t>Drabužių įsigijimas, komandiruotės kolektyvų
vadovams, instrumentai, atributika</t>
  </si>
  <si>
    <t>Sekminės, Trejybės šventė ,Velykinis renginys, Joninių šventė</t>
  </si>
  <si>
    <t>2024 m. NATO ir Europos Sąjungos metai,
 Koncertas "Mažoji Dainų šventė", Paroda "Visaginas ir visaginiečiai Dainų švenčių istorijoje"</t>
  </si>
  <si>
    <t>Miesto šventė 49</t>
  </si>
  <si>
    <t>Miesto eglės įžiebimas ir Kalėdinio laikotarpio renginiai, Eglės papuošimas</t>
  </si>
  <si>
    <t>Dalyvavimas Dainų šventėje</t>
  </si>
  <si>
    <t>"Lietuvos kodas" TV projektas</t>
  </si>
  <si>
    <t>Visagino miesto šventė "Visaginui-49", Visagino miesto 50-mečio 
jubiliejaus paminėjimo programos vystymas</t>
  </si>
  <si>
    <t xml:space="preserve">Užtikrinta Visagino kultūros centro veikla </t>
  </si>
  <si>
    <t>Įgyvendinant šią priemonę bus dalyvaujama Lietuvos Dainų šventės šimtmetyje</t>
  </si>
  <si>
    <t xml:space="preserve">Kolektyvų dalyvavusių Dainų šventės šimtmetyje skaičius </t>
  </si>
  <si>
    <t xml:space="preserve">Profesionalaus meno sklaidos renginiuose  dalyvavusių asmenų skaičius </t>
  </si>
  <si>
    <t xml:space="preserve">Priemonė bus įgyvendinama pagal poreikį </t>
  </si>
  <si>
    <t>Visagino savivaldybės 2023 metų konsoliduotųjų ataskaitų rinkinio, savivaldybės lėšų ir turto naudojimo, savivaldybės rinkliavų veiklos ir viešojo sektoriaus subjekto/įmonės veiklos auditai</t>
  </si>
  <si>
    <t xml:space="preserve">Antikorupcinio švietimo renginiuose dalyvavusių asmenų skaičius </t>
  </si>
  <si>
    <t>Įgyvendinant šią priemonę ir  vykdant savarankiškąją savivaldybės socialinių paslaugų teikimo užtikrinimo planuojant ir organizuojant socialines paslaugas funkciją  bei valstybinę (valstybės perduotą savivaldybėms) funkciją, susijusią su socialinės globos teikimo asmenims su sunkia negalia organizavimu, užtikrinama socialines palsaugas Visagino savivaldybėje teikiančių įstaigų Visagino šeimos ir vaiko gerovės centro ir Visagino socialinių paslaugų centro veikla</t>
  </si>
  <si>
    <t>Vadovaujantis Lietuvos Respublikos išmokų vaikams įstatymu mokamos vienkartinės ir periodinės išmokos, užtikrinančios finansinę paramą šeimoms, auginančioms vaikus ar įvaikius, ir vaikams, netekusiems tėvų globos</t>
  </si>
  <si>
    <t>3600</t>
  </si>
  <si>
    <t>3550</t>
  </si>
  <si>
    <t>3500</t>
  </si>
  <si>
    <t>Vadovaujantis Lietuvos Respublikos tikslinių kompensacijų įstatymu mokamos slaugos ir pagalbos (priežiūros) išlaidų tikslinės kompensacijos, asmenims, kuriems nustatytas specialusis nuolatinės slaugos ar specialusis nuolatinės priežiūros (pagalbos) poreikis, atliekamas senyvo amžiaus asmenų savarankiškumo kasdieninėje veikloje vertinimas</t>
  </si>
  <si>
    <t>580</t>
  </si>
  <si>
    <t>Nepasiturintiems savivaldybės gyventojams vadovaujantis Lietuvos Respublikos piniginės socialinės paramos nepasiturintiems gyventojams įstatymu – skiriama ir mokama socialinė pašalpa, kai suaugę asmenys yra išnaudoję visas kitų pajamų gavimo galimybes bei kompensuojamos būsto šildymo, geriamojo vandens ir karšto vandens išlaidos.
Vadovaujantis Lietuvos Respublikos paramos mirties atveju įstatymu mirus asmeniui mokama  laidojimo pašalpa bei parama palaikams parvežti, kuris yra lygi faktinėms palaikų parvežimo į Lietuvos Respubliką išlaidoms, bet neturi viršyti nustatyto dydžio.</t>
  </si>
  <si>
    <t>Nedarbingiems neįgaliesiems, auginantiems vaikus, mokama 20 proc. BSI kompensacija už komunalines paslaugas</t>
  </si>
  <si>
    <t>Socialinę priežiūrą šeimoms  teikia atvejo vadybininkai, socialiniai darbuotojai ir  individualios priežiūros darbuotojai.</t>
  </si>
  <si>
    <t xml:space="preserve">Vadovaujantis Lietuvos Respublikos socialinės paramos mokiniams įstatymu mokiniams, kurių vidutinės bendrai gyvenančių asmenų pajamos vienam asmeniui per mėnesį mažesnės kaip 1,5 VRP, išimties atvejais mažesnės kaip 2 VRP arba 2,5 VRP, skiriamas nemokamas maitinimas mokykloje. Įgyvendinant šią priemonę dalyvauja: lopšelis-darželis „Auksinis raktelis“, lopšelis-darželis „Kūlverstukas“, lopšelis-darželis „Gintarėlis“, lopšelis-darželis „Ąžuoliukas“, Visagino „Žiburio“ pagrindinė mokykla, Visagino „Atgimimo“ gimnazija, Visagino Draugystės progimnazija, Visagino „Gerosios vilties“ progimnazija, Visagino „Verdenės“ gimnazija.  Mokinai, kurie mokosi mokyklose pagal priešmokyklinio ugdymo programą ir pagal pradinio ugdymo programą pirmoje ir antroje klasėse, turi teisę į nemokamus pietus nevertinant pajamų. </t>
  </si>
  <si>
    <t>Vadovaujantis Lietuvos Respublikos socialinės paramos mokiniams įstatymu, mokiniams, kurių vidutinės bendrai gyvenančių asmenų pajamos vienam asmeniui per mėnesį mažesnės kaip 1,5 VRP, išimties atvejais mažesnės kaip 2 arba 2,5 VRP, skiriama 2 BSI dydžio parama mokinio reikmenims įsigyti.</t>
  </si>
  <si>
    <t>Vykdant valstybinę (valstybės perduotą savivaldybėms) funkciją, susijusią su socialinės globos teikimo asmenims su sunkia negalia organizavimu, kompensuojamos socialinės globos asmenims su sunkia negalia išlaidos</t>
  </si>
  <si>
    <t>107</t>
  </si>
  <si>
    <t>112</t>
  </si>
  <si>
    <t>Ne savivaldybės pavaldumo socialinės globos įstaigomis sudarant su jomis finansavimo sutartis apmokamos socialinės globos asmenims be sunkios negalios išlaidos</t>
  </si>
  <si>
    <t>Būsto pritaikymas žmonėms su negalia pagal jų pateiktus prašymus ir nusttaytą poreikį būsto pritaikyui.</t>
  </si>
  <si>
    <t>Savivaldybės neįgaliųjų ir pagyvenusių žmonių dalyvavimo visuomeniniame gyvenime užtikrinimas, renginių, skirtų pagerbti pagyvenusį ir neįgalų žmogų, organizavimas.</t>
  </si>
  <si>
    <t>Transporto paslaugų organzizavimas ir teikimas  vaikams su negalia ir jų šeimoms, suaugusiems asmenims su negalia ir jų šeimoms, senyvo amžiaus asmenims ir jų šeimoms, socialinę riziką patiriančioms šeimoms, asmenims, kurie dėl ligos negali naudotis visuomeniniu ar individualiu transportu.</t>
  </si>
  <si>
    <t xml:space="preserve">Savivaldybės neįgaliųjų ir pagyvenusių žmonių dalyvavimo visuomeniniame gyvenime užtikrinimas (siekiama suteikti galimybę palaikyti fizinį aktyvumą, gerinti sveikatą suteikiant galimybę naudotis sveikatą stiprinančiomis vandens procedūromis). Už šios priemonės įgyvendinimą atsakingas Visagino socialinių paslaugų centras. </t>
  </si>
  <si>
    <t>Vadovaujantis Globos centro ir vaiko priežiūros budinčio globotojo šeimoje veiklos organizavimo ir finansavimo Visagino savivaldybėje tvarkos aprašu, patvirtintu 2021 m. spalio 14 d. sprendimu Nr. TS-206, teikiamos budinčių globotojų paslaugos bei mokamos lėšos globojamų vaikų išlaikymui. Atsakingas Visagino šeimos ir vaiko gerovės centras.</t>
  </si>
  <si>
    <t>Vaikų, gavusių budinčiųjų globotojų paslaugas, skaičius</t>
  </si>
  <si>
    <t>Visagino savivaldybės taryba 2017 m. gegužės 31 d. sprendimu Nr. TS-96 patvirtino Asmens palaikų laidojimo iš Visagino savivaldybės biudžeto lėšų tvarkos aprašą ir 2019 m. gruodžio 19 d. sprendimu Nr. TS-297 Žmogaus palaikų gabenimo, saugojimo ir nenustatytos tapatybės žmogaus palaikų laidojimo organizavimo Visagino savivaldybėje tvarkos aprašą. Vadovaujantis šių aprašų nuostatomis Visagino savivaldybės administracija organizuoja ir apmoka mirusiųjų vežimą į  teismo medicinos ekspertizę bei atskirais atvejais ir už palaikų laidojimą.</t>
  </si>
  <si>
    <t xml:space="preserve">Visagino savivaldybės šeimos komisija, kuri yra patariamoji prie Savivaldybės tarybos, nusprendė parengti Šeimos stiprinimo programą Visagino savivaldybėje, kurioje buvo aptarta įtraukti 2 šeimų rėmimo priemones:
1. Pagalba (parama) gimus vaikui – 200 Eur vaikui.
2. 50 eurų parama mokymosi reikmenimis kiekvienam pirmokui. </t>
  </si>
  <si>
    <t>Ši priemonė įgyvendinama vadovaujantis Lietuvos Respublikos socialinės integracijos įstatymo 25 (1) straipsnio 4 punktu, kuris numato, kad „už asmeninės pagalbos teikimo organizavimą ir jos kokybės užtikrinimą atsako savivaldybių institucijos“.Įgyvendinant šią priemonę, asmenims, kuriems Lietuvos Respublikos neįgaliųjų socialinės integracijos įstatymo nustatyta tvarka nustatytas neįgalumo lygis arba 55 procentų ir mažesnis darbingumo lygis, arba specialiųjų poreikių lygis, teisės aktų nustatyta tvarka nustačius asmeninės pagalbos poreikį, teikiama individuali pagalba namuose ir viešojoje aplinkoje (palydint ir komunikuojant), kuri padės jam gyventi savarankiškai ir veikti visose gyvenimo srityse.</t>
  </si>
  <si>
    <t>Socialinės reabilitacijos neįgaliesiems bendruomenėje paslaugas teikia tik akredituotos socialinių paslaugų įstaigos. Šiuo metu Visagino savivaldybėje akredituotas socialinės reabilitacijos neįgaliesiems bendruomenėje paslaugas gali teikti 3 nevyriausybinės organizacijos, su kuriomis planuojama sudaryti socialinės reabilitacijos neįgaliesiems bendruomenėje paslaugų teikimo ir finansavimo sutartis.</t>
  </si>
  <si>
    <t>Užtikrinant vaikams, augantiems socialinę riziką patiriančiose šeimose, socialinių paslaugų teikimą teikiamos socialinės priežiūros paslaugos vaikų dienos centruose. Visagino savivaldybėje veikia 3 vaikų dienos centrai, kuriuose įsteigta po 25 vietas.</t>
  </si>
  <si>
    <t>Socialinės pašalpos gavėjų skaičius proc. nuo bendro gyventojų skaičiaus</t>
  </si>
  <si>
    <t>6000</t>
  </si>
  <si>
    <t>5500</t>
  </si>
  <si>
    <t>5000</t>
  </si>
  <si>
    <t xml:space="preserve">Mažas pajamas turinčių šeimų, gaunančių būsto šildymo išlaidų ir išlaidų karštam vandeniui kompensacijas, skaičius   </t>
  </si>
  <si>
    <t>Socialinių išmokų ir kompensacijų skyrimas, mokėjimas ir administravimas</t>
  </si>
  <si>
    <t xml:space="preserve">Planuojama, kad įgyvendinant šią priemonę judumo negalią turintiems žmonėms bus pritaikytas Visagino ežero paplūdimys, įrengiant rampą, leidžiančią vežimėliu patogiai nusileisti į paplūdimio teritoriją. </t>
  </si>
  <si>
    <t>90</t>
  </si>
  <si>
    <t>Vaikų skaičius (VSPC)</t>
  </si>
  <si>
    <t xml:space="preserve">Klientų skaičius </t>
  </si>
  <si>
    <t>26</t>
  </si>
  <si>
    <t xml:space="preserve">Įgyvendinant šią priemonę bus užtikrinta Visagino socialinių paslaugų centro veikla </t>
  </si>
  <si>
    <t xml:space="preserve">Įgyvendinant šią priemonę bus užtikrinta Visagino šeimos ir vaiko gerovės centro veikla </t>
  </si>
  <si>
    <t>Teikiamų socialinių paslaugų rūšių (bendrųjų socialinių paslaugų, socialinės priežiūros paslaugų, socialinės globos paslaugų ir kt. ) skaičius (vnt.)</t>
  </si>
  <si>
    <t>Socialinės paramos gyventojams teikimo laiku užtikrinimas</t>
  </si>
  <si>
    <t>Pagerinti  ir plėsti socialinių paslaugų kokybę ir prieinamumą, bei sukurti jų plėtrai reikalingą  infrastruktūrą</t>
  </si>
  <si>
    <t>E-06-02-01</t>
  </si>
  <si>
    <t>suagusių neįgalijų</t>
  </si>
  <si>
    <t>baseinas</t>
  </si>
  <si>
    <t>NVŠ</t>
  </si>
  <si>
    <t xml:space="preserve">Paslaugų intelekto ir (ar) psichikos negalią turintiems asmenims vietų skaičius naujoje ar modernizuotoje infrastruktūroje, skaičius </t>
  </si>
  <si>
    <t>46</t>
  </si>
  <si>
    <t xml:space="preserve">Asmenų, turinčių intelekto ir (ar) psichikos negalią, gavusių paslaugas naujoje ar modernizuotoje infrastruktūroje skaičius per metus, asmenys per metus </t>
  </si>
  <si>
    <t xml:space="preserve">Projektą planuojama įgyvendinti 2021-2027 m. Europos Sąjungos investicijų programos lėšomis. Projekto veiklomis bus siekiama sukurti naujas paslaugas asmenims, turintiems intelekto ir (ar) psichikos negalią:
-	įkurti dienos centrą (su socialinėmis dirbtuvėmis), asmenims, turintiems intelekto ir (ar) psichikos negalią. Planuojama teikti dienos centro paslaugas, kurio bazėje bus įkurtos socialinės dirbtuvės;
-	įkurti grupinio gyvenimo namus (ne mažiau 10 vietų); 
- organizuoti apsaugoto būsto paslaugas;
- užtikrinti pagalbos organizavimą atvejo vadybos principu asmenims, turintiems specialiųjų poreikių, ir asmenims, kuriems specialieji poreikiai dėl ligos ar įgūdžių stokos nenustatyti, bet  jie yra patekę į socialinę atskirtį; 
-	organizuoti darbuotojų, dirbančių su tiksline grupe, kvalifikacijos tobulinimas ir praktinės stažuotės.
2024 m. planuojamas projektinių dokumentų rengimas. </t>
  </si>
  <si>
    <t xml:space="preserve">Priemonė neplanuojama įgyvendinti. </t>
  </si>
  <si>
    <t>Naujų arba modernizuotų socialinių būstų talpumas, asmenys</t>
  </si>
  <si>
    <t>P-06-01-03-12</t>
  </si>
  <si>
    <t>75</t>
  </si>
  <si>
    <t xml:space="preserve">Naujų arba modernizuotų socialinių būstų naudotojų skaičius per metus, asmenys </t>
  </si>
  <si>
    <t>Nuo tikslinės grupės</t>
  </si>
  <si>
    <t>79,31</t>
  </si>
  <si>
    <t>PV-06-01-03-12</t>
  </si>
  <si>
    <t>Projekto "Komunalinių atliekų rūšiuojamojo atliekų surinkimo pajėgumų plėtra Visagino savivaldybėje" įgyvendinimas</t>
  </si>
  <si>
    <t>R-10-02-05-02</t>
  </si>
  <si>
    <t xml:space="preserve">Pasirašytų priežiūros paslaugų sutarčių skaičius </t>
  </si>
  <si>
    <t xml:space="preserve">Investicijos į rūšiuojamojo atliekų surinkimo įrenginius, eur </t>
  </si>
  <si>
    <t>315 724,76</t>
  </si>
  <si>
    <t>Surinktos atskirai išrūšiuotos atliekos, tonos per metus</t>
  </si>
  <si>
    <t>4505</t>
  </si>
  <si>
    <t>Įgyvendintos viešinimo kampanijos atliekų prevencijos ir tvarkymo temomis, skaičius</t>
  </si>
  <si>
    <t>R-08-01-01-15</t>
  </si>
  <si>
    <t>1764455,99</t>
  </si>
  <si>
    <t>529</t>
  </si>
  <si>
    <t xml:space="preserve"> Šią priemonę įgyvendinant dalyvauja Rokiškio rajono savivaldybės visuomenės sveikatos biuras ir visos savivaldybės bendrojo ugdymo mokyklos bei lopšeliai-darželiai. 
Lietuvos Respublikos visuomenės sveikatos priežiūros įstatymas nustato, kad savivaldybė privalo vykdyti visuomenės sveikatos stebėseną (monitoringą), visuomenės sveikatos stiprinimą bendruomenėje, stiprinti sveikos gyvensenos įgūdžius bendruomenėje, įtraukiant į šią veiklą bendruomenę ir socialinius partnerius, vaikų ir jaunimo visuomenės sveikatos priežiūrą, organizuoti alkoholio, tabako ir psichoaktyviųjų medžiagų vartojimo profilaktiką, lėtinių neinfekcinių ligų, nelaimingų atsitikimų ir traumų profilaktiką, užkrečiamųjų ligų profilaktiką, užtikrinti savižudybių prevenciją, dalyvauti vykdant psichikos sveikatos stiprinimo veiklą ir susirgimų profilaktiką, vykdyti sanitarinių apsaugos zonų įgyvendinimo priežiūrą, atlikti savivaldybės institucijų sprendimų projektų poveikio visuomenės sveikatai vertinimą ir pan.</t>
  </si>
  <si>
    <t xml:space="preserve">Projekto "Visagino savivaldybės sveikatos centro sveikatos priežiūros paslaugoms teikti reikiamos infrastruktūros
modernizavimas" įgyvendinimas </t>
  </si>
  <si>
    <t>MK</t>
  </si>
  <si>
    <t xml:space="preserve">Švietimo pagalbos tarnyba </t>
  </si>
  <si>
    <t>E-02-01-01</t>
  </si>
  <si>
    <t>Formaliojo ir neformaliojo švietimo paslaugų teikėjų (įstaigų, organizacijų, fizinių asmenų) skaičius</t>
  </si>
  <si>
    <t>Mokinių skaičius bendrojo ugdymo (toliau – BU) mokyklose</t>
  </si>
  <si>
    <t>Mokinių skaičius ikimokyklinio ugdymo įstaigose</t>
  </si>
  <si>
    <t>Mokinių skaičius neformaliojo švietimo įstaigose</t>
  </si>
  <si>
    <t>Ikimokykliniame ir priešmokykliniame ugdyme dalyvaujančių 3–5 metų vaikų dalis</t>
  </si>
  <si>
    <t>Savivaldybės mokyklose ugdomų 3–5 metų vaikų, kurių deklaruota gyvenamoji vieta kitoje savivaldybėje, dalis</t>
  </si>
  <si>
    <t>Neformaliojo švietimo programų teikėjų skaičius savivaldybėje</t>
  </si>
  <si>
    <t>Vienai sąlyginei mokytojo pareigybei tenkančių mokinių skaičius BU mokyklose</t>
  </si>
  <si>
    <t>Bendrojo ugdymo mokyklų 1–8 klasių komplektų, kurie yra jungtiniai, dalis (neįskaičiuojant specialiųjų klasių / grupių)</t>
  </si>
  <si>
    <t>Bendrojo ugdymo mokyklų klasių komplektų, kuriuose yra mažiau kaip 8 mokiniai, dalis (neįskaičiuojant specialiųjų klasių / grupių)</t>
  </si>
  <si>
    <t>Naujai komplektuojamų priešmokyklinio ugdymo grupių, kuriose yra ne daugiau kaip 20 mokinių, dalis (neįskaičiuojant specialiųjų klasių / grupių)</t>
  </si>
  <si>
    <t>Naujai komplektuojamų bendrojo ugdymo mokyklų bendrosios paskirties 1 klasių komplektų, kuriuose yra ne daugiau kaip 24 mokiniai, dalis (neįskaičiuojant specialiųjų klasių / grupių) nuo bendro visų klasių / grupių skaičiaus</t>
  </si>
  <si>
    <t>bendrojo ugdymo mokyklose</t>
  </si>
  <si>
    <t>ikimokyklinio ugdymo įstaigose</t>
  </si>
  <si>
    <t>neformalaus švietimo įstaigose</t>
  </si>
  <si>
    <t>Rodiklio pavadinimas</t>
  </si>
  <si>
    <t>Duomenų teikimo data</t>
  </si>
  <si>
    <t>Duomenų šaltinis</t>
  </si>
  <si>
    <t>Demografiniai rodikliai</t>
  </si>
  <si>
    <t>Gimimų skaičius Visagino savivaldybėje (skaičiuojant tik gimusius Lietuvoje)</t>
  </si>
  <si>
    <t>Sausio 1 d.</t>
  </si>
  <si>
    <t>Skaičius</t>
  </si>
  <si>
    <t>LR statistikos departamento Oficialiosios statistikos portalas</t>
  </si>
  <si>
    <t>Socialiniai rodikliai</t>
  </si>
  <si>
    <t>2.1.</t>
  </si>
  <si>
    <t>Socialinės rizikos šeimų, auginančių vaikus, skaičius</t>
  </si>
  <si>
    <t>Spalio 1 d.</t>
  </si>
  <si>
    <t>Socialinės paramos skyrius</t>
  </si>
  <si>
    <t>2.2.</t>
  </si>
  <si>
    <t>Vaikų, augančių socialinės rizikos šeimose, skaičius</t>
  </si>
  <si>
    <t>2.3.</t>
  </si>
  <si>
    <t>Vaikų, gaunančių nemokamą maitinimą, skaičius</t>
  </si>
  <si>
    <t>2.4.</t>
  </si>
  <si>
    <t>Pavežamų bendrojo ugdymo mokyklų mokinių skaičius</t>
  </si>
  <si>
    <t>Vietinio ūkio valdymo ir statybos skyrius</t>
  </si>
  <si>
    <t>Švietimo aplinkos rodikliai</t>
  </si>
  <si>
    <t>3.1.</t>
  </si>
  <si>
    <t>Rugsėjo 1 d.</t>
  </si>
  <si>
    <t>Švietimo ir mokslo institucijų registras (toliau – ŠMIR)</t>
  </si>
  <si>
    <t>3.2.</t>
  </si>
  <si>
    <t>ŠMIR</t>
  </si>
  <si>
    <t>3.3.</t>
  </si>
  <si>
    <t>Švietimo valdymo informacinė sistema (toliau – ŠVIS)</t>
  </si>
  <si>
    <t>3.4.</t>
  </si>
  <si>
    <t>ŠVIS</t>
  </si>
  <si>
    <t>3.5.</t>
  </si>
  <si>
    <t>ŠVIS, Mokinių registras (toliau – MR)</t>
  </si>
  <si>
    <t>3.6.</t>
  </si>
  <si>
    <t>ŠVIS, Pedagogų registras (toliau – PR)</t>
  </si>
  <si>
    <t>3.7.</t>
  </si>
  <si>
    <t>Procentai</t>
  </si>
  <si>
    <t>3.8.</t>
  </si>
  <si>
    <t>3.9.</t>
  </si>
  <si>
    <t>3.10.</t>
  </si>
  <si>
    <t>Personalo rodikliai</t>
  </si>
  <si>
    <t>4.1.</t>
  </si>
  <si>
    <t>Pedagogų registras, ŠVIS</t>
  </si>
  <si>
    <t>4.1.1.</t>
  </si>
  <si>
    <t>4.1.2.</t>
  </si>
  <si>
    <t>4.1.3.</t>
  </si>
  <si>
    <t>4.2.</t>
  </si>
  <si>
    <t>Daugiau kaip 2 metų pedagoginio darbo stažą turinčių darbuotojų dalis</t>
  </si>
  <si>
    <t>4.2.1.</t>
  </si>
  <si>
    <t>4.2.2.</t>
  </si>
  <si>
    <t>4.2.3.</t>
  </si>
  <si>
    <t>4.3.</t>
  </si>
  <si>
    <t>Švietimo įstaigų, kuriose nėra nuolatinio vadovo daugiau kaip 12 mėnesių, dalis nuo bendro švietimo įstaigų skaičiaus</t>
  </si>
  <si>
    <t>Švietimo, kultūros, sporto ir valstybinės kalbos kontrolės skyrius</t>
  </si>
  <si>
    <t>4.4.</t>
  </si>
  <si>
    <t>PR, Finansų ir biudžeto skyrius</t>
  </si>
  <si>
    <t>Ikimokyklinio ugdymo rodikliai</t>
  </si>
  <si>
    <t>5.1.</t>
  </si>
  <si>
    <t>5.2.</t>
  </si>
  <si>
    <t>5.3.</t>
  </si>
  <si>
    <t>Pagalbos mokiniui teikimo rodikliai</t>
  </si>
  <si>
    <t>6.1.</t>
  </si>
  <si>
    <t>6.2.</t>
  </si>
  <si>
    <t>6.3.</t>
  </si>
  <si>
    <t>Mokinių registras</t>
  </si>
  <si>
    <t>6.4.</t>
  </si>
  <si>
    <t>Mokinių, turinčių specialiųjų ugdymosi poreikių,  ugdomų integruotai bendrosios paskirties mokyklose, dalis</t>
  </si>
  <si>
    <t>6.5.</t>
  </si>
  <si>
    <t>Negalią turinčių mokinių dalis nuo mokinių, turinčių specialiųjų ugdymosi poreikių, ugdomų integruotai bendrosios paskirties mokyklose</t>
  </si>
  <si>
    <t>Neformalaus švietimo ir vaikų vasaros užimtumo rodikliai</t>
  </si>
  <si>
    <t>7.1.</t>
  </si>
  <si>
    <t>Neformaliojo švietimo veikloje dalyvaujančių mokinių dalis</t>
  </si>
  <si>
    <t>Mokinių registras; ŠVIS</t>
  </si>
  <si>
    <t>7.2.</t>
  </si>
  <si>
    <t>Bent vienoje neformalaus švietimo programoje dalyvaujančių bendrojo ugdymo mokyklų mokinių skaičius</t>
  </si>
  <si>
    <t>7.3.</t>
  </si>
  <si>
    <t>Bent vienoje NVŠ tikslinio finansavimo (valstybės biudžeto lėšų) programoje dalyvaujančių BU mokyklų mokinių skaičius</t>
  </si>
  <si>
    <t>Mokinių registras NVŠ finansavimo sritis</t>
  </si>
  <si>
    <t>7.4.</t>
  </si>
  <si>
    <t>Programų, įgyvendintų organizuojant vaikų vasaros poilsį, skaičius</t>
  </si>
  <si>
    <t>Administracijos direktoriaus įsakymu patvirtintas programų sąrašas; Mokinių registras; programų vykdytojų ataskaitos</t>
  </si>
  <si>
    <t>7.5.</t>
  </si>
  <si>
    <t>Mokinių, dalyvavusių vaikų vasaros poilsio programose, skaičius</t>
  </si>
  <si>
    <t>Švietimo rezultatų rodikliai</t>
  </si>
  <si>
    <t>8.1.</t>
  </si>
  <si>
    <t>Pagrindinio ugdymo pasiekimų patikrinimo metu bent pagrindinį mokymosi pasiekimų lygį pasiekusių mokinių dalis (lietuvių kalba, matematika)</t>
  </si>
  <si>
    <t>Švietimo duomenų perdavimo sistema (toliau – KELTAS)</t>
  </si>
  <si>
    <t>8.2.</t>
  </si>
  <si>
    <t>Tris ir daugiau valstybinių brandos egzaminų išlaikiusių abiturientų dalis</t>
  </si>
  <si>
    <t>KELTAS</t>
  </si>
  <si>
    <t>Švietimo pagalbos specialistų, tenkančių 100-ui bendrojo ugdymo mokyklų mokinių</t>
  </si>
  <si>
    <t>E-02-01-02</t>
  </si>
  <si>
    <t>Dalyvavimas diagnostiniame ir standartizuotame testavime, olimpiadų, konkursų, varžybų organizavimas, mokinių dalyvavimas „Kultūros paso“ programose, regiono, šalies konkursuose, atrankose, kituose renginiuose pagal atskirai gautus raštus, dalyvavimo kaštų apmokėjimas, Visagino savivaldybėje gyvenančių suaugusių asmenų mokymasis pagal NSŠTM programas. Programos finansuojamos konkurso būdu pagal Visagino savivaldybės tarybos 2016 m. birželio 30 d. sprendimu Nr. TS-126 patvirtintą Visagino savivaldybės NSŠTM programų, finansuojamų savivaldybės biudžeto lėšomis, finansavimo ir atrankos aprašą</t>
  </si>
  <si>
    <t>Sukurtų naujų ikimokyklinio ugdymo vietų skaičius</t>
  </si>
  <si>
    <t>Naujos arba modernizuotos vaikų priežiūros infrastruktūros mokymo klasių talpumas, asmenys</t>
  </si>
  <si>
    <t>Tikslinės transporto priemonės</t>
  </si>
  <si>
    <t>Naujos arba modernizuotos vaikų priežiūros infrastruktūros naudotojų skaičius per metus</t>
  </si>
  <si>
    <t>91</t>
  </si>
  <si>
    <t>P-02-01-03-03</t>
  </si>
  <si>
    <t>Naujos arba modernizuotos švietimo infrastruktūros mokymo klasių talpumas, asmenys</t>
  </si>
  <si>
    <t>Naujos arba modernizuotos švietimo infrastruktūros naudotojų skaičius per metus</t>
  </si>
  <si>
    <t>933</t>
  </si>
  <si>
    <t>33</t>
  </si>
  <si>
    <t>Naujos arba modernizuotos švietimo infrastruktūros mokymo klasių talpumas, skaičius</t>
  </si>
  <si>
    <t xml:space="preserve">Rinkinių, eksponatų skaičiaus muziejaus fonde didėjimas, lyginant su praėjusiais metais, proc. </t>
  </si>
  <si>
    <t>Pasiruošimas Dainų šventei (drabužių įsigijimas,
komandiruotės kolektyvų vadovams, instrumentai)</t>
  </si>
  <si>
    <t>Lietuvos liaudies meno paroda - konkursas „Aukso vainikas“, Lietuvos vaikų ir jaunimo liaudies meno paroda - konkursas „Sidabro vainikėlis“, Lietuvių bendruomenės renginys „Kaimynėli būki sveikas“, tarptautinis tautinių kultūrų festivalis „Rudeninės“ (kas antrus metus vykstantis). Taip pat bus organizuojamas Liaudies dainų kolektyvų koncertas, vainikų pynimo edukacija. Etniniai-pažintiniai renginiai, tradicinio muzikavimo kursai.</t>
  </si>
  <si>
    <t xml:space="preserve">Liaudies dainų kolektyvų koncertas, vainikų pynimo edukacija. Tradicijų išlaikimas ir informavimas, skirta šeimoms (T) </t>
  </si>
  <si>
    <t>Lietuvos liaudies meno paroda - konkursas "Aukso vainikas",
 Lietuvos vaikų ir jaunimo liaudies meno paroda - konkursas "Sidabro vainikėlis" , Lietuvių bendruomenės renginys "Kaimynėli būki sveikas", Tarptautinis tautinių kultūrų festivalis "Rudeninės". Taip pat Etniniai-pažintiniai renginiai, tradicinio muzikavimo kursai (projekto sekmės atveju).</t>
  </si>
  <si>
    <t>Velykinių kompozicijų kūrimas, dirbtuvių organizavimas suaugusiems (T), Tarptautinė vaikų gynimo diena, kūribinės dirbtuvės šeimoms (T)</t>
  </si>
  <si>
    <t>Įgyvendinant šią priemonę administruojamas Visagino savivaldybės  nematerialaus kultūros paveldo vertybių sisteminis sąrašas su surinktais ir nuolat atnaujinamais dabarties ir praeities duomenimis: aprašymais, vaizdo ir garso medžiaga. Organizuojama nematerialaus kultūros paveldo sklaida, inicijuojami projektai, bendradarbiavimas.</t>
  </si>
  <si>
    <t>Nematerialaus paveldo apsaugos funkcijos užtikrinimas, administravimas,
"Sabantuj"- totorių kultūros diena</t>
  </si>
  <si>
    <t>Profesionalaus meno sklaida, menininkų rezidencijos, parodos. Metų nominacijų šventė "Mano miestas - Visaginas", Meno kolektyvų jubiliejai: Rusų folkloro ansamblis "Bylina" ir vaikų rusų folkloro sansamblis "Žavoronok" - 30 m.; Folkloro ansamblis "Krusnė" - 15 m.; senjorų choras "Melodija" - 25 m.; Vyresniųjų liaudiškų šokių grupė "Gervė" - 15 m. Studijos: dekupažas - 15 m., mezgimas - 15 m.</t>
  </si>
  <si>
    <t xml:space="preserve">Metų nominacijų šventė "Mano miestas - Visaginas", Profesinės šventės, minėtinos dienos (Buhalterių, soc. darbuotojų, mokytojų dienos minėjimas, įtraukiama kultūros diena-balandžio 15 d.). </t>
  </si>
  <si>
    <t xml:space="preserve">Įgyvendinant šią priemonę bus organizuojamas Visagino erdvių festivalis, šiuolaikinio cirko festivalis „Naujojo cirko stotelė“, Tarptautinis monospektaklių festivalis „Atspindys“,Senjorų šokių festivalis „Laiko karoliai“,Tarptautinis kantri muzikos festivalis „Visagino Country“, taip pat bus užtikrinamas dalyvavimas tarptautiniuose, respublikiniuose, regioniniuose kultūriniuose renginiuose, atstovavimas savivaldybei konkursuose. </t>
  </si>
  <si>
    <t>Tarptautinis kantri muzikos festivalis "Visagino Country", Dalyvavimas tarptautiniuose,
respublikiniuose, regioniniuose renginiuose, konkursuose, atstovavimas savivaldybei</t>
  </si>
  <si>
    <t>Visagino erdvių festivalis, Šiuolaikinio cirko festivalis "Naujojo cirko stotelė", Tarptautinis monospektaklių festivalis „Atspindys“, Senjorų šokių festivalis "Laiko karoliai"</t>
  </si>
  <si>
    <t>Laisvės gynėjų diena, Lietuvos valstybės atkūrimo diena, Lietuvos nepriklausomybės atkūrimo diena, Liepos 6-oji – Valstybės diena</t>
  </si>
  <si>
    <t>Įgyvendinant šią priemonę bus organizuojami renginiai 2024 m. NATO ir Europos Sąjungos metus paminėti, įgyvendinama Dainų šventės 100-mečio minėjimo programa</t>
  </si>
  <si>
    <t>Foto paroda "Dainų švenčių akimirkos, Mažoji Dainų šventė, Vaikų darbų paroda "100 metų dainuojanti ir šokanti Lietuva"</t>
  </si>
  <si>
    <t>NATO ir Europos Sąjungos metams Protmūšis, NATO ir Europos Sąjungos metams Viktorina ,Tiesioginė Dainų šventės transliacija ir kolektyvų
pristatymas miestiečiams</t>
  </si>
  <si>
    <t>Įgyvendinant šią priemonę bus organizuojami Gatvės muzikos dienos renginiai, susitikimai su vaikų rašytojais, Poezijos šventė, Kultūros nakties renginiai, kiti renginiai pagal poreikį.</t>
  </si>
  <si>
    <t>Tarptautinė vaikų knygos diena / Susitikimas su vaikų rašytoju, Seminaras paskaita „Mados pasaulis“, Poezijos šventė, Metų knygų rinkimai, Šiaurės šalių literatūros savaitė</t>
  </si>
  <si>
    <t>2023 m. Visagino miesto šventė vyks 49-ąjį kartą. Siekiama užtikrinti patrauklią programą, kuri įtrauktų įvairaus amžiaus gyventojus, svečius, socialinius partnerius, bendruomenes.</t>
  </si>
  <si>
    <t>„Knygų alėja“ šeimoms, „Kūrybinės dirbtuvės“ šeimoms</t>
  </si>
  <si>
    <t>Įgyvendinant šią priemonę bus organizuojami Miesto eglės įžiebimo, Kalėdų šventės ir kalėdinio laikotarpio renginiai, miesto puošymui reikalingu instaliacijų įsigyjimas</t>
  </si>
  <si>
    <t>Įgyvendinant priemonę bus įgyvendinamos Lietuvos Respublikos užsienio reikalų ministro  2021 m. gruodžio 27 d. įsakymu Nr. V-550 "Dėl Lietuvos diasporos politikos strateginių gairių „Globali Lietuva“ 2022‒2030 m. patvirtinimo", patvirtintos Lietuvos diasporos politikos strateginių gairių „Globali Lietuva“ 2022‒2030 m." nuostatos, o numatytos įgyvendinti priemonės bus įtrauktos į Lietuvos diasporos politikos strateginių gairių „Globali Lietuva“ 2022‒2030 m. įgyvendinimo veiksmų planą 2024–2026 m.</t>
  </si>
  <si>
    <t>Savivaldybės nekilnojamojo turto išlaikymui ir administravimui numatytų lėšų mažėjimas, proc</t>
  </si>
  <si>
    <t>1.4. Europos Sąjungos ir kitos tarptautinės finansinės paramos lėšos (ES, EGDAP)</t>
  </si>
  <si>
    <t>Fizinio aktyvumo ir sporto 
plėtros programa (03)</t>
  </si>
  <si>
    <t>Gyventojų kultūrinio aktyvumo skatinimo ir identiteto stiprinimo programa (04)</t>
  </si>
  <si>
    <t>Bendruomeniškumo 
skatinimo programa (05)</t>
  </si>
  <si>
    <t>Socialinės paramos programa (06)</t>
  </si>
  <si>
    <t>Sveikatos apsaugos paslaugų kokybės gerinimo programa (07)</t>
  </si>
  <si>
    <t>Aplinkos apsaugos programa (08)</t>
  </si>
  <si>
    <t>Ekonominės plėtros programa (09)</t>
  </si>
  <si>
    <t>Viešosios infrastruktūros 
programa (10)</t>
  </si>
  <si>
    <t>1. Konkurencingo verslo skatinimas ir vietinės ekonomikos tvari plėtra
2. Socialinės gerovės kūrimas, sumaniai, pažangiai, besimokančiai, moderniai ir laimingai bendruomenei
3. Tvarus, subalansuotas savivaldybės aplinkos vystymas ir plėtra</t>
  </si>
  <si>
    <t>Gerinti  teikiamų paslaugų kokybę, didinti jų prieinamumą ir patrauklumą, tinkamai organizuojant savivaldybės administravimo subjektams  priskirtų funkcijų įgyvendinimą</t>
  </si>
  <si>
    <t>Įgyvendinant šią priemonę planuojama  užtikrinti, Visagino savivaldybės merui, administracijai bei Visagino savivaldybės tarybai priskirtų funkcijų įgyvendinimą.</t>
  </si>
  <si>
    <t xml:space="preserve">Tarybos narių veiklos organizavimas </t>
  </si>
  <si>
    <t>31</t>
  </si>
  <si>
    <t>32</t>
  </si>
  <si>
    <t>Parengtų ir savivaldybės interneto svetainėje paskelbtų atmintinių ir rekomendacijų skaičius (vienetai)</t>
  </si>
  <si>
    <t>Atliktų įmonių ir įstaigų, interneto svetainių, spaudos leidinių ir reklamos objektų patikrinimų skaičius (vienetai</t>
  </si>
  <si>
    <t>66</t>
  </si>
  <si>
    <t>67</t>
  </si>
  <si>
    <t>565</t>
  </si>
  <si>
    <t>627</t>
  </si>
  <si>
    <t>628</t>
  </si>
  <si>
    <t>4,7</t>
  </si>
  <si>
    <t>4,6</t>
  </si>
  <si>
    <t>4,5</t>
  </si>
  <si>
    <t>Panaudota dotacijos dalis nuo visų savivaldybei priskirtų archyvinių dokumentų tvarkymo funkcijai atlikti skirtų asignavimų dalies (procentai)</t>
  </si>
  <si>
    <t>Panaudota dotacijos dalis, nuo visų socialinių išmokų ir kompensacijų administravimui numatytų lėšų, procentai</t>
  </si>
  <si>
    <t>Pateikta duomenų Suteiktos valstybės
pagalbos registrui (proc. registre
įregistruotos valstybės ir nereikšmingos pagalbos nuo visos suteiktos valstybės ir nereikšmingos pagalbos)</t>
  </si>
  <si>
    <t>Panaudota dotacijos dalis, nuo visų socialinės paramos mokiniams administravimui numatytų lėšų procentais</t>
  </si>
  <si>
    <t>Panaudota dotacijos dalis, nuo visų socialinės paramos administravimui (socialinei globai asmenims su sunkia negalia) numatytų lėšų procentais</t>
  </si>
  <si>
    <t>Panaudota dotacijos dalis, nuo visų būsto nuomos ir išperkamosios būsto nuomos mokesčių dalies kompensacijų administravimui numatytų lėšų procentais</t>
  </si>
  <si>
    <t>86</t>
  </si>
  <si>
    <t>87</t>
  </si>
  <si>
    <t>Panaudota dotacijos dalis, nuo visų Visagino savivaldybės užimtumo didinimo programos administravimui numatytų lėšų, procentai</t>
  </si>
  <si>
    <t>Užtikrinti Vietos savivaldos įstatyme numatytų 7 valstybės deleguotų žemės ūkio funkcijų vykdymą, proc.</t>
  </si>
  <si>
    <t>Suderintų į savivaldybės erdvinių duomenų rinkinį integruotų planų skaičius, vnt.</t>
  </si>
  <si>
    <t>Perduota Aplinkos ministerijai</t>
  </si>
  <si>
    <t>Finansuotų tarpinstitucinio bendradarbiavimo
koordinatorių pareigybių skaičius savivaldybėse (vienetai)</t>
  </si>
  <si>
    <t>Savivaldybės pasirengimo reaguoti į ekstremalias situacijas lygis, ne žemesnis kaip, proc.</t>
  </si>
  <si>
    <t>Valstybės institucijų ir savivaldybių pasirengimo galimai radiologinei ar branduolinei avarijai Baltarusijos
atominėje elektrinėje priemonių plane numatytų priemonių, pagal kompetenciją įgyvendintų savivaldybėje, per nustatytus terminus, dalis, ne mažiau kaip, proc</t>
  </si>
  <si>
    <t>Panaudotos mero rezervo lėšos esant poreikiui, nuo planuotų panaudoti, procentai</t>
  </si>
  <si>
    <t xml:space="preserve">Užtikrintas </t>
  </si>
  <si>
    <t>Užtikrintas</t>
  </si>
  <si>
    <t>E-01-01-05</t>
  </si>
  <si>
    <t>E-01-01-06</t>
  </si>
  <si>
    <t xml:space="preserve">Įvykdytų (įgyvendinamų) ir planuotų vykdyti  Visagino savivaldybės korupcijos prevencijos 2022-2024 metų veiksmų planą priemonių santykis </t>
  </si>
  <si>
    <t>Savivaldybės administracinių paslaugų, 
teikiamų elektroniniu būdu ne žemesniu kaip 4 brandos lygiu, dalis nuo visų savivaldybės teikiamų administracinių paslaugų (proc.)</t>
  </si>
  <si>
    <t>E-01-01-07</t>
  </si>
  <si>
    <t xml:space="preserve">Savivaldybės išorinės komunikacijos lygis
 auditorijos dydis (medijų paskyrų sekėjai, interneto svetainės naudotojai, naujienlaiškių prenumeratoriai ir kt.) </t>
  </si>
  <si>
    <t>E-01-01-08</t>
  </si>
  <si>
    <t>Parengtų ir viešinamų strateginių dokumentų  skaičius</t>
  </si>
  <si>
    <t>Tarptautiško, įtraukiančio, atviro ir
 draugiško miesto įvaizdžio formavimas ir palaikymas</t>
  </si>
  <si>
    <t>Siekiant įgyvendinti šią priemonę 2024 m. planuojama rengti strateginio planavimo bei rinkodaros dokumentus.  Taip pat, įgyvendinant šią priemonę, pagal poreikį planuojama rengti savivaldybės objektų kompleksinio sutvarkymo koncepcijas ir vizualizacijas, taip pat rengti savivaldybės komunikacijos strategiją</t>
  </si>
  <si>
    <t>Įgyvendinant šią priemonę  numatoma reprezentuoti savivaldybę įvairiuose renginiuose bei parodose, įvairių renginių metu.</t>
  </si>
  <si>
    <t xml:space="preserve">1 programa </t>
  </si>
  <si>
    <t xml:space="preserve">2 programa </t>
  </si>
  <si>
    <t xml:space="preserve">3 programa </t>
  </si>
  <si>
    <t>4 programa</t>
  </si>
  <si>
    <t>5 programa</t>
  </si>
  <si>
    <t>7 programa</t>
  </si>
  <si>
    <t xml:space="preserve">8 programa </t>
  </si>
  <si>
    <t xml:space="preserve">9 programa </t>
  </si>
  <si>
    <t xml:space="preserve">10 programa </t>
  </si>
  <si>
    <t>Programos uždavinio, 
priemonės kodas ir požymis</t>
  </si>
  <si>
    <t>Uždavinio, priemonės pavadinimas, finansavimo šaltiniai</t>
  </si>
  <si>
    <t>01.01.01. (T)</t>
  </si>
  <si>
    <t>01.01.01.01 (TP)</t>
  </si>
  <si>
    <t>01.01.01.02 (TP)</t>
  </si>
  <si>
    <t>01.01.01.03 (TP)</t>
  </si>
  <si>
    <t>01.01.01.04 (TP)</t>
  </si>
  <si>
    <t>01.01.02.01 (TP)</t>
  </si>
  <si>
    <t>01.01.02 (T)</t>
  </si>
  <si>
    <t>01.01.03 (T)</t>
  </si>
  <si>
    <t>01.01.04. (T)</t>
  </si>
  <si>
    <t>01.01.05. (T)</t>
  </si>
  <si>
    <t>01.02.02. (T)</t>
  </si>
  <si>
    <t>01.02.03. (T)</t>
  </si>
  <si>
    <t>01.02.04. (T)</t>
  </si>
  <si>
    <t>Iš jo:
1.1. savivaldybės biudžeto lėšos (nuosavos, be ankstesnių metų likučio)</t>
  </si>
  <si>
    <t>1.4. Europos Sąjungos ir kitos tarptautinės finansinės paramos lėšos</t>
  </si>
  <si>
    <t>Iš jų: regioninių pažangos priemonių lėšos</t>
  </si>
  <si>
    <t>2025 m. asignavimai ir kitos lėšos, tūkst. Eur</t>
  </si>
  <si>
    <t>2024  m.asignavimai ir kitos lėšos, tūkst. Eur</t>
  </si>
  <si>
    <t>2026 m.asignavimai ir kitos lėšos, tūkst. Eur</t>
  </si>
  <si>
    <t>Savivaldybės strateginio plėtros plano priemonės kodas</t>
  </si>
  <si>
    <t>Užtikrinti, valstybinių  (valstybės perduotų savivaldybėms) funkcijų vykdymą</t>
  </si>
  <si>
    <t>Įgyvendinti Visagino savivaldybės 
korupcijos prevencijos 2022-2024 metų veiksmų planą</t>
  </si>
  <si>
    <t>Užtikrinti efektyvų savivaldybei nuosavybės teise priklausančio nekilnojamojo  turto naudojimą, įmonių bei įstaigų valdymą</t>
  </si>
  <si>
    <t>Sudaryti sąlygas iš anksto negalimoms suplanuoti priemonėms vykdyti bei savivaldybės finansiniams įsipareigojimams vykdyti</t>
  </si>
  <si>
    <t xml:space="preserve">Priimtų teisės aktų skaičius </t>
  </si>
  <si>
    <t>360</t>
  </si>
  <si>
    <t>Įdiegtų arba atnaujintų informacinių technologijų sistemų skaičius</t>
  </si>
  <si>
    <t>priežiūra ?????</t>
  </si>
  <si>
    <t>Pasirašytų naujų  tarptautinio bendradarbiavimo sutarčių skaičius</t>
  </si>
  <si>
    <t>02.01.01.01. (TP)</t>
  </si>
  <si>
    <t>02.01.01.02. (TP)</t>
  </si>
  <si>
    <t>02.01.02.01. (TP)</t>
  </si>
  <si>
    <t>02.01.02.02. (TP)</t>
  </si>
  <si>
    <t>02.01.02.03. (TP)</t>
  </si>
  <si>
    <t>02.01.02.04. (TP)</t>
  </si>
  <si>
    <t>02.01.02.05. (TP)</t>
  </si>
  <si>
    <t>02.01.02.06. (TP)</t>
  </si>
  <si>
    <t>02.01.02.07. (TP)</t>
  </si>
  <si>
    <t>02.01.02.08. (TP)</t>
  </si>
  <si>
    <t>02.01.02.09. (TP)</t>
  </si>
  <si>
    <t>02.01.03.02. (TP)</t>
  </si>
  <si>
    <t>02.01.03.03 (PP)</t>
  </si>
  <si>
    <t>02.01.03.04 (PP)</t>
  </si>
  <si>
    <t>02.01.03.05 (PP)</t>
  </si>
  <si>
    <t>02.02.01.01. (TP)</t>
  </si>
  <si>
    <t>Savivaldybės strateginio
 plėtros plano priemonės kodas</t>
  </si>
  <si>
    <t>Sukurti įtraukias, tinklaveiką ir 
socialines inovacijas skatinančias, kiekvieno mokinio geresnius pasiekimus lemiančias ir šiuolaikiškas kokybiško ugdymo(si) sąlygas</t>
  </si>
  <si>
    <t>02.01.01. (T)</t>
  </si>
  <si>
    <t>02.01.02. (T)</t>
  </si>
  <si>
    <t>Organizuoti renginius, turinčius  įtakos ugdymo proceso kokybei, skirtus tęstiniam mokymuisi</t>
  </si>
  <si>
    <t>02.01.03. (T)</t>
  </si>
  <si>
    <t>02.02.01. (T)</t>
  </si>
  <si>
    <t>03.01.01. (T)</t>
  </si>
  <si>
    <t>03.01.01.01. (TP)</t>
  </si>
  <si>
    <t>03.01.02. (T)</t>
  </si>
  <si>
    <t>03.01.02.01. (TP)</t>
  </si>
  <si>
    <t>03.01.02.02. (TP)</t>
  </si>
  <si>
    <t>03.01.02.03. (TP)</t>
  </si>
  <si>
    <t>03.01.02.04. (TP)</t>
  </si>
  <si>
    <t>03.01.02.06 (TP)</t>
  </si>
  <si>
    <t>03.01.02.08. (TP)</t>
  </si>
  <si>
    <t>04.01.01. (T)</t>
  </si>
  <si>
    <t>04.01.01.01. (TP)</t>
  </si>
  <si>
    <t>04.01.01.02. (TP)</t>
  </si>
  <si>
    <t>04.02.01. (T)</t>
  </si>
  <si>
    <t>Sąlygų Dainų švenčių tradicijos tęstinumui Visagino savivaldybėje sudarymas, mėgėjų meno kolektyvų pasirengimo ir dalyvavimo Dainų šventėse,  vietiniuose, regioniniuose, respublikiniuose ir tarptautiniuose renginiuose užtikrinimas, mėgėjų meną populiarinančių renginių organizavimas, tautinių mažumų kultūrų įvairovės pristatymas</t>
  </si>
  <si>
    <t>04.02.01.01. (TP)</t>
  </si>
  <si>
    <t>04.02.01.02. (TP)</t>
  </si>
  <si>
    <t>04.02.01.03. (TP)</t>
  </si>
  <si>
    <t>04.02.01.04. (TP)</t>
  </si>
  <si>
    <t>04.02.02. (TP)</t>
  </si>
  <si>
    <t>04.02.02.01. (TP)</t>
  </si>
  <si>
    <t>04.02.02.02. (TP)</t>
  </si>
  <si>
    <t>04.02.02.03. (TP)</t>
  </si>
  <si>
    <t>04.02.02.04. (TP)</t>
  </si>
  <si>
    <t>04.02.02.05. (TP)</t>
  </si>
  <si>
    <t>04.02.03. (TP)</t>
  </si>
  <si>
    <t>04.02.03.01. (TP)</t>
  </si>
  <si>
    <t>04.02.03.02. (TP)</t>
  </si>
  <si>
    <t>04.02.04. (T)</t>
  </si>
  <si>
    <t>04.02.04.01. (TP)</t>
  </si>
  <si>
    <t>04.02.04.02. (TP)</t>
  </si>
  <si>
    <t>04.02.04.03. (TP)</t>
  </si>
  <si>
    <t>2026 m. asignavimai ir kitos lėšos, tūkst. Eur</t>
  </si>
  <si>
    <t>05.01.01.01 (TP)</t>
  </si>
  <si>
    <t>05.01.01.02. (TP)</t>
  </si>
  <si>
    <t>05.01.01.03. (TP)</t>
  </si>
  <si>
    <t>05.01.01.04. (TP)</t>
  </si>
  <si>
    <t>05.01.01.05. (TP)</t>
  </si>
  <si>
    <t>05.01.01. (T)</t>
  </si>
  <si>
    <t>05.02.01. (T)</t>
  </si>
  <si>
    <t>05.02.01.01. (TP)</t>
  </si>
  <si>
    <t>05.02.01.02. (TP)</t>
  </si>
  <si>
    <t>05.02.01.03. (TP)</t>
  </si>
  <si>
    <t>05.02.01.04. (TP)</t>
  </si>
  <si>
    <t>05.03.01. (T)</t>
  </si>
  <si>
    <t>Kurti ir plėtoti saugią aplinką 
Visagino savivaldybėje</t>
  </si>
  <si>
    <t>05.03.01.01. (TP)</t>
  </si>
  <si>
    <t>05.03.01.02. (TP)</t>
  </si>
  <si>
    <t>05.03.01.03. (TP)</t>
  </si>
  <si>
    <t>05.03.01.04. (TP)</t>
  </si>
  <si>
    <t>05.04.01. (T)</t>
  </si>
  <si>
    <t>Skatinti bendruomenę 
dalyvauti prevencinėse ir šviečiamosiose veiklose</t>
  </si>
  <si>
    <t>05.04.01.01. (TP)</t>
  </si>
  <si>
    <t>05.05.01. (T)</t>
  </si>
  <si>
    <t xml:space="preserve">Įgyvendinti diasporos politikos  strategines gaires "Globali Lietuva" 2023-2030 m. </t>
  </si>
  <si>
    <t>06.01.01.01.  (TP)</t>
  </si>
  <si>
    <t>06.01.01 (T)</t>
  </si>
  <si>
    <t>06.01.02. (T)</t>
  </si>
  <si>
    <t>06.01.02.01. (TP)</t>
  </si>
  <si>
    <t>06.01.02.02. (TP)</t>
  </si>
  <si>
    <t>06.01.02.03. (TP)</t>
  </si>
  <si>
    <t>06.01.02.04. (TP)</t>
  </si>
  <si>
    <t>06.01.02.06. (TP)</t>
  </si>
  <si>
    <t>06.01.02.07.  (TP)</t>
  </si>
  <si>
    <t>06.01.02.08. (TP)</t>
  </si>
  <si>
    <t>06.01.02.09. (TP)</t>
  </si>
  <si>
    <t>06.01.02.10. (TP)</t>
  </si>
  <si>
    <t>06.01.02.11. (TP)</t>
  </si>
  <si>
    <t>06.01.03. (T)</t>
  </si>
  <si>
    <t>06.01.03.01. (TP)</t>
  </si>
  <si>
    <t>06.01.03.02. (TP)</t>
  </si>
  <si>
    <t>06.01.03.03. (TP)</t>
  </si>
  <si>
    <t>06.01.03.04. (TP)</t>
  </si>
  <si>
    <t>06.01.03.05. (TP)</t>
  </si>
  <si>
    <t>06.01.03.06. (TP)</t>
  </si>
  <si>
    <t>06.01.03.07. (TP)</t>
  </si>
  <si>
    <t>06.01.03.08. (TP)</t>
  </si>
  <si>
    <t>06.01.03.09. (TP)</t>
  </si>
  <si>
    <t>06.01.03.10. (TP)</t>
  </si>
  <si>
    <t>06.01.03.11. (TP)</t>
  </si>
  <si>
    <t>06.01.03.12. (PP)</t>
  </si>
  <si>
    <t>06.01.03.13. (TP)</t>
  </si>
  <si>
    <t>06.01.03.15. (TP)</t>
  </si>
  <si>
    <t>06.01.03.16. (TP)</t>
  </si>
  <si>
    <t>06.01.03.17. (TP)</t>
  </si>
  <si>
    <t>06.01.03.18. (TP)</t>
  </si>
  <si>
    <t>06.02.01. (T)</t>
  </si>
  <si>
    <t>06.02.01.01. (TP)</t>
  </si>
  <si>
    <t>06.02.01.02. (TP)</t>
  </si>
  <si>
    <t>06.02.01.03. (TP)</t>
  </si>
  <si>
    <t>06.02.01.04. (TP)</t>
  </si>
  <si>
    <t>06.02.01.06. (TP)</t>
  </si>
  <si>
    <t>06.02.01.07. (TP)</t>
  </si>
  <si>
    <t>06.02.01.08. (TP)</t>
  </si>
  <si>
    <t>06.02.01.10. (TP)</t>
  </si>
  <si>
    <t>06.02.01.11. (TP)</t>
  </si>
  <si>
    <t>2025 m.asignavimai ir kitos lėšos, tūkst. Eur</t>
  </si>
  <si>
    <t>07.01.01.01. (TP)</t>
  </si>
  <si>
    <t>07.01.01.02. (TP)</t>
  </si>
  <si>
    <t>07.01.01.03. (TP)</t>
  </si>
  <si>
    <t>07.01.01.04. (TP)</t>
  </si>
  <si>
    <t>07.01.01.05. (TP)</t>
  </si>
  <si>
    <t>07.01.01.06. (TP)</t>
  </si>
  <si>
    <t>07.01.01.07. (TP)</t>
  </si>
  <si>
    <t>07.01.01.08. (TP)</t>
  </si>
  <si>
    <t>07.01.01.09. (TP)</t>
  </si>
  <si>
    <t>07.01.02.04 (TP)</t>
  </si>
  <si>
    <t>07.01.03.01 (TP)</t>
  </si>
  <si>
    <t>07.01.01. (T)</t>
  </si>
  <si>
    <t>07.01.02. (T)</t>
  </si>
  <si>
    <t>07.01.03. (T)</t>
  </si>
  <si>
    <t>2024  m. asignavimai ir kitos lėšos, tūkst. Eur</t>
  </si>
  <si>
    <t>08.01.01.(T)</t>
  </si>
  <si>
    <t>08.01.01.01. (TP)</t>
  </si>
  <si>
    <t>08.01.01.02. (TP)</t>
  </si>
  <si>
    <t>08.01.01.03. (TP)</t>
  </si>
  <si>
    <t>08.01.01.04. (TP)</t>
  </si>
  <si>
    <t>08.01.01.05. (TP)</t>
  </si>
  <si>
    <t>08.01.01.06. (TP)</t>
  </si>
  <si>
    <t>08.01.01.07. (PP)</t>
  </si>
  <si>
    <t>08.01.01.08. (TP)</t>
  </si>
  <si>
    <t>08.01.01.10. (TP)</t>
  </si>
  <si>
    <t>08.01.01.11. (TP)</t>
  </si>
  <si>
    <t>08.01.01.12. (TP)</t>
  </si>
  <si>
    <t>08.01.01.13. (TP)</t>
  </si>
  <si>
    <t>08.01.01.14. (PP)</t>
  </si>
  <si>
    <t>08.01.01.15. (PP)</t>
  </si>
  <si>
    <t>08.01.02. (T)</t>
  </si>
  <si>
    <t>08.01.02.01. (TP)</t>
  </si>
  <si>
    <t>08.01.03. (T)</t>
  </si>
  <si>
    <t>08.01.04. (T)</t>
  </si>
  <si>
    <t>08.01.05. (T)</t>
  </si>
  <si>
    <t xml:space="preserve">08.01.03.01. (TP) </t>
  </si>
  <si>
    <t>08.01.04.01. (TP)</t>
  </si>
  <si>
    <t>2025 m.  asignavimai ir kitos lėšos, tūkst. Eur</t>
  </si>
  <si>
    <t>2026 m.  asignavimai ir kitos lėšos, tūkst. Eur</t>
  </si>
  <si>
    <t>09.01.01. (T)</t>
  </si>
  <si>
    <t>09.01.01.03. (TP)</t>
  </si>
  <si>
    <t>09.01.01.04. (TP)</t>
  </si>
  <si>
    <t>09.01.01.05. (TP)</t>
  </si>
  <si>
    <t>09.01.01.06. (TP)</t>
  </si>
  <si>
    <t>09.01.01.08. (TP)</t>
  </si>
  <si>
    <t>09.01.01.09. (TP)</t>
  </si>
  <si>
    <t>09.02.01.01. (TP)</t>
  </si>
  <si>
    <t>09.02.01.02. (TP)</t>
  </si>
  <si>
    <t>09.02.01.03. (TP)</t>
  </si>
  <si>
    <t>09.02.02.01. (TP)</t>
  </si>
  <si>
    <t>09.02.02.02. (TP)</t>
  </si>
  <si>
    <t>09.02.02.03. (TP)</t>
  </si>
  <si>
    <t>09.02.02.04. (TP)</t>
  </si>
  <si>
    <t>09.02.03.01. (TP)</t>
  </si>
  <si>
    <t>09.02.03.02. (TP)</t>
  </si>
  <si>
    <t>09.02.03.03. (TP)</t>
  </si>
  <si>
    <t>09.02.03.05. (TP)</t>
  </si>
  <si>
    <t>09.02.03.06. (TP)</t>
  </si>
  <si>
    <t>09.03.01.05. (TP)</t>
  </si>
  <si>
    <t>09.03.01.06. (TP)</t>
  </si>
  <si>
    <t>09.03.01.07. (TP)</t>
  </si>
  <si>
    <t>09.03.01.08. (TP)</t>
  </si>
  <si>
    <t>09.03.02.01. (TP)</t>
  </si>
  <si>
    <t>09.03.02.02. (TP)</t>
  </si>
  <si>
    <t>09.03.02.03. (TP)</t>
  </si>
  <si>
    <t>09.03.02.07. (TP)</t>
  </si>
  <si>
    <t>09.02.01.(T)</t>
  </si>
  <si>
    <t>09.02.02. (T)</t>
  </si>
  <si>
    <t>Kurti aplinką, kuri sąlygotų investicijų 
pritraukimą</t>
  </si>
  <si>
    <t>09.02.03. (T)</t>
  </si>
  <si>
    <t>Plėsti turizmo, rekreacijos, 
poilsio ir paslaugų infrastruktūrą</t>
  </si>
  <si>
    <t>09.03.02. (T)</t>
  </si>
  <si>
    <t>Įgyvendinti funkcinės
 zonos Visagino, Ignalinos ir Zarasų rajonų savivaldybių teritorijose strategiją</t>
  </si>
  <si>
    <t>09.04.01. (P)</t>
  </si>
  <si>
    <t>09.04.01.01. (PP)</t>
  </si>
  <si>
    <t xml:space="preserve">Ekonominės plėtros programa  (09) </t>
  </si>
  <si>
    <t xml:space="preserve"> Valdymo tobulinimo programa  (01)</t>
  </si>
  <si>
    <t xml:space="preserve">Švietimo paslaugų plėtros programa (02) </t>
  </si>
  <si>
    <t>10.01.01.01. (TP)</t>
  </si>
  <si>
    <t>10.01.01.02. (TP)</t>
  </si>
  <si>
    <t>10.01.01.03. (TP)</t>
  </si>
  <si>
    <t>10.01.01.04. (TP)</t>
  </si>
  <si>
    <t>10.01.01 (T)</t>
  </si>
  <si>
    <t>10.01.02.04. (TP)</t>
  </si>
  <si>
    <t>10.01.02.06. (TP)</t>
  </si>
  <si>
    <t>10.01.02.08. (TP)</t>
  </si>
  <si>
    <t>10.01.02.09. (TP)</t>
  </si>
  <si>
    <t>10.01.02.10. (TP)</t>
  </si>
  <si>
    <t>10.01.02.11. (TP)</t>
  </si>
  <si>
    <t>10.01.02.14. (TP)</t>
  </si>
  <si>
    <t>10.02.03.01. (TP)</t>
  </si>
  <si>
    <t>10.02.03.03. (TP)</t>
  </si>
  <si>
    <t>10.02.03.09. (TP)</t>
  </si>
  <si>
    <t>10.02.03.11. (TP)</t>
  </si>
  <si>
    <t>10.02.04.01. (TP)</t>
  </si>
  <si>
    <t>10.02.04.02. (TP)</t>
  </si>
  <si>
    <t>10.02.04.03. (TP)</t>
  </si>
  <si>
    <t>10.02.04.04. (TP)</t>
  </si>
  <si>
    <t>10.02.04.06. (TP)</t>
  </si>
  <si>
    <t>10.02.04.07. (TP)</t>
  </si>
  <si>
    <t>10.02.05.01. (TP)</t>
  </si>
  <si>
    <t>10.02.05.02. (TP)</t>
  </si>
  <si>
    <t>10.02.06.01. (TP)</t>
  </si>
  <si>
    <t>10.02.07.01. (TP)</t>
  </si>
  <si>
    <t>10.03.01.01. (TP)</t>
  </si>
  <si>
    <t>10.03.01.02. (TP)</t>
  </si>
  <si>
    <t>10.03.01.03. (TP)</t>
  </si>
  <si>
    <t>10.03.01.04. (TP)</t>
  </si>
  <si>
    <t>10.03.01.05. (TP)</t>
  </si>
  <si>
    <t>10.03.01.06. (TP)</t>
  </si>
  <si>
    <t>10.03.01.07. (TP)</t>
  </si>
  <si>
    <t>10.03.01.09. (TP)</t>
  </si>
  <si>
    <t>10.03.01.10. (TP)</t>
  </si>
  <si>
    <t>10.03.02.03. (TP)</t>
  </si>
  <si>
    <t>10.03.02.04. (TP)</t>
  </si>
  <si>
    <t>10.03.03.01. (TP)</t>
  </si>
  <si>
    <t>10.03.04.01. (TP)</t>
  </si>
  <si>
    <t>10.03.05.01. (TP)</t>
  </si>
  <si>
    <t>10.03.05. (T)</t>
  </si>
  <si>
    <t>10.03.04.(T)</t>
  </si>
  <si>
    <t>Tvarkyti (likviduoti) turtą, 
Visagino savivaldybės tarybos  pripažintą netinkamu naudoti dėl fizinio ir funkcinio (technologinio) nusidėvėjimo</t>
  </si>
  <si>
    <t>10.03.03. (T)</t>
  </si>
  <si>
    <t>10.03.02. (T)</t>
  </si>
  <si>
    <t>10.03.01. (T)</t>
  </si>
  <si>
    <t>10.02.06. (T)</t>
  </si>
  <si>
    <t>10.02.07. (T)</t>
  </si>
  <si>
    <t>10.02.05.(T)</t>
  </si>
  <si>
    <t>10.02.04.(T)</t>
  </si>
  <si>
    <t>10.02.03.(T)</t>
  </si>
  <si>
    <t>10.01.02.(T)</t>
  </si>
  <si>
    <t xml:space="preserve">Viešosios infrastruktūros programa  (10) </t>
  </si>
  <si>
    <t xml:space="preserve">Fizinio aktyvumo ir sporto plėtros programa  (03) </t>
  </si>
  <si>
    <t xml:space="preserve">Visagino savivaldybės bendruomeniškumo skatinimo programa (05) </t>
  </si>
  <si>
    <t xml:space="preserve">Visagino savivaldybės sveikatos apsaugos paslaugų kokybės gerinimo programa (07) </t>
  </si>
  <si>
    <t xml:space="preserve">Aplinkos apsaugos programa (08) </t>
  </si>
  <si>
    <t>2.8.-1-1</t>
  </si>
  <si>
    <t>2.7.-3-1</t>
  </si>
  <si>
    <t>Veikiančių savivaldos institucijų skaičius</t>
  </si>
  <si>
    <t>2.1.-5-3</t>
  </si>
  <si>
    <t>Įgyvendintų priemonių skaičius proc., nuo visų suplanuotų įgyvendinti</t>
  </si>
  <si>
    <t>2.6-2-1</t>
  </si>
  <si>
    <t>Dalyvaujama tarptautiniuose 
ir nacionaliniuose renginiuose su jaunimu ir / ar jaunimo organizacijomis</t>
  </si>
  <si>
    <t>Jaunimo politikos formavimo, skatinimo ir  įgyvendinimo temomis atliktų analizių skaičius (vnt.)</t>
  </si>
  <si>
    <t>Archyvinių civilinės būklės aktų įrašų, gautų iš civilinės metrikacijos įstaigų, duomenų tvarkymas, vnt.</t>
  </si>
  <si>
    <t>2.8.-2-8</t>
  </si>
  <si>
    <t>3.3.-2-4</t>
  </si>
  <si>
    <t>Savivaldybės įstaigų ir įmonių pastatų, 
kuriuose įrengtos alternatyvios energijos gamybos priemonės, skaičius (vnt.)</t>
  </si>
  <si>
    <t>Įgyvendinant šią priemonę planuojama vykdyti įprastines nekilnojamojo turto registracijos procedūras ir turto vertinimą pagal poreikį arba siekint išnuomoti ar parduoti jį investuotojams</t>
  </si>
  <si>
    <t>1.1.-1-1</t>
  </si>
  <si>
    <t>Pritrauktų investuotojų skaičius</t>
  </si>
  <si>
    <t>E-01-01-03</t>
  </si>
  <si>
    <t>E-01-01-04</t>
  </si>
  <si>
    <t>Panaudota suplanuotų lėšų dalis nuo visų uždaviniui skirtų asignavimų dalies (procentai)</t>
  </si>
  <si>
    <t>2.8.-2-1</t>
  </si>
  <si>
    <t>Sukurtas vidinis informacijos apie pažeidimus teikimo kanalas</t>
  </si>
  <si>
    <t>Gyventojų, per paskutinius 12 mėnesių dalyvavusių sprendžiant viešuosius vietos reikalus, dalis proc</t>
  </si>
  <si>
    <t xml:space="preserve"> Savivaldybės administracinių paslaugų, 
teikiamų elektroniniu būdu ne žemesniu kaip 4 brandos lygiu, dalis nuo visų savivaldybės teikiamų administracinių paslaugų (proc.)</t>
  </si>
  <si>
    <t>2.8.3.1.</t>
  </si>
  <si>
    <t>Užtikrintas teisės aktų reikalvimų laikymąsis</t>
  </si>
  <si>
    <t xml:space="preserve">Užtikrinta </t>
  </si>
  <si>
    <t xml:space="preserve"> Miestų partnerių ,skaičius (vnt.)</t>
  </si>
  <si>
    <t>Parengtų planų skaičius (vnt.)
Įgyvendintų priemonių skaičius proc., nuo visų suplanuotų įgyvendinti</t>
  </si>
  <si>
    <t>2.1.3.1.</t>
  </si>
  <si>
    <t xml:space="preserve">Tūkstantmečio gimnazijų Visagino ir Ignalinos rajono savivaldybių švietimo pažangos plane Visagino savivaldybei numatytų priemonių įgyvendinimas proc., nuo visų planuotų įgyvendinti </t>
  </si>
  <si>
    <t xml:space="preserve">2.1.4.1. </t>
  </si>
  <si>
    <t xml:space="preserve">Pagal Newton Rooms konceptą pritaikytų ir įrengtų patalpų skaičius </t>
  </si>
  <si>
    <t>2.1.1.1.</t>
  </si>
  <si>
    <t>Sukurtų inovatyvių erdvių skaičius ikimokyklinio ugdymo įstaigose, kv.m.</t>
  </si>
  <si>
    <t>2.1.1.2.</t>
  </si>
  <si>
    <t>2.1.2.1.</t>
  </si>
  <si>
    <t>2.1.-5-5</t>
  </si>
  <si>
    <t>Įstaigų, dalyvavusių projektinėje veikloje, skaičius</t>
  </si>
  <si>
    <t>Švietimo sistemos viešojo administravimo ir švietimo įstaigų priežiūros specialistų mokyklų konsultavimo kompetencijų tobulinimas, mokyklų veiklos kokybės, ugdymo pasiekimų vertinimo rezultatų tobulinimo ir ekspertų / konsultantų rekomendacijų įgyvendinimas, dalykinių, edukacinių priemonių švietimo darbuotojams vykdymas, valstybinės švietimo strategijos priemonių įgyvendinimo priemonės, vykimas į kitas savivaldybes, Nacionalinio diktanto I ir II etapų organizavimas, LR Konstitucijos egzamino I ir II etapų organizavimas, Nacionalinės bibliotekų savaitės organizavimas, švietimo įstaigų vadovų pasitarimų, metinės konferencijos organizavimas, apmokėjimas už vadybos ekspertų darbą ekspertizių metu, Švietimo, mokslo ir sporto ministerijos, kitų švietimo veiklą reguliuojančių institucijų renginiai, veiklos, susijusios su Savivaldybės dalyvavimu nacionaliniuose projektuose, kitos veiklos, padedančios siekti numatyto uždavinio.</t>
  </si>
  <si>
    <t>Parengiamieji ir egzaminų vykdymo, mokinių pasiekimų tikrinimo darbai (išsilavinimo pažymėjimų blankų pateikimas, išdavimas mokykloms ir apskaita, dalyvavimas mokymuose dėl mokinių pasiekimų vertinimo, NMPP, brandos egzaminų ir PUPP organizavimo ir vykdymo, kitos veiklos, padedančios siekti numatyto uždavinio).</t>
  </si>
  <si>
    <t>Projekto įgyvendinimo terminas baigtas</t>
  </si>
  <si>
    <t xml:space="preserve">Projekto įgyvendinimo terminas baigtas
</t>
  </si>
  <si>
    <t>2.1.-5-2</t>
  </si>
  <si>
    <t>Priemonių įgyvendinimo pagal terminus dalis</t>
  </si>
  <si>
    <t>Tarptautiško, įtraukiančio, atviro ir draugiško miesto įvaizdžio formavimas ir palaikymas</t>
  </si>
  <si>
    <t>2.2-1-2</t>
  </si>
  <si>
    <t>Įstaigų sporto salių, kurios prieinamos sportuoti bendruomenės nariams, skaičius</t>
  </si>
  <si>
    <t>954</t>
  </si>
  <si>
    <t>983</t>
  </si>
  <si>
    <t>Projekto tikslas - padidinti ugdymo prieinamumą atskirtį patiriantiems vaikams, pritaikant progimnazijų infrastruktūrą neįgaliesiems.
Projekto metu planuojama dvi savivaldybės progimnazijas, jų patalpas  visiškai pritaikyti laisvai ir savarankiškai į juos patekti ir po juos judėti asmenims, turintiems įvairias negalias. Visiškai pritaikyta mokykla bus laikoma tada, kai nebus jokių fizinių kliūčių (arba jos kompensuotos alternatyviomis judėjimą lengvinančiomis priemonėmis), ribojančių savarankišką patekimą į pastatą ir judėjimą pastato viduje visose erdvėse, nepriklausomai nuo asmens turimų judėjimo galimybių.
Projekto tikslinė grupė – dviejų savivaldybės progimnazijų mokiniai, jų tėvai ir pedagogai.Visagino ,,Gerosios vilties“ ir  Draugystės progimnazijos patalpų pritaikymas 
neįgalieisems</t>
  </si>
  <si>
    <t>Mokyklų, kuriose buvo įdiegtos universalaus dizaino ir kitos inžinerinės priemonės, aplinką pritaikant asmenims, turintiems negalią, dalis nuo visų mokyklų“ / procentas</t>
  </si>
  <si>
    <t>1122</t>
  </si>
  <si>
    <t>Mokyklos, kuriose buvo įdiegtos universalaus dizaino ir kitos inžinerinės priemonės, pritaikant aplinką asmenims, turintiems negalią“ / skaičius</t>
  </si>
  <si>
    <t>332</t>
  </si>
  <si>
    <t>Projekto tikslas –užtikrinti saugų ir kryptingą pradinių ir pagrindinių klasių mokinių užimtumą po pamokų.
Pagrindinės projekto veiklos – dviejose Visagino savivaldybės mokyklose įrengti visos dienos mokyklai pritaikytas erdves.
Vykdymo vieta (-os) – Visagino savivaldybės teritorija: Visagino „Gerosios vilties“ progimnazijos pastatas ir Visagino „Draugystės“ progimnazijos pastatas.
Tikslinė grupė – projekto dalyvaujančių mokymo įstaigų mokiniai ir jų tėvai.</t>
  </si>
  <si>
    <t>2.2-1-1</t>
  </si>
  <si>
    <t>Suorganizuotų sporto varžybų, švenčių, sąskrydžių, seminarų, „Sportas visiems“ ir kitų sporto renginių,  žaidynių  skaičius</t>
  </si>
  <si>
    <t>2.2-5-1</t>
  </si>
  <si>
    <t>Įgyvendintų priemonių/ projektų skaičius (vnt.)</t>
  </si>
  <si>
    <t>2.3.6.3</t>
  </si>
  <si>
    <t xml:space="preserve"> Įgyvendintų priemonių skaičius </t>
  </si>
  <si>
    <t>2.3.-1-3</t>
  </si>
  <si>
    <t xml:space="preserve">Pritrauktų kultūros specialistų skaičius </t>
  </si>
  <si>
    <t>2.3.-3-2</t>
  </si>
  <si>
    <t xml:space="preserve">Įgyvendintų projektų  skaičius </t>
  </si>
  <si>
    <t>2.3.-5-4</t>
  </si>
  <si>
    <t xml:space="preserve">Kolektyvų, dalyvavusių regioniniuose renginiuose, skaičius </t>
  </si>
  <si>
    <t>2.3.1.</t>
  </si>
  <si>
    <t xml:space="preserve">Kultūros renginiuose apsilankiusių asmenų skaičius proc., nuo bendro gyventojų skaičiaus </t>
  </si>
  <si>
    <t xml:space="preserve">2.3.2.1. </t>
  </si>
  <si>
    <t>2.3.4.1.</t>
  </si>
  <si>
    <t xml:space="preserve"> Veikiančių megėjų meno kolektyvų skaičius </t>
  </si>
  <si>
    <t>2.3.1.2.</t>
  </si>
  <si>
    <t xml:space="preserve"> Organizuotų tarptautinių festivalių skaičius </t>
  </si>
  <si>
    <t>2.3.5.3</t>
  </si>
  <si>
    <t xml:space="preserve"> Įgyvendintų projektų  skaičius </t>
  </si>
  <si>
    <t>2.3.-6-2</t>
  </si>
  <si>
    <t>2.7.-1-2</t>
  </si>
  <si>
    <t>Institucinio stiprinimo projektams finansavimą gavusių organizacijų skaičius per metus</t>
  </si>
  <si>
    <t>Renginių skaičius (vnt. per metus)</t>
  </si>
  <si>
    <t>2.6-2-2</t>
  </si>
  <si>
    <t xml:space="preserve"> Savanorių skaičius jaunimo ir su jaunimu 
dirbančiose organizacijose (ilgalaikių ir trumpalaikių) (asm.)</t>
  </si>
  <si>
    <t>2.6-1-1</t>
  </si>
  <si>
    <t xml:space="preserve"> Veikiančių jaunimo atvirų erdvių, jaunimo centrų skaičius (vnt.)</t>
  </si>
  <si>
    <t>2.8.-2-4</t>
  </si>
  <si>
    <t>Įdiegtų inovatyvių priemonių skaičius, vnt.</t>
  </si>
  <si>
    <t>2.8.-2-6</t>
  </si>
  <si>
    <t xml:space="preserve"> Atnaujintų / įdiegtų vaizdo stebėjimo sistemų skaičius</t>
  </si>
  <si>
    <t>2.8.-2-3</t>
  </si>
  <si>
    <t xml:space="preserve"> Gaisrų prevencijos programoje 
numatytų priemonių įgyvendinimas proc. nuo visų planuotų įgyvendinti</t>
  </si>
  <si>
    <t>2.5-1-6</t>
  </si>
  <si>
    <t xml:space="preserve"> Modernizuotų ir pritaikytų būstų skaičius </t>
  </si>
  <si>
    <t>2.8.-2-7</t>
  </si>
  <si>
    <t>Nevyriausybinių organizacijų organizavusių užsiėmimus diasporos atstovams skaičius</t>
  </si>
  <si>
    <t>2.7.-1-1</t>
  </si>
  <si>
    <t xml:space="preserve">Priimta sprendimų, turinčių tiesioginės įtakos nevyriausybinių ir bendruomeninių </t>
  </si>
  <si>
    <t>2.5</t>
  </si>
  <si>
    <t>2.5-1-1</t>
  </si>
  <si>
    <t xml:space="preserve">Socialinės pašalpos gavėjų skaičius proc. nuo bendro gyventojų skaičiaus   
Būsto šildymo išlaidų ir išlaidų karštam ir geriamam vandeniui gavėjų skaičius proc. nuo bendro gyventojų skaičiaus                                                 </t>
  </si>
  <si>
    <t xml:space="preserve">Socialinės pašalpos gavėjų skaičius proc. nuo bendro gyventojų skaičiaus   </t>
  </si>
  <si>
    <t>2.5.1.6</t>
  </si>
  <si>
    <t>2.5-1-8</t>
  </si>
  <si>
    <t xml:space="preserve"> Pritaikytų paplūdimių  skaičius</t>
  </si>
  <si>
    <t>2.5.1.1.</t>
  </si>
  <si>
    <t xml:space="preserve">Socialinės pašalpos gavėjų skaičius proc., nuo bendro gyventojų skaičiaus   </t>
  </si>
  <si>
    <t xml:space="preserve"> Asmenų, gaunančių specialiojo transporto paslaugas, dalis nuo visų pateikusių prašymus (proc.)</t>
  </si>
  <si>
    <t xml:space="preserve">Modernizuotų ir pritaikytų būstų skaičius </t>
  </si>
  <si>
    <t xml:space="preserve"> Socialinės pašalpos gavėjų skaičius proc., nuo bendro gyventojų skaičiaus   </t>
  </si>
  <si>
    <t>2.5.1.3.</t>
  </si>
  <si>
    <t>2.5.1.5.</t>
  </si>
  <si>
    <t xml:space="preserve"> Naujai sukurtų infrastruktūros objektų skaičius</t>
  </si>
  <si>
    <t>2.5.1.5</t>
  </si>
  <si>
    <t>2.7.-2-1</t>
  </si>
  <si>
    <t>Su nevyriausybinėmis organizacijomis pasirašytų paslaugų teikimo sutarčių skaičius</t>
  </si>
  <si>
    <t>Stacionaro ligonių skaičius, 
tenkantis 1 tūkst. gyventojų</t>
  </si>
  <si>
    <t>2.4.-1-1</t>
  </si>
  <si>
    <t>Veikianti daugiaprofilinė, moderni antrinio lygio asmens sveikatos priežiūros įstaiga</t>
  </si>
  <si>
    <t>Veikianti moderni pirminio lygio asmens sveikatos priežiūros įstaiga, teikianti bazines sveikatos priežiūros paslaugas</t>
  </si>
  <si>
    <t>2.4.-2-1</t>
  </si>
  <si>
    <t>Užtikrinta visuomenės sveikatos biuro veikla</t>
  </si>
  <si>
    <t>2.5-1-11</t>
  </si>
  <si>
    <t>Asmenų su sutrikusia raida, gaunančių socialines paslaugas, skaičius proc. nuo bendro Visagine gyvenančių asmenų, turinčių negalią, skaičiaus</t>
  </si>
  <si>
    <t>2.4.-1-2</t>
  </si>
  <si>
    <t>Atnaujintų, įsigytų ir / ar modernizuotų objektų / įrangos  skaičius (vnt.)</t>
  </si>
  <si>
    <t xml:space="preserve">2023 m. baigtas projekto veiklų įgyvendinimas. </t>
  </si>
  <si>
    <t>2.5-1-4</t>
  </si>
  <si>
    <t>Paslaugas gavusių asmenų skaičius proc. nuo bendro gyventojų skaičiaus</t>
  </si>
  <si>
    <t>3.1.3.</t>
  </si>
  <si>
    <t>3.1.3.2</t>
  </si>
  <si>
    <t>3.1.3.6.</t>
  </si>
  <si>
    <t>3.1.1.3.</t>
  </si>
  <si>
    <t>3.1.1.4.</t>
  </si>
  <si>
    <t xml:space="preserve"> Atnaujintų šaligatvių ir pėsčiųjų takų, dalis nuo visų takų (proc.)</t>
  </si>
  <si>
    <t>3.1.3.4.</t>
  </si>
  <si>
    <t>3.1.1.1.</t>
  </si>
  <si>
    <t>3.1.2.1.</t>
  </si>
  <si>
    <t>3.1.3.1.</t>
  </si>
  <si>
    <t>Savivaldybės įstaigų ir įmonių, įdiegusių 
atsinaujinančių ir alternatyvių energijos išteklių priemones savo pastatuose, dalis (proc.)</t>
  </si>
  <si>
    <t>2.3.-3-1</t>
  </si>
  <si>
    <t>2.2-5-2</t>
  </si>
  <si>
    <t>Atnaujintų ir (arba) įrengtų stadionų, sporto aikštynų skaičius (vnt.)</t>
  </si>
  <si>
    <t>3.3.-2-3</t>
  </si>
  <si>
    <t>Modernizuotų pastatų dalis nuo visų viešųjų pastatų (priklausančių VSA) (proc.).</t>
  </si>
  <si>
    <t>Miesto viešųjų erdvių, kuriose įrengtos gyventojų poilsiui pritaikytos erdvės, skaičius (vnt.)</t>
  </si>
  <si>
    <t>Miesto viešųjų erdvių, 
kuriose įrengtos gyventojų poilsiui pritaikytos erdvės, skaičius (vnt.)</t>
  </si>
  <si>
    <t>3.2-1-3</t>
  </si>
  <si>
    <t>3.2.1.2.</t>
  </si>
  <si>
    <t>3.2.1.1.</t>
  </si>
  <si>
    <t>3.2.1.3.</t>
  </si>
  <si>
    <t>3.1.3.3.</t>
  </si>
  <si>
    <t>3.2.1.4.</t>
  </si>
  <si>
    <t xml:space="preserve">2.5. </t>
  </si>
  <si>
    <t>gal perkeliam į 1 programa nes neatitinka tikslų programos ir SPP uždavinių</t>
  </si>
  <si>
    <t xml:space="preserve">2.5.1. </t>
  </si>
  <si>
    <t>2.5-1-5</t>
  </si>
  <si>
    <t>2.5.1.7</t>
  </si>
  <si>
    <t>priemonė nebus įgyvendinama</t>
  </si>
  <si>
    <t>2.5.1.</t>
  </si>
  <si>
    <t>2.5-1-2</t>
  </si>
  <si>
    <t>Projektas „Viešosios infrastruktūros pertvarkymas moderniai žinių ekonomikai ir kūrybinėms industrijoms, sukuriant bendradarbystės erdves“</t>
  </si>
  <si>
    <t>Projektas "Socialinės, kūrybinės ekonomikos paslaugų ir prekybos vietų sukūrimas nuomai smulkiam verslui"</t>
  </si>
  <si>
    <t>Projekto įgyvendinimo metu planuojama sukurti ir įrengti vieningo architektūrinio dizaino paslaugų/prekybos paviljonų tinklą Visagino miesto erdvėse. 
Projekto tikslas – Inovatyvių socialinės, kūrybinės ekonomikos iniciatyvų įgyvendinimas, sukuriant socialinės, kūrybinės ekonomikos paslaugų ir prekybos vietas smulkiam verslui įsikurti.
Projekto uždaviniai:
- Vieningo dizaino paslaugų/prekybos paviljonų tinklo įrengimas Visagino miesto erdvėse;
- Verslumo skatinimo priemonių ir mechanizmo sukūrimas (skatinant kūrybinės industrijos ekonomiką, trumpinant maisto ir kitų produktų tiekimo grandinę, aktyvinant ir stiprinant vietos produktų gamintojų kompetencijas).
Tikslinės grupės: FZ VIZA gyventojai, VIZA regione veikiantys smulkūs verslininkai, individualią veiklą vykdantys asmenys, asmenys dirbantys pagal verslo liudijimus, socialiai pažeidžiamų grupių atstovai.</t>
  </si>
  <si>
    <t>Metinis konsoliduotų viešųjų paslaugų vartotojų skaičius, vartotojai per metus</t>
  </si>
  <si>
    <t>Projektas "Visagino ekonominės plėtros agentūros veiklos stiprinimas"</t>
  </si>
  <si>
    <t>Visagino ekonomikos plėtros  agentūros valdomo pastato, esančio Taikos pr. 7, Visagine, vidaus patalpų pritaikymas SVV poreikiams, darbo vietų suteikimo paslaugoms teikti.
Projekto tikslas – Bendradarbystės centro vidaus erdvių modernizavimas ir paslaugoms teikti reikalingo ploto didinimas bei pritaikymas SVV poreikiams.
Projekto uždaviniai:
- Pastato, adresu Taikos g. 7, Visaginas, vidaus patalpų rekonstravimas, praplečiant erdves, tinkamas darbo vietos suteikimo paslaugoms teikti;
-  Verslumo skatinimo programų palaikymas ir plėtra.
Tikslinės grupės: FZ VIZA gyventojai, VIZA regione veikiantys smulkūs verslininkai, individualią veiklą vykdantys asmenys, asmenys dirbantys pagal verslo liudijimus.</t>
  </si>
  <si>
    <t>Bendros verslumo skatinimo sistemos, orientuotos į  verslų kūrimą ir plėtojimą, kūrimas ir įgyvendinimas</t>
  </si>
  <si>
    <t>Sukurta verslumo skatinimo sistema VIZA regione</t>
  </si>
  <si>
    <t>Kartu su Ignalinos ir Zarasų rajono savivaldybėmis sukurti bendrą verslumo skatinimo sistemą VIZA regione, orientuotą į  verslų kūrimą ir plėtojimą regione</t>
  </si>
  <si>
    <t>P-1.1.2.1-1</t>
  </si>
  <si>
    <t>Užimtumo lygis (metinis) (proc.)</t>
  </si>
  <si>
    <t>Projektas „Visagino savivaldybės teritorijos (-ų) pritaikymas pramonės, komercijos, paslaugų verslo  investicijoms“</t>
  </si>
  <si>
    <t xml:space="preserve">Projekto tikslas – Investicijoms patrauklių pramoninių ir komercinių teritorijų suformavimas.
Projekto uždaviniai:
- Išvalyti teritorijas nuo senų/apleistų statinių;
- Privesti prie sklypų būtinas komunikacijas;
- Inventorizuoti investicijoms patrauklias teritorijas/objektus, skaitmenizuoti, sukurti IT sprendimus viešinimui. 
-Organizuoti viešinimo priemones, siekiant pritraukti investicijas.
Tikslinės grupės: investuotojai, verslas, FZ VIZA gyventojai. </t>
  </si>
  <si>
    <t>Projektas „Investicijų pritraukimo ir verslumo skatinimo institucinės ekosistemos sukūrimas “</t>
  </si>
  <si>
    <t xml:space="preserve">Projekto tikslas – Investicijų pritraukimo ir verslumo skatinimo institucinės ekosistemos sukūrimas 
Projekto uždaviniai:
- Bendradarbiavimo tarp savivaldybių investicijų pritraukimo srityje modelio parengimas;
- Bendradarbiavimo sistemos sukūrimas;
- Investicijų pritraukimo į funkcinę zoną strategijos parengimas ir įgyvendinimas;
- Skaitmenizuoti investicijoms patrauklias teritorijas/objektus ir susijusią infrastruktūrą VIZA regione, sukurti IT sprendimus pasiūlymų verslo įsikūrimui regione viešinimui;
-  Organizuoti viešinimo priemones, aktyvinant verslumą regione.
Tikslinės grupės: investuotojai, verslas, FZ VIZA gyventojai </t>
  </si>
  <si>
    <t>09.01.01.01.(PP)-01.</t>
  </si>
  <si>
    <t>09.01.01.01.(PP)-02.</t>
  </si>
  <si>
    <t>09.01.01.02.(PP)-01.</t>
  </si>
  <si>
    <t>09.01.01.02.(PP)-02.</t>
  </si>
  <si>
    <t>09.03.01.03.(PP)-01</t>
  </si>
  <si>
    <t>09.03.01.03. (PP)</t>
  </si>
  <si>
    <t>Projektas "(Ne)Atominis Visaginas: atrask gamtą"</t>
  </si>
  <si>
    <t xml:space="preserve">Tako per aukštapelkę įrengimas (pratęsimas) sujungiant Kukuižės pažintinį taką su Aktyvaus poilsio ir sporto zona prie Visagino ežero
Pėsčiųjų tako aplink Visagino ežerą per miško masyvą, įskaitant link Gulbinio upelio įrengimas ir pritaikymas judėjimui su negalia, poilsio aikštelių įrengimas
Viešosios infrastruktūros įrengimas prie Visagino ežero (II ir III miesto mikrorajone) 
Žygių takų sutvarkymas Visagino savivaldybėje 
Privažiavimo/priėjimo/parkavimo vietų prie Balto ežero sutvarkymas
</t>
  </si>
  <si>
    <t>Projektas "Atominis Visaginas: atrask, pamatyk, išgirsk"</t>
  </si>
  <si>
    <t>09.03.01.04.(PP)-01</t>
  </si>
  <si>
    <t>Projektas "Atominis Visaginas: branduolinės vietovės identiteto, branduolinio objekto materialinio ir nematerialaus paveldo išsaugojimas ir pritaikymas tvaraus turizmo plėtrai"</t>
  </si>
  <si>
    <t>Ignalinos AE valdymo pulto simuliatoriaus erdvių pritaikymas lankymui</t>
  </si>
  <si>
    <t>09.03.02.01. (TP)-01</t>
  </si>
  <si>
    <t>09.03.02.01. (TP)-02</t>
  </si>
  <si>
    <t xml:space="preserve">2023-03-10 VSA tarybos sprendimo Nr. TS-21 "Dėl Visagino savivaldybės ekonomikos ir investicijų augimo skatinimo savivaldybėje vystant turizmo plėtrą programos patvirtinimo" įgyvendinimo užtikrinimas </t>
  </si>
  <si>
    <t>09.02.03.04. (PP)</t>
  </si>
  <si>
    <t>Visagino savivaldybės administracija kartu su Projekto partneriu Daugpilio miesto savivaldybe 2023 m. kovo 27 d. pateikė paraišką pagal Interreg VI-A Latvia–Lithuania Programą 2021–2027 (toliau – LatLit programa), kurios siektini rezultatai atitinka LatLit programos IV prioriteto – „Ekonominis turizmo ir paveldo potencialas“. Numatoma projekto trukmė – 24 mėn. Planuojama projekto pradžia – 2024 m. I-II ketvirčiai. 
2023 m. lapkričio 10 d. buvo gautas iš Latvijos Respublikos aplinkos apsaugos ir regioninės plėtros ministerijos sprendimas Nr. 5-54/6462, kurio infromavo dėl Projekto finansavimo skyrimo.
Siekiant Projekto tikslo įgyvendinimo bus suremontuota slidinėjimo trasos infrastruktūra 1380 metrų (miško masyve, Visagine), įsigyti: keturratis su priekaba ir volu užtikrinant trasų paruošimą, 6 vnt. slidžių komplektai ir 6 vnt. rolerių, taip pat organizuojami mokymai dėl turizmo, bei bus filmuojami trumpi vaizdo įrašai apie Visagino ir Daugpilio žiemos turizmo veiklas ir skelbiami socialiniuose tinkluose.</t>
  </si>
  <si>
    <t>Projekto tikslas –  Paslaugų verslo centro su bendradarbystės erdvėmis sukūrimas, įkuriant patalpas darbo vietos suteikimo paslaugoms suteikti.
Projekto uždaviniai:
- Nenaudojamo pastato rekonstravimas, įkuriant  paslaugų verslo centrą su patalpomis darbo vietos suteikimo paslaugoms suteikti ir bendradarbystės erdvėmis;
- Daugiafunkcinio skaitmeninių ir kūrybinių industrijų atstovų tarpdisciplininės bendradarbystės centro strategijos ir veiklos dokumentų parengimas.
Tikslinės grupės: FZ VIZA gyventojai, VIZA regione veikiantys smulkūs verslininkai, individualią veiklą vykdantys asmenys, asmenys dirbantys pagal verslo liudijimus.</t>
  </si>
  <si>
    <t>09.03.02.01. (TP)-03</t>
  </si>
  <si>
    <t>09.01.01.01. (PP)</t>
  </si>
  <si>
    <t>09.01.01.01.(PP)-03.</t>
  </si>
  <si>
    <t>09.01.01.01.(PP)-04.</t>
  </si>
  <si>
    <t>Įgyvendinant priemonę 2024-2027 m. laikotarpyje planuojama patvirtinti Funkcinės zonos (Viza) strategiją, kurioje bus numatyti įgyvendinti projektai susiję su investicijoms pritaikytos verslo ir gamybos pastatų bei žemės infrastruktūros, skatinant apleistų/nenaudojamų/neefektyviai naudojamų teritorijų ir pastatų konversiją ir pritaikymą ekonominei veiklai, sukūrimas</t>
  </si>
  <si>
    <t>P-1.1.1.3-1</t>
  </si>
  <si>
    <t>Teritorijų suformuotų ir pritaikytų verslo plėtrai, ha</t>
  </si>
  <si>
    <t>R-1.1.2-3</t>
  </si>
  <si>
    <t>Sukurti ir įgyvendint verslumo skatinimo programą</t>
  </si>
  <si>
    <t>R-09-01-01-01</t>
  </si>
  <si>
    <t>P-09-01-01-01-01</t>
  </si>
  <si>
    <t>P-09-01-01-01-02</t>
  </si>
  <si>
    <t>P-09-01-01-01-03</t>
  </si>
  <si>
    <t>P-09-01-01-01-04</t>
  </si>
  <si>
    <t>P-09-01-01-02-01</t>
  </si>
  <si>
    <t>P-09-01-01-02-02</t>
  </si>
  <si>
    <t xml:space="preserve">Parengtų teritorijų planavimo dokumentų skaičius (vnt.) </t>
  </si>
  <si>
    <t>P-1.1.2.2-2</t>
  </si>
  <si>
    <t>Erdvių pritaikytų įrengti   darbo vietas kūrybinių industrijų sektoriuje skaičius (kv. m.)</t>
  </si>
  <si>
    <t>Sukurtos arba atkurtos teritorijos, naudojamos ekonominei, rekreacinei ar turizmo paskirčiai, ha</t>
  </si>
  <si>
    <t>P-1.1.1.3.15-15</t>
  </si>
  <si>
    <t>Įrengtų prekybos/paslaugų vietų skaičius (kv. m.)</t>
  </si>
  <si>
    <t>Bendradarbystės centras „Spiečius“ – tai VšĮ „Inovacijų agentūra“ sukurta netradicinio tipo verslo vystymosi erdvė, pritaikyta smulkiojo ir vidutinio verslo subjektams, vykdantiems veiklą ne ilgiau kaip 5 metus, bendradarbiauti tarpusavyje ir plėstis. „Spiečiai“ orientuoti į skaitmeninio ir kūrybinių industrijų verslų atstovus. Šiuose centruose verslininkams yra suteikiamos nemokamos kompiuterizuotos darbo vietos su įranga, teikiamos skaitmeninio, kūrybinių industrijų vystymo, socialinio verslo konsultacijos, vykdomos praktinės mentorių sesijos, organizuojami verslo ugdymo mokymai ir įgyvendinamos kitos verslo skatinimo ir plėtros iniciatyvos. Verslo plėtros konsultacijas bendradarbystės centruose įsikūrusioms įmonėms teikia į Verslo konsultantų tinklą atrinktos įmonės ir įstaigos. Pagal Visagino savivaldybės prisiimtus įpareigojimus bendradarbystės centras „Spiečius“ Visagine veiks nuo 2021 m. sausio mėn. iki 2026 m. gruodžio mėn. Bendradarbystės erdvės „Spiečius“ veiklos organizavimas pavestas VšĮ „Visagino ekonomikos plėtros agentūra</t>
  </si>
  <si>
    <t>Erdvių pritaikytų įrengti  darbo vietas kūrybinių industrijų sektoriuje skaičius (kv. m.)</t>
  </si>
  <si>
    <t xml:space="preserve">Įgyvendinant šią priemonę planuojama įgyvendinti 2017 m. gruodžio 15 d. Nacionalinėje regioninėje taryboje patvirtintos Lietuvos regioninės politikos Baltosios knygos darniai ir tvariai plėtrai 2017–2030 m. 2 uždavinį „Užtikrinti, kad darnus ir tvarus ekonomikos augimas būtų geografiškai subalansuotas“. Atsižvelgiant į tai, kad regionų sistema planuojama principu (3+2+5), Visagino savivaldybė priskiriama prie Utenos regioninio centro, kuriame didžiausias dėmesys skiriamas palaikyti specializuotas profesinio mokymo įstaigas, vystyti pramonės parkus, teikti investicinę pagalbą investicijų pritraukimui ir kt. Atsižvelgiant į tai, kad Visagino savivaldybėje veikia Visagino technologijos ir verslo profesinio mokymo centras, būtina užtikrinti bendradarbiavimą tarp Visagino technologijos ir verslo profesinio mokymo centro, regiono plėtros tarybos, savivaldybės, savivaldybės švietimo įstaigų  bei investuotojų.  Tuo tikslu planuojama organizuoti renginį, skirtą investuotojų pritraukimui. 
Priemonės įgyvendinimas prisidės prie Strateginio plėtros plano priemonių „Sąlygų asmenims profesijos kvalifikacijai tobulinti ir persikvalifikuoti sudarymas, sustiprinant ir  modernizuojant VTVPMC materialinę bazę, siekiant atliepti ketvirtosios pramonės revoliucijos „Pramonė 4.0“ ir kitus naujus darbo rinkos  poreikius“ ir „Dalyvavimo mokymosi visą gyvenimą veiklose didinimas: plėtojant inovatyvią, vieningą, asmeninio pasirinkimo galimybėmis ir darbo rinkos poreikiais grįstą mokymosi visą gyvenimą sistemą, apimančią įvairias profesinio orientavimo, mokymosi, kompetencijų ir kvalifikacijų pripažinimo galimybes besimokantiems, dirbantiems ir nedirbantiems asmenimis“  įgyvendinimo. </t>
  </si>
  <si>
    <t>Strateginėse verslo kryptyse veikiančių verslo subjektų skaičius, vnt.</t>
  </si>
  <si>
    <t xml:space="preserve">Investicinio projekto įgyvendinimas baigtas. Planuojamaįvertinti šalia projekto teritorijos esančias kitas apleistas buvusio karinio miestelio teritorijas ir inicijuoti jų konversiją pritaikant kitoms ekonominėms veikloms. </t>
  </si>
  <si>
    <t>Tyrimo ataskaita</t>
  </si>
  <si>
    <t>Modernizuota infrastruktūra, m</t>
  </si>
  <si>
    <t>1300</t>
  </si>
  <si>
    <t>Įrengtas elektros energijos gamybos iš atsinaijinančios energijos objektas , MW</t>
  </si>
  <si>
    <t>09.03.01.01. (PP)</t>
  </si>
  <si>
    <t>09.03.01.01.(PP)-01</t>
  </si>
  <si>
    <t>09.03.01.01.(PP)-02</t>
  </si>
  <si>
    <t>Projektas EUI02-089 "NuLOC-ID (Nuclear Location Identity). 
Preservation and adaptation of the satellite city identity, material and immaterial heritage of the nuclear object to the development of sustainable tourism, transferring good practice and experience"</t>
  </si>
  <si>
    <t>Atominės energetikos aktualizavimas ir pritaikymas edukacijai bei turizmui (patalpų Balto g. 1, Visagine pertvarkymo koncepcijos, investicinės ir techninės dokumentacijos parengimas)</t>
  </si>
  <si>
    <t>P-09-03-01-01-01</t>
  </si>
  <si>
    <t>P-09-03-01-01-02</t>
  </si>
  <si>
    <t>Pritaikytų turizmo objektų lankymui skaičius</t>
  </si>
  <si>
    <t>Įkurtas modernus lankytojų centras</t>
  </si>
  <si>
    <t>P-1.2.3.1-1</t>
  </si>
  <si>
    <t>Visagino savivaldybės valdomų patalpų Balto g.1, Ramybės k., Visagino sav. transformavimas ir pritaikymas energetikos temos aktualizavimui ir pritaikymui edukacijai bei turizmui. 
Projektinis pasiūlymas pateiktas  European urban initiative programai. Jei būtų atrinkta idėja, būtų rengiamas projektas įgyvendinimui (2025-2028 m.)</t>
  </si>
  <si>
    <t>Įgyvendintų projektų  skaičius, vnt.</t>
  </si>
  <si>
    <t>Įgyvendintas projektas</t>
  </si>
  <si>
    <t>P-1.2.2.1-1</t>
  </si>
  <si>
    <t>Sukurtų turizmo maršrutų skaičius</t>
  </si>
  <si>
    <t>09.03.01.04. (PP)</t>
  </si>
  <si>
    <t>09.03.01. (PP,TP)</t>
  </si>
  <si>
    <t xml:space="preserve">Privažiavimo (priėjimo) prie paplūdimio infrastruktūros sutvarkymas, pritaikymas judėjimui žmonėms su negalia, sudarant galimybes patekti prie Visagino ežero poilsio infrastruktūros
Amfiteatrų Visagine pritaikymas įveiklinimui ir turizmo srautų pritraukimui  
Viešųjų sanitarinių mazgų (wc) prie lankomų objektų įrengimas Visagino mieste
Audiogidų sistemos sukūrimas Visagino mieste  
Apleistos teritorijos (aplink Vilties g.3) kompleksinis sutvarkymas ir pritaikymas turizmo (lankytojų) srautų poreikiams
</t>
  </si>
  <si>
    <t xml:space="preserve">Sutvarkyti amfiteatrai, vnt. </t>
  </si>
  <si>
    <t>Įrengta viešųjų WC mieste</t>
  </si>
  <si>
    <t>18500</t>
  </si>
  <si>
    <t>Sutvarkyta/pritaikyta teritorijų, kv.m</t>
  </si>
  <si>
    <t>Edukacinių programų skaičius</t>
  </si>
  <si>
    <t>Parengtų edukacinių programų skaičius</t>
  </si>
  <si>
    <t>Kreipusiųjų į VšĮ Visagino turizmo plėtros centrą dėl viešųjų paslaugų suteikimo asmenų skaičius</t>
  </si>
  <si>
    <t>Visagino, Ignalinos ir Zarasų rajonų savivaldybių teritorijų funkcinės zonos strategijoje numatytų įgyvendinti projektų dalis procentais, nuo visų planuojamų įgyvendinti</t>
  </si>
  <si>
    <t>Trumpalaikių neformaliojo vaikų švietimo programų  dalyvių skaičius</t>
  </si>
  <si>
    <t>Įstaigos veiklos strategijoje numatytų priemonių įgyvendinimas pagal planuotus terminus, proc.</t>
  </si>
  <si>
    <t xml:space="preserve">Mokinių atostogų metu organizuotų stovyklų skaičius </t>
  </si>
  <si>
    <t>Mokinių atostogų metu organizuotų stovyklų dalyvių skaičius</t>
  </si>
  <si>
    <t xml:space="preserve">Įgyvendinta edukacinių programų ir kursų , vnt. </t>
  </si>
  <si>
    <t>Įgyvendintų neformaliojo vaikų švietimo (NVŠ) programų, finansuojamų valstybės lėšomis skaičius</t>
  </si>
  <si>
    <t>Įgyvendintų neformaliojo suaugusiųjų švietimo programų, finansuojamų valstybės ar savivaldybės lėšomis, skaičius</t>
  </si>
  <si>
    <t>Finansuotų ir įgyvendintų projektų (SB,VB, ES fondų, programų lėšomis) skaičius
Pritrauktų lėšų procentinis santykis su SB skiriamais asignavimais</t>
  </si>
  <si>
    <r>
      <rPr>
        <sz val="10"/>
        <color theme="0"/>
        <rFont val="Ariel"/>
        <charset val="186"/>
      </rPr>
      <t>.</t>
    </r>
    <r>
      <rPr>
        <sz val="10"/>
        <rFont val="Ariel"/>
        <charset val="186"/>
      </rPr>
      <t>5/6</t>
    </r>
  </si>
  <si>
    <r>
      <rPr>
        <sz val="10"/>
        <color theme="0"/>
        <rFont val="Ariel"/>
        <charset val="186"/>
      </rPr>
      <t>.</t>
    </r>
    <r>
      <rPr>
        <sz val="10"/>
        <rFont val="Ariel"/>
        <charset val="186"/>
      </rPr>
      <t>6/7</t>
    </r>
  </si>
  <si>
    <t>Parengtų ir patalpintų informacinių pranešimų, straipsnių interneto svetainėje skaičius</t>
  </si>
  <si>
    <t>Iniciatyvų, įtraukiančių Visagino gyventojus ir miesto svečius į veiklas, įgyvendinimas (renginiai, šventės, akcijos, kt.) skaičius</t>
  </si>
  <si>
    <t>Renginių, kuriuose dalyvavo turizmo informacijos centras skaičius</t>
  </si>
  <si>
    <t>Fiziniams asmenims suteiktų konsultacijų skaičius</t>
  </si>
  <si>
    <t>~2000</t>
  </si>
  <si>
    <t>~2500</t>
  </si>
  <si>
    <t>~3000</t>
  </si>
  <si>
    <t>Organizuota (organizatoriaus ir partnerio teisėmis) Visagino savivaldybės turizmo išteklius 
populiarinančių renginių skaičius</t>
  </si>
  <si>
    <t>~2</t>
  </si>
  <si>
    <t>~3</t>
  </si>
  <si>
    <t>~4</t>
  </si>
  <si>
    <t>~40</t>
  </si>
  <si>
    <t>~60</t>
  </si>
  <si>
    <t>~80</t>
  </si>
  <si>
    <t>Parengta infrastruktūros objektų sukūrimo ir atnaujinimo pasiūlymų</t>
  </si>
  <si>
    <t xml:space="preserve"> Turizmo verslo atstovams jiems aktualiais klausimais dėl turizmo plėtros ir vystymo Visagino savivaldybėje suteiktų konsultacijų skaičius </t>
  </si>
  <si>
    <t>~5</t>
  </si>
  <si>
    <t>Prie turizmo plėtros ir vystymo Visagino savivaldybėje, pritrauktų jaunimo savanorių (praktikantų) skaičius</t>
  </si>
  <si>
    <t>Sukurti bendrą Ežerų krašto Turizmo produktą, skatinantį turistus atrasti visas Utenos regiono savivaldybes (Zarasų r., Ignalinos r., Anykščių r., Molėtų r., Utenos r. ir Visagino)</t>
  </si>
  <si>
    <t>1.1.-2-1</t>
  </si>
  <si>
    <t>1.1.-1-3</t>
  </si>
  <si>
    <t>2025 m. priemonės įgyvendintos 100</t>
  </si>
  <si>
    <t>6 proc.</t>
  </si>
  <si>
    <t>05.05.01.01. (TP)</t>
  </si>
  <si>
    <t>Kogenaricinės jėgainės Visagino centralizuoto šilumos tiekimo sistemoje statyba, vnt.</t>
  </si>
  <si>
    <t xml:space="preserve">Šiluminės katilinės vaizdo stebėjimo sistemos atnaujinimas, vnt. </t>
  </si>
  <si>
    <t>Pastato 826 šilumos punkto rekonstravimas, vnt.</t>
  </si>
  <si>
    <t>Projektas „Individualių namų kvartalo geriamojo vandens infrastruktūros sukūrimas, prijungiant prie Visagino miesto centralizuoto tinklo", km</t>
  </si>
  <si>
    <t>Nuotekų siurblinės (pastato Nr. 437) ir kontrolinio punkto (pastato Nr. 489A) atnaujinimas</t>
  </si>
  <si>
    <t>Vandenvietės laboratorijos ir tarnybinio korpuso (pastatas Nr. 482 B) atnaujinimas, vnt.</t>
  </si>
  <si>
    <t>Geriamojo vandens fontanėlių įsigijimas ir įrengimas Visagino mieste, vnt.</t>
  </si>
  <si>
    <t>Projektas "Individualių namų kvartalo nuotekų surinkimo infrastruktūros sukūrimas, prijungiant prie Visagino miesto centralizuoto tinklo", km</t>
  </si>
  <si>
    <t>Dumblo sausinimo cecho (pastato Nr. 11) atnaujinimas, vnt.</t>
  </si>
  <si>
    <t>Dumblo sausinimo įrenginių rekonstravimas, vnt.</t>
  </si>
  <si>
    <t>Bunkerio salės (pastato Nr. 11) atbaujinimas</t>
  </si>
  <si>
    <t>Komercijos tarnybos pastato lauko laiptų atnaujinimas, vnt.</t>
  </si>
  <si>
    <t>Ugniasienių įsigijimas valdomos informacijos ir duomenų saugumui užtikrinti, vnt.</t>
  </si>
  <si>
    <t>Kelių priežiūros ir plėtros programos 
objektų sąraše įrašytų objektų įgyvendinimas procentais nuo skirtų lėšų iš KPP programos</t>
  </si>
  <si>
    <t xml:space="preserve">3.3.2. </t>
  </si>
  <si>
    <t>3.3.-2-2</t>
  </si>
  <si>
    <t xml:space="preserve">Asmenų, pasinaudojusių naujai sukurtomis viešojo transporto paslaugomis proc. nuo bendro gyventojų skaičiaus </t>
  </si>
  <si>
    <t>0,27</t>
  </si>
  <si>
    <t>0,30</t>
  </si>
  <si>
    <t>Skatinti bemotorio transporto pasirinkimą ir pėsčiųjų judumą</t>
  </si>
  <si>
    <t xml:space="preserve">Naikinama 
</t>
  </si>
  <si>
    <t>Apšvietimo tinklų plėtra, km</t>
  </si>
  <si>
    <t>0,5</t>
  </si>
  <si>
    <t>Visagino miesto apšvietimo tinkluose suvartojamos elektros energijos kiekio sutaupymas, lyginant su praėjusiu laikotarpiu, proc</t>
  </si>
  <si>
    <t>Esančių žvyruotų kelių ilgis</t>
  </si>
  <si>
    <t>Sutvarkytų kelių, esančių kaimiškose teritorijose ilgis, km</t>
  </si>
  <si>
    <t>Savivaldybės administracinių paslaugų, teikiamų elektroniniu būdu ne žemesniu kaip 4 brandos lygiu, dalis nuo visų savivaldybės teikiamų administracinių paslaugų (proc.)</t>
  </si>
  <si>
    <t>Elektroniniu būdu pateiktų dokumentų dalis nuo visų gautų dokumentų dėl civilinės būklės aktų registravimo ir kitų su tuo susijusių paslaugų teikimo skaičiaus, proc</t>
  </si>
  <si>
    <t>Lietuvos Respublikos vietos savivaldos įstatymo 7 straipsnio 8  punkto įgyvendinimo užtikrinimas</t>
  </si>
  <si>
    <t xml:space="preserve">Lietuvos Respublikos vietos savivaldos įstatymo 7 straipsnio 7 punkto įgyvendinimo užtikrinimas. </t>
  </si>
  <si>
    <t>Lietuvos Respublikos vietos savivaldos įstatymo 7 straipsnio 29 punkto įgyvendinimo užtikrinimas.</t>
  </si>
  <si>
    <t>Lietuvos Respublikos vietos savivaldos įstatymo 7 straipsnio 16 punkto įgyvendinimo užtikrinimas.</t>
  </si>
  <si>
    <t>Mero rezervo lėšos gali būti naudojamos ekstremaliosioms situacijoms  ir (arba) ekstremaliesiems įvykiams likviduoti, jų padariniams šalinti ir padarytiems nuostoliams iš dalies apmokėti, gaisrų, stichinių nelaimių ir kitų įvykių padariniams likviduoti ir jų padarytiems nuostoliams iš dalies apmokėti, dėl nepaprastosios padėties atsiradusioms išlaidoms iš dalies apmokėti ir (arba) jos padariniams šalinti</t>
  </si>
  <si>
    <t>Įgyvendindama strateginius tikslus, savivaldybė vykdo investicinius projektus, kuriems finansuoti buvo imamos ilgalaikės paskolos iš bankų. Vykdant šią priemonę, mokamos paskolos ir palūkanos pagal pasirašytas kredito linijos sutartis ir banko paslaugos už sąskaitų aptarnavimą</t>
  </si>
  <si>
    <t>Įgyvendinant šią priemonę planuojama 
dalyvauti Lietuvos savivaldybių asociacijos veikloje.</t>
  </si>
  <si>
    <t xml:space="preserve">2.1. </t>
  </si>
  <si>
    <t>17</t>
  </si>
  <si>
    <t>2.1.-5-5
2.1.-6-2</t>
  </si>
  <si>
    <t>Suaugusių asmenų, dalyvavusių mokymosi veiklose, dalis proc. nuo visų besimokančiųjų</t>
  </si>
  <si>
    <t>Neformaliojo vaikų švietimo programų įgyvendinimui iš VB skirtų lėšų panaudojimas</t>
  </si>
  <si>
    <t>70</t>
  </si>
  <si>
    <t>Mokinių, dalyvavusių vaikų vasaros poilsio projektuose, dalis nuo bendro mokinių bendrojo ugdymo mokyklose skaičiaus</t>
  </si>
  <si>
    <t>37</t>
  </si>
  <si>
    <t xml:space="preserve">Visagino savivbaldybės administracija </t>
  </si>
  <si>
    <t>12,5</t>
  </si>
  <si>
    <t>12,7</t>
  </si>
  <si>
    <t>2.6-2-4</t>
  </si>
  <si>
    <t>NVO, jaunimo ir su jaunimu 
dirbančių asmenų skaičius (vnt.)</t>
  </si>
  <si>
    <t>Aukšto meistriškumo sportininkų dalis nuo visų sportininkų Visagino savivaldybėje (proc.)</t>
  </si>
  <si>
    <t xml:space="preserve">~8000 </t>
  </si>
  <si>
    <t xml:space="preserve">2024  m.asignavimų poreikis </t>
  </si>
  <si>
    <t xml:space="preserve">2024  m. asignavimų poreikis </t>
  </si>
  <si>
    <t>2024  m.asignavimų poreikis</t>
  </si>
  <si>
    <t>Sudaryti kuo palankesnes sąlygas pradėti ir plėtoti verslą, skatinti jaunimo verslumą bei didinti gyventojų užimtumą</t>
  </si>
  <si>
    <t>1.1.2.</t>
  </si>
  <si>
    <t>Planuojama investuoti į žemės sklypus ir (ar) laisvos valstybinės žemės plotus, kai investicijomis sudaromos sąlygos komercinėje teritorijose pradėti vykdyti ekonominę veiklą, didinti šios veiklos apimtį. Inovatyvių socialinės, kūrybinės ekonomikos ir bendro infrastruktūros naudojimo iniciatyvų įgyvendinimas (pvz., įrengiant gamybines, maisto, kūrybinių industrijų bendradarbystės erdves viešuosiuose pastatuose). Inovatyvia kūrybinės ekonomikos iniciatyva laikoma priemonė, skirta sudaryti sąlygas kurtis ir (ar) plėtotis ekonominei (-ėms) veiklai (-oms), kuri (-ios) grindžiama (-os) kūrybiškumu, kultūros turiniu ir (arba) intelektiniu kapitalu ir kuria materialius produktus ir (arba) kūrybine, kultūrine ir ekonomine verte pasižyminčias nematerialias intelektines, kultūros arba menines paslaugas.</t>
  </si>
  <si>
    <t>Teritorijų, suformuotų ir pritaikytų verslo plėtrai, ha</t>
  </si>
  <si>
    <t>Parengtų teritorijų planavimo dokumentų skaičius (vnt.)</t>
  </si>
  <si>
    <t>1.1.2-3</t>
  </si>
  <si>
    <t>Sukurta ir palaikoma verslo informacinė bazė, vnt.</t>
  </si>
  <si>
    <t>Programos įgyvendinimo laikotarpis – nuo 2024 m. vasario mėn. iki 2024 m. gruodžio mėn. Programos tikslai: padėti norintiems integruotis į darbo rinką ieškantiems darbo asmenims įsidarbinti ir uždirbti pragyvenimui būtinas lėšas; mažinti socialinę įtampą ir atskirtį tarp bendruomenės narių; atnaujinti ieškančių darbo asmenų darbinius įgūdžius; padidinti ieškančių darbo asmenų galimybes susirasti nuolatinį darbą; didinti Visagino savivaldybės gyventojų užimtumą.</t>
  </si>
  <si>
    <t>1.1.-2-2</t>
  </si>
  <si>
    <t>1.1.-2</t>
  </si>
  <si>
    <t>Gyventojų aktyvumas,
 vykdant individualią veiklą (gyventojų, besiverčiančių veikla pagal individualios veiklos pažymą ir verslo liudijimus, skaičius, tenkantis 1000-iui gyv., koef.)</t>
  </si>
  <si>
    <t>Turistų, apsilankiusių VTPC, 
dalis sezono metu (gegužės–rugpjūčio mėn.), palyginti su bendruoju metiniu turistų skaičiumi (proc.)</t>
  </si>
  <si>
    <t>1.2.-3-1</t>
  </si>
  <si>
    <t>1.2.-2-1</t>
  </si>
  <si>
    <t>1.2.-3-2</t>
  </si>
  <si>
    <t>Verslo subjektų, teikiančių paslaugas daugiataučio kultūros paveldo srityje, skaičius</t>
  </si>
  <si>
    <t>1.2.-3-3</t>
  </si>
  <si>
    <t>1.2.-1-1</t>
  </si>
  <si>
    <t>1.1.1-1</t>
  </si>
  <si>
    <t>Užtikrinti turizmo informacijos sklaidą, skatinti turizmo plėtrą savivaldybėje</t>
  </si>
  <si>
    <t>Pantoninės prieplaukos didžiosios, esančios Visagino ežere remontas (būtina pilnai keisti medines lentas)</t>
  </si>
  <si>
    <t xml:space="preserve"> Stikloplastikinės vandens nusileidimo čiuožyklos Visagino ežero pakrantėje demontavimas ir naujos infrastruktūros įrengimas </t>
  </si>
  <si>
    <t>Organizuotų nuomos konkursų skaičius</t>
  </si>
  <si>
    <t>3.2-2-3</t>
  </si>
  <si>
    <t>Įgyvendintų priemonių skaičius, siekiant sustiprinti miesto urbanizuoto  kraštovaizdžio bendros erdvinės struktūros vieningumą, architektūros tapatumą ir savitumą</t>
  </si>
  <si>
    <t>Užtikrintas  Utenos regiono 2021-2030 m. plėtros plano įgyvendinimas</t>
  </si>
  <si>
    <t>Visagino viešosios bibliotekos renovacija : įtraukioji kultūra visiems, neprikalusomai nuo lyties, sveikatos būklės, socialinės padėties ir amžiaus</t>
  </si>
  <si>
    <t>3.3.1.</t>
  </si>
  <si>
    <t xml:space="preserve">3.3.4.1. </t>
  </si>
  <si>
    <t>Apsauginę funkciją atliekančių želdynų ir želdinių, tenkančių 1 gyventojui, plotas (kv. m)</t>
  </si>
  <si>
    <t>Įgyvendinta priemonių, skatinančių komunalinių atliekų 
rūšiuojamojo atliekų surinkimo pajėgumo plėtrą</t>
  </si>
  <si>
    <t xml:space="preserve">3.3.1.2. </t>
  </si>
  <si>
    <t xml:space="preserve">Parengtų projektų skaičius </t>
  </si>
  <si>
    <t xml:space="preserve">3.3.5.1. </t>
  </si>
  <si>
    <t xml:space="preserve">Įrengtų automatizuotų oro taršos stebėjimo stotelių skaičius, vnt.  </t>
  </si>
  <si>
    <t>3.3.-4-3</t>
  </si>
  <si>
    <t xml:space="preserve"> Sąmoningumą skatinančių kompanijų skaičius (vnt. per metus)</t>
  </si>
  <si>
    <t>3.3.-4-1</t>
  </si>
  <si>
    <t xml:space="preserve"> Įgyvendinta priemonių, skatinančių komunalinių atliekų rūšiajamojo atliekų surinkimo pajėgumo plėtrą</t>
  </si>
  <si>
    <t>3.3.-1-2</t>
  </si>
  <si>
    <t xml:space="preserve"> Savivaldybės įstaigų ir įmonių pastatų, kuriuose įrengtos alternatyvios energijos gamybos priemonės, skaičius (vnt.)</t>
  </si>
  <si>
    <t xml:space="preserve"> Įrengtų automatizuotų oro taršos stebėjimo stotelių skaičius, vnt.  </t>
  </si>
  <si>
    <t>3.3-5-1</t>
  </si>
  <si>
    <t>3.3-4-1</t>
  </si>
  <si>
    <t>3.3-3-3</t>
  </si>
  <si>
    <t xml:space="preserve">Paviršinių nuotekų surinkimo ir valymo sistemos srityje įgyvendintų priemonių skaičius </t>
  </si>
  <si>
    <t xml:space="preserve">3.3.-5 </t>
  </si>
  <si>
    <t>3.2-1-5</t>
  </si>
  <si>
    <t xml:space="preserve"> Įgyvendintų priemonių skaičius</t>
  </si>
  <si>
    <t>Įgyvendinta priemonių, skatinančių komunalinių atliekų rūšiuojamojo atliekų surinkimo pajėgumo plėtrą</t>
  </si>
  <si>
    <t xml:space="preserve">Įgyvendinti Europos Sąjungos struktūrinių ir kitų fondų lėšomis finansuojamus projektus </t>
  </si>
  <si>
    <t xml:space="preserve">Išankstinio pacientų registravimo naudojimo dalis </t>
  </si>
  <si>
    <t>60 proc.</t>
  </si>
  <si>
    <t>80 proc.</t>
  </si>
  <si>
    <t>Per išankstinę pacientų registraciją registruotų vizitų, kurių laukta 15+ d.</t>
  </si>
  <si>
    <t>30 proc.</t>
  </si>
  <si>
    <t>20 proc.</t>
  </si>
  <si>
    <t>10 proc.</t>
  </si>
  <si>
    <t>Kompensuojamųjų antibiotikų skyrimas vaikams</t>
  </si>
  <si>
    <t>Ne didesnis nei apskrities vidurkis</t>
  </si>
  <si>
    <t>65 m. ir vyresnių asmenų bei kitų rizikos grupių skiepijimo sezoninio gripo vakcina apimtys</t>
  </si>
  <si>
    <t>Ne mažesnis nei apskrities vidurkis</t>
  </si>
  <si>
    <t>Profilaktinis vaikų sveikatos patikrinimas</t>
  </si>
  <si>
    <t>85 proc.</t>
  </si>
  <si>
    <t>95 proc.</t>
  </si>
  <si>
    <t>Vaikų odontologinės priežiūros intensyvumo didinimas (vaikų dantų dengimo silantinėmis medžiagomis programa)</t>
  </si>
  <si>
    <t>50 proc.</t>
  </si>
  <si>
    <t>55 proc.</t>
  </si>
  <si>
    <t>Ambulatorinių slaugos paslaugų namuose paslaugų plėtra</t>
  </si>
  <si>
    <t>40 proc.</t>
  </si>
  <si>
    <t>45 proc.</t>
  </si>
  <si>
    <t>Pakaitinio gydymo metadonu programa (dalyvių sk.)</t>
  </si>
  <si>
    <t xml:space="preserve">Visagino m. daugiabučių namų administravimas, techninė priežiūra, namų skaičius </t>
  </si>
  <si>
    <t xml:space="preserve">Visagino sav. paviršinių nuotekų tvarkymas, abonentų skaičius </t>
  </si>
  <si>
    <t>Visagino m. energetinio efektyvumo didinimo daugiabučiuose namuose programos „Visagino enervizija“ įgyvendinimas, namų skaičius</t>
  </si>
  <si>
    <t>Maisto ir virtuvės atliekų surinkimo ir vežimo paslaugų teikimas, t</t>
  </si>
  <si>
    <t xml:space="preserve">Komunalinių atliekų surinkimo Visagino sav. teritorijoje ir jų vežimo į apdorojimo įrenginius paslaugų teikimas, kiekis tonomis </t>
  </si>
  <si>
    <t xml:space="preserve">Komunalinių atliekų sraute 
susidarančių pakuočių atliekų rūšiuojamojo surinkimo ir vežimo paslaugų teikimas,  kiekis tonomis </t>
  </si>
  <si>
    <t>Savivaldybės pirminės valstybės garantuojamos teisinės pagalbos specialistų netiksliai (netinkamai) užpildytų prašymų suteikti antrinę valstybės garantuojamą teisinę pagalbą skaičius nuo savivaldybės parengtų prašymų suteikti antrinę valstybės garantuojamą teisinę pagalbą skaičiaus proc</t>
  </si>
  <si>
    <t> Ne daugiau kaip 
15 proc. visų susidariusių komunalinių atliekų (pagal svorį) šalinama sąvartyne</t>
  </si>
  <si>
    <t> Ne daugiau kaip 
10 proc. visų susidariusių komunalinių atliekų (pagal svorį) šalinama sąvartyne</t>
  </si>
  <si>
    <t>Ne daugiau kaip 
8 proc. visų susidariusių komunalinių atliekų (pagal svorį) šalinama sąvartyne</t>
  </si>
  <si>
    <t>Ne mažiau 55 proc. susidariusių
komunalinių atliekų
 (pagal
svorį) paruošta 
pakartotinai naudoti ir perdirbta</t>
  </si>
  <si>
    <t>Ne mažiau 56 proc. susidariusių komunalinių atliekų (pagal
svorį) paruošta pakartotinai naudoti ir perdirbta</t>
  </si>
  <si>
    <t>Ne mažiau 57 proc. susidariusių komunalinių atliekų (pagal
svorį) paruošta pakartotinai naudoti ir perdirbta</t>
  </si>
  <si>
    <t xml:space="preserve">Gerinti  investicinės aplinkos patrauklumą ir didinti ekonominį potencialą </t>
  </si>
  <si>
    <t>Visagino savivaldybės 2024–2026 metų strateginį veiklos planą sudaro 10 įvairius savivaldybės veiklos sektorius apimančių programų. Kiekvienoje programoje iškelti trejų metų veiklos strateginiai uždaviniai, suformuluotos priemonės ir konkretizuoti rezultatų pasiekimo rodikliai. Programos buvo pasirinktos,susisteminus ir apibendrinus  vietos savivaldos principus, savivaldybės instituciją ir jos kompetenciją, numatytas vykdyti funkcijas, savivaldybės mero, savivaldybės tarybos nario statusą, savivaldybių ūkinės ir finansinės veiklos pagrindus, taip pat išanalizavus viešojo administravimo sritis, viešojo administravimo subjektų sistemą ir administracinės procedūros organizavimo pagrindus.</t>
  </si>
  <si>
    <t>07.01.02.01 (TP)</t>
  </si>
  <si>
    <t>R-07-01-02-01</t>
  </si>
  <si>
    <t>2.5-1-10</t>
  </si>
  <si>
    <t>Mobilių (transporto) paslaugų teikimo  tikslinėms grupėms išplėtojimas</t>
  </si>
  <si>
    <t xml:space="preserve">Šios priemonės įgyvendinimu bus užtikrintas Lietuvos Respublikos Vyriausybės 2022 m. lapkričio 30 d. nutarimas Nr. 1196 "Dėl pacientų pavėžėjimo paslaugų organizavimo ir teikimo tvarkos aprašo patvirtinimo" </t>
  </si>
  <si>
    <t xml:space="preserve">Vykdomų naujų paslaugų skaičius </t>
  </si>
  <si>
    <t>Vykdyti kryptingą darnaus judumo politiką savivaldybėje</t>
  </si>
  <si>
    <t xml:space="preserve">1.1. tikslas </t>
  </si>
  <si>
    <t xml:space="preserve">Viešųjų paslaugų teikimas bei Visagino savivaldybės turizmo rinkodaros plėtojimas  </t>
  </si>
  <si>
    <t>1.2. tikslas</t>
  </si>
  <si>
    <t>2.1. tikslas</t>
  </si>
  <si>
    <t>Ikimokyklinio ugdymo įstaigų tinklo, kuriant naujas ugdymo vietas stiprinimas</t>
  </si>
  <si>
    <t xml:space="preserve"> Visagino progimnazijų erdvių pritaikymas negalią turinčių mokinių ugdymuisi įtraukiuoju būdu </t>
  </si>
  <si>
    <t>Visos dienos užimtumo erdvių sukūrimas Visagino bendrojo ugdymo mokyklose</t>
  </si>
  <si>
    <t>Visagino savivaldybės priemonių, numatytų „Tūkstantmečio mokyklų“ Visagino ir Ignalinos rajono savivaldybių Švietimo pažangos plane įgyvendinimas</t>
  </si>
  <si>
    <t>Visagino savivaldybės bendrojo ugdymo mokyklų tinklo pertvarkos priemonių planų kiekvienoje mokykloje įgyvendinimas</t>
  </si>
  <si>
    <t>2.2. tikslas</t>
  </si>
  <si>
    <t>Aplinkos ir viešųjų erdvių fizinio aktyvumo užsiėmimams pritaikymas</t>
  </si>
  <si>
    <t>Visagino savivaldybės ugdymo įstaigų vidaus ir lauko sporto infrastruktūros - sporto salių, aikštelių, stadionų - atnaujinimas ir (ar) plėtra</t>
  </si>
  <si>
    <t>2.3. tikslas</t>
  </si>
  <si>
    <t>Infrastruktūros, būtinos gyventojų kultūriniams poreikiams užtikrinti, esamos vidaus rekonstravimas ir/arba naujos statymas</t>
  </si>
  <si>
    <t>Visagino miesto muziejaus koncepcijos ir struktūros plėtojimas</t>
  </si>
  <si>
    <t>2.4. tikslas</t>
  </si>
  <si>
    <t>2.5. tikslas</t>
  </si>
  <si>
    <t>Socialinių paslaugų prieinamumo didinimas</t>
  </si>
  <si>
    <t>Socialinio  ir savivaldybės būsto prieinamumo visų socialinių grupių atstovams didinimas</t>
  </si>
  <si>
    <t>2.6. tikslas</t>
  </si>
  <si>
    <t xml:space="preserve"> Jaunimo teikiamų  projektų ir iniciatyvų finansavimas</t>
  </si>
  <si>
    <t>2.7. tikslas</t>
  </si>
  <si>
    <t>Asmens sveikatos priežiūros įstaigų paslaugų infrastruktūros bei įrangos, siekiant didesnės ir aukštesnės paslaugų aprėpties, įvairovės ir kokybės plėtojimas, modernizavimas ir atnaujinimas (Visagino sveikatos centro veiklos vystymas)</t>
  </si>
  <si>
    <t>Vietos savivaldai priimant sprendimus integruotai ir tolygiai formuoti nevyriausybinių ir bendruomeninių organizacijų veiklai palankią aplinką savivaldybėje (Dalyvaujamo biudžeto priemonių vykdymas )</t>
  </si>
  <si>
    <t>Viešosios naudos nevyriausybinių ir bendruomeninių organizacijų institucinio stiprinimo projektų (gebėjimai, lyderystė, sąlygos viešosios naudos organizacijų veiklos tvarumui užtikrinti, socialinis verslas ir kt. ) - vietos veiklos grupių strategijų įgyvendinimas)</t>
  </si>
  <si>
    <t xml:space="preserve">2.8. tikslas </t>
  </si>
  <si>
    <t>Inovatyvių sprendimų ir būdų savivaldybėje ir jos įstaigose galinčių padidinti viešojo efektyvumo valdymą diegimas (miesto dvynio informacinės sistemos sukūrimas)</t>
  </si>
  <si>
    <t>Miesto vaizdo stebėjimo sistemos naujinimas ir plėtra</t>
  </si>
  <si>
    <t xml:space="preserve">3.1. tikslas </t>
  </si>
  <si>
    <t>Esamų šaligatvių ir pėsčiųjų takų infrastruktūros kokybės gerinimas</t>
  </si>
  <si>
    <t>Tinkamo miesto kelių tinklo darnos, saugumo ir kokybės užtikrinimas</t>
  </si>
  <si>
    <t>3.2. tikslas</t>
  </si>
  <si>
    <t xml:space="preserve"> Kogeneracinės biokuro elektrinės (1,25 MW elektros galios 6,8 MW šilumos galios) statyba</t>
  </si>
  <si>
    <t>3.3. tikslas</t>
  </si>
  <si>
    <t>Komunalinių, rūšiuojamųjų, žaliųjų atliekų, atliekų tinkamų  paruošimui pakartotiniam naudojimui, surinkimo pajėgumų bei apdorojimo plėtra Visagino savivaldybėje, keičiant į kitus energetinius šaltinius</t>
  </si>
  <si>
    <t>Investicijų pritraukimo ir verslumo skatinimo institucinės ekosistemos sukūrimas Visagino, Ignalinos ir Zarasų funkcinėje zonoje (VIZA funkcinės zonos strategijos parengimas ir patvirtinimas)</t>
  </si>
  <si>
    <t xml:space="preserve">Didinant įstaigų veiklos efektyvumą, atsakomybę ir viešumą, 2024-2026 m. planuojama gerinti valdymo struktūrą ir  stiprinti valdymo kokybę, didinti viešojo administravimo efektyvumą, ekonomiškai ir rezultatyviai valdyti ir naudoti savivaldybės turtą, biudžetą ir kitus piniginius išteklius. Numatoma vykdyti priemones ugdymo, kūno kultūros ir fizinio aktyvumo, socialinių paslaugų kokybei gerinti  ir jų įvairovei didinti. Siekti, kad gerėtų viešųjų erdvių kokybė, sudaryti sąlygas inžinerinės infrastruktūros ir susisiekimo komunikacijų gerinimui, jų plėtrai padidinant miesto viešųjų erdvių patrauklumą, užtikrinant  švarą ir tvarką, teikti gyventojams kokybiškas komunalines paslaugas, prižiūrėti ir modernizuoti miesto inžinerinės ir rekreacinės infrastruktūros objektus, suformuoti efektyviai veikiančią verslo paramos sistemą, skleisti verslo informaciją, skatinti verslumą bei iniciatyvas. Taip pat bus siekiama vykdyti architektūros ir teritorijų planavimo veiklą,  kurti palankią aplinką turizmui, plėsti turizmo, rekreacijos, poilsio ir paslaugų infrastruktūrą, užtikrinti turizmo informacijos sklaidą. </t>
  </si>
  <si>
    <t>Individualių namų kvartalo vystymas (projektavimas)</t>
  </si>
  <si>
    <t>1 lentelė. Tikslai, uždaviniai ir jų stebėsenos rodikliai</t>
  </si>
  <si>
    <r>
      <t>2024</t>
    </r>
    <r>
      <rPr>
        <b/>
        <sz val="7"/>
        <color rgb="FF000000"/>
        <rFont val="Arial"/>
        <family val="2"/>
      </rPr>
      <t xml:space="preserve"> metų asignavimai ir kitos lėšos</t>
    </r>
  </si>
  <si>
    <r>
      <t>2025</t>
    </r>
    <r>
      <rPr>
        <b/>
        <sz val="7"/>
        <color rgb="FF000000"/>
        <rFont val="Arial"/>
        <family val="2"/>
      </rPr>
      <t>metų asignavimai ir kitos lėšos</t>
    </r>
  </si>
  <si>
    <r>
      <t>2026</t>
    </r>
    <r>
      <rPr>
        <b/>
        <sz val="7"/>
        <color rgb="FF000000"/>
        <rFont val="Arial"/>
        <family val="2"/>
      </rPr>
      <t xml:space="preserve"> metų asignavimai ir kitos lėšos</t>
    </r>
  </si>
  <si>
    <r>
      <t xml:space="preserve">IŠ VISO programai finansuoti pagal finansavimo šaltinius </t>
    </r>
    <r>
      <rPr>
        <i/>
        <sz val="7"/>
        <rFont val="Arial"/>
        <family val="2"/>
      </rPr>
      <t>(</t>
    </r>
    <r>
      <rPr>
        <b/>
        <i/>
        <sz val="7"/>
        <rFont val="Arial"/>
        <family val="2"/>
      </rPr>
      <t>1 ir 2 punktai)</t>
    </r>
  </si>
  <si>
    <r>
      <t>n</t>
    </r>
    <r>
      <rPr>
        <sz val="7"/>
        <color rgb="FF000000"/>
        <rFont val="Arial"/>
        <family val="2"/>
      </rPr>
      <t xml:space="preserve"> – pirmieji planuojamieji metai, </t>
    </r>
    <r>
      <rPr>
        <i/>
        <sz val="7"/>
        <color rgb="FF000000"/>
        <rFont val="Arial"/>
        <family val="2"/>
      </rPr>
      <t xml:space="preserve">n </t>
    </r>
    <r>
      <rPr>
        <sz val="7"/>
        <color rgb="FF000000"/>
        <rFont val="Arial"/>
        <family val="2"/>
      </rPr>
      <t xml:space="preserve">+ 1 – antrieji planuojamieji metai ir </t>
    </r>
    <r>
      <rPr>
        <i/>
        <sz val="7"/>
        <color rgb="FF000000"/>
        <rFont val="Arial"/>
        <family val="2"/>
      </rPr>
      <t xml:space="preserve">n </t>
    </r>
    <r>
      <rPr>
        <sz val="7"/>
        <color rgb="FF000000"/>
        <rFont val="Arial"/>
        <family val="2"/>
      </rPr>
      <t>+ 2 – tretieji planuojamieji metai.</t>
    </r>
  </si>
  <si>
    <t>Mergaičių grupių skaičius</t>
  </si>
  <si>
    <t>Berniukų grupių skaičius</t>
  </si>
  <si>
    <t xml:space="preserve">10 proc. </t>
  </si>
  <si>
    <t>Mažų miestelių krepšinio lygos komandų skaičius</t>
  </si>
  <si>
    <t>Regionų krepšinio lygos komandų skaičius</t>
  </si>
  <si>
    <t>Lėšų poreikis, Eur</t>
  </si>
  <si>
    <t xml:space="preserve">Finansavimo šaltinis </t>
  </si>
  <si>
    <t>SB, EGDP</t>
  </si>
  <si>
    <t xml:space="preserve"> Naujai organizuotų vietinės reikšmės maršrutų skaičius</t>
  </si>
  <si>
    <t xml:space="preserve">Parengtų kreipimųsi bei organizuotų susitikimų su AB „Lietuvos geležinkeliai“ skaičius </t>
  </si>
  <si>
    <t>Įgyvendinant šią priemonę bus užtikrintas transporto paslaugų teikimas biudžetinėms ir pagal galimybes viešosioms įstaigoms, kurioms skirtas finansavimas iš savivaldybės biudžeto.</t>
  </si>
  <si>
    <t>2.2.1.</t>
  </si>
  <si>
    <t xml:space="preserve"> Sporto varžybose ir sveikatingumo renginiuose dalyvavusių asmenų  skaičius, vnt. per metus</t>
  </si>
  <si>
    <t xml:space="preserve"> Kelių priežiūros ir plėtros programos lėšomis įgyvendintų priemonių skaičius</t>
  </si>
  <si>
    <t xml:space="preserve"> Elektromobilių įkrovimo prieigų skaičius (vnt.)</t>
  </si>
  <si>
    <t>Įrengtų automobilių stovėjimo 
vietų gatvių važiuojamojoje dalyje/pėsčiųjų perėjų skaičius</t>
  </si>
  <si>
    <t xml:space="preserve"> Pasirašytų autobusų stoties įveiklinimo  sutarčių skaičius </t>
  </si>
  <si>
    <t xml:space="preserve"> Įrengtų automobilių stovėjimo 
vietų gatvių važiuojamojoje dalyje/pėsčiųjų perėjų skaičius</t>
  </si>
  <si>
    <t xml:space="preserve">VšĮ Visagino miesto muziejus organizuos parodas, edukacijas, ekskursijas kai tik bus sukurtos sąlygos muziejinei veiklai vykdyti. Veikloje orientuojamasi į ekspozicijų, valstybinių švenčių ir svarbių datų minėjimus muziejinėmis darbo formomis, leidinių pristatymą, etnokultūrinius ir Lietuvos tautinių mažumų bei lietuvių – Visagino mažumos mažumoje renginius, minimos tradicinės šventės. Atsižvelgiant į tai, kad miesto statytojai yra vyresnio amžiaus, o muziejaus veikla jiems ypač aktuali, pradžioje veikla aktyviau vyks atsižvelgiant į senjorams palankios aplinkos kūrimą, atlikus paruošiamuosius darbus – į ekskursinę, muziejinę, edukacinę veiklas, patrauklias ne tik savivaldybės, bet atvykstančiųjų interesams. Vyks tarptautinių ryšių paieškos, kontaktų kūrimas. 2024 m. planuojama pritaikyti patalpas ekspozicijai. </t>
  </si>
  <si>
    <t>550</t>
  </si>
  <si>
    <t>Siekiant kurti palankią gyvenamąją aplinką, gerinti fizinio aktyvumo sąlygas bei pritaikyti sporto infrastruktūrą aukščiausio lygio futbolo varžyboms Visagine atnaujinamas centrinis stadionas. Po atnaujinimo darbų Visaginas tapo patrauklia vieta rengti aukšto lygio sporto renginiams. 2024 m. Visagino centriniame stadione planuojama  įgyvendinti II projekto etapą, kuriame numatytą įrengti vandens ėmyklą iš Visagino ežero, siurblinę, laistymo sistemą, privažiavimo kelią ir modernizuoti stadiono aikštės apšvietimą bei EPDM dangas</t>
  </si>
  <si>
    <t xml:space="preserve">Projekto veiklų įgyvendinimas baigtas 2023 m. </t>
  </si>
  <si>
    <t>Įrengtų ir atnaujintų sporto bei laisvalaikio aikštelių skaičius Visagino savivaldybėje</t>
  </si>
  <si>
    <t xml:space="preserve">Naikinama
</t>
  </si>
  <si>
    <t>Naikinama</t>
  </si>
  <si>
    <t xml:space="preserve"> Įrengtų ir / ar atnaujintų vaikų žaidimų aikštelių skaičius (vnt.)</t>
  </si>
  <si>
    <t xml:space="preserve"> Plėsti, prižiūrėti ir modernizuoti teritorijas, įrengiant reikalingą infrastrukūrą</t>
  </si>
  <si>
    <t xml:space="preserve"> Miesto viešųjų erdvių, kuriose įrengtos gyventojų poilsiui pritaikytos erdvės) skaičius (vnt.)</t>
  </si>
  <si>
    <t xml:space="preserve"> Esančių žvyruotų kelių ilgis (km)</t>
  </si>
  <si>
    <t xml:space="preserve"> Išduotų statybos leidimų skaičius (vnt.)</t>
  </si>
  <si>
    <t xml:space="preserve"> Įrengta naujų kapinių plotų, ha </t>
  </si>
  <si>
    <t>Tvarkyti savivaldybės kaimiškųjų vietovių infrastruktūrą</t>
  </si>
  <si>
    <t xml:space="preserve">Įgyvendinant priemonę bus vykdoma Sedulinos alėjos fontano "Saulutė" priežiūra, 
sudarant paslaugų priežiūros sutartį. </t>
  </si>
  <si>
    <t>Namų, kuriuose pasiekta ne žemesnė kaip C pastato energinio naudingumo klasė ir skaičiuojamosios šilumos energijos sąnaudos sumažintos ne mažiau kaip 40 proc., skaičius</t>
  </si>
  <si>
    <t>Surinkta lėšų, pagal Visagino savivaldybės tarybos, nustatytą infrastruktūros plėtros įmoką</t>
  </si>
  <si>
    <t>Visagino savivaldybės 2024-2026 m. infrastruktūros plėtros priemonių planas yra neatsiejama Visagino savivaldybės viešosios infrastruktūros plėtros programos dalis.</t>
  </si>
  <si>
    <t>Parengtų tarybos sprendimų nustatančių infrastruktūros plėtros įmoką skaičius</t>
  </si>
  <si>
    <t>3.3.-2-5</t>
  </si>
  <si>
    <t xml:space="preserve">Užtikrintas  gyvenamosios aplinkos tvarkymo ir apšvietimo sistemos efektyvumas  ir sistemos eksploatavimas bei priežiūra </t>
  </si>
  <si>
    <t xml:space="preserve">Gerinti keleivių vežimo sąlygas bei skatinti darnesnį ir patogesnį judėjimą </t>
  </si>
  <si>
    <t>Savivaldybės ekonominės plėtros gairių specializacijų vystymas</t>
  </si>
  <si>
    <t>1.1-1</t>
  </si>
  <si>
    <t xml:space="preserve">Skatinant gyventojų verslumą ir ekonominį mobilumą, plėtojant viešąsias paslaugas ir paramą smulkiajam, vidutiniam verslui (SVV) bei vykdantiems ekonominę veiklą, šios priemonės įgyvendinimas prisidės prie 2020–2030 m. prioritetinės ekonomikos plėtros krypčių įgyvendinimo, kurios buvo patvirtintos Visagino savivaldybės tarybos 2019 m. spalio 30 d. sprendimu Nr. TS-253 „Dėl Visagino savivaldybės 2020–2030 m. ekonominės plėtros gairių patvirtinimo“, Strateginio plėtros plano uždavinio „Skatinti gyventojų verslumą ir ekonominį mobilumą“ įgyvendinimo. Įgyvendinant priemonę planuojama remti ir teikti smulkiajam ir vidutiniam verslui aktualias viešąsias paslaugas. VšĮ Visagino ekonomikos plėtros agentūra kartu su Visagino savivaldybe kurs ekonominio patrauklumo priemones, organizuos ir rengs pristatymus potencialiems investuotojams, stiprins ir aktyvins komunikaciją su verslo atstovais.
</t>
  </si>
  <si>
    <t>Autobusų stoties su turizmo informacijos centru statybos užbaigimas ir perdavimas stoties valdytojui</t>
  </si>
  <si>
    <t xml:space="preserve">Savivaldybės viešųjų pastatų, taikant energijos išteklių panaudojimo efektyvumo didinimo priemones, modernizavimas (Kosmoso g. 28 A, Taikos pr. 52, Parko g. 14, Vilties g. 1) </t>
  </si>
  <si>
    <t xml:space="preserve"> Daugiafunkcinių viešųjų erdvių poilsio, rekreacijos ir kultūros poreikiams įrengimas, modernizavimas ir /ar atnaujinimas </t>
  </si>
  <si>
    <t>Sutvarkyta / įrengta / atnaujinta 
teritorijų, ha</t>
  </si>
  <si>
    <t>77339
Eur (Įstaigos lėšos)
250 000 Eur (Jeigu bus gautos lėšos iš planuojamų projektų)</t>
  </si>
  <si>
    <t>85074
Eur (Įstaigos lėšos)
200 000 Eur (Jeigu bus gautos lėšos iš planuojamų projektų</t>
  </si>
  <si>
    <t>89500 
Eur</t>
  </si>
  <si>
    <t>15 000 Eur</t>
  </si>
  <si>
    <t>10 000 Eur</t>
  </si>
  <si>
    <t>EKG aparatų įsigijimas</t>
  </si>
  <si>
    <t>9000 Eur</t>
  </si>
  <si>
    <t xml:space="preserve">Kitos įrangos įsigijimas </t>
  </si>
  <si>
    <t>50000 Eur</t>
  </si>
  <si>
    <t xml:space="preserve">Laboratorinis inkubatorius </t>
  </si>
  <si>
    <t>1000 Eur</t>
  </si>
  <si>
    <t>Automobilio įsigijimas</t>
  </si>
  <si>
    <t>Įstaigos funkcijų vykdymo išlaidos (Nematerialiojo turto IT sistemų palaikymo išlaidos)</t>
  </si>
  <si>
    <t>40656 Eur</t>
  </si>
  <si>
    <t>44722 Eur</t>
  </si>
  <si>
    <t>45500 Eur</t>
  </si>
  <si>
    <t>ASP duomenų saugos atitikimo saugos reglamentui auditas  (rizikų vertinimas ir įgyvendinimas (Nematerialiojo turto IT sistemų palaikymo išlaidos)</t>
  </si>
  <si>
    <t>1500 Eur</t>
  </si>
  <si>
    <t xml:space="preserve">1500 Eur </t>
  </si>
  <si>
    <t xml:space="preserve">2000 Eur </t>
  </si>
  <si>
    <t>ASP duomenų perkėlimas " į debesija", IT veikimui reikiamų resursų nuoma  (Nematerialiojo turto IT sistemų palaikymo išlaidos)</t>
  </si>
  <si>
    <t>26600 Eur</t>
  </si>
  <si>
    <t>Teleradiologijos paslaugų (SR ir GMG) paslaugų užtikrinimas (Paslaugų apmokėjimo išlaidos )</t>
  </si>
  <si>
    <t>40000 Eur</t>
  </si>
  <si>
    <t>40000Eur</t>
  </si>
  <si>
    <t>Įstaigos funkcijų vykdymo išlaidos (Darbo užmokesčio  didinimo išlaidos dėl minimalios algos didinimo ,sisteminis sveikatos priežiūros specialistų atlyginimų didinimas)</t>
  </si>
  <si>
    <t>9345894 Eur</t>
  </si>
  <si>
    <t>11215073 Eur</t>
  </si>
  <si>
    <t>11920065 Eur</t>
  </si>
  <si>
    <t>Įstaigos funkcijų vykdymo išlaidos personalui (Kvalifikacijos kėlimo išlaidos, pagal kolektyvinės sutarties nuostatas)</t>
  </si>
  <si>
    <t>11000 Eur</t>
  </si>
  <si>
    <t>4500 Eur</t>
  </si>
  <si>
    <t>Įstaigos funkcijų vykdymo išlaidos personalui (Medicininio  ir kito įstaigos  personalo mokymai, pritaikant ligoninės darbą  prie naujų SAM pertvarkos reikalavimų)</t>
  </si>
  <si>
    <t>Kvalifikacijos kėlimas ne mažiau nei 
14 % įstaigos personalo</t>
  </si>
  <si>
    <t>Kvalifikacijos kėlimas ne mažiau nei 
15 % įstaigos personalo</t>
  </si>
  <si>
    <t>Kvalifikacijos kėlimas ne mažiau nei 
16 % įstaigos personalo</t>
  </si>
  <si>
    <t>Įstaigos funkcijų vykdymo išlaidos personalui (Naujų darbuotojų pritraukimas ir įdarbinimas įstaigoje)</t>
  </si>
  <si>
    <t>Naujų bendrosios praktikos slaugytojų pritraukimas ir įdarbinimas ne mažiau nei 2 bendrosios praktikos slaugytojų  per metus</t>
  </si>
  <si>
    <t>Įstaigos kiekybinių ir kokybinių rodyklių vykdymas (Pacientų prieinamumo pas gydytojus užtikrinimas)</t>
  </si>
  <si>
    <t>Siekti, kad įstaigoje teikiamos pirminės ambulatorinės sveikatos priežiūros paslaugos sveikatos apsaugos ministro nustatytų ūmių būklių atveju butu atliekamos  ne vėliau kaip per 24 valandas</t>
  </si>
  <si>
    <t>Siekti, kad įstaigoje teikiamos pirminės ambulatorinės sveikatos priežiūros paslaugos butu atliekamos  ne vėliau kaip per 7 kalendorines diena</t>
  </si>
  <si>
    <t>Siekti, kad įstaigoje teikiamos Antrinės ambulatorinės sveikatos priežiūros paslaugos butu atliekamos ne vėliau kaip per 30 kalendorinių dienų</t>
  </si>
  <si>
    <t>Siekti, kad įstaigoje teikiamos stacionarinės, dienos stacionaro ir (ar) dienos chirurgijos sveikatos priežiūros paslaugos planinės pagalbos atveju butu atliekamos  ne vėliau kaip per 60 kalendorinių dienų</t>
  </si>
  <si>
    <t>Įstaigos kiekybinių ir kokybinių rodyklių vykdymas
(Gerinti pacientų bendro pasitenkinimo VšĮ Visagino ligoninėje  teikiamomis asmens sveikatos priežiūros paslaugomis)</t>
  </si>
  <si>
    <t>2024 metais 
siekti ne mažesnį nei 0,82 rodiklio rezultato, atlikti ne mažiau 2 pacientų apklausų.</t>
  </si>
  <si>
    <t>2025 metais 
siekti atlikti ne mažiau 2 pacientų apklausų ir 1 darbuotojų apklausą.</t>
  </si>
  <si>
    <t>2026 metais 
siekti atlikti ne mažiau 2 pacientų apklausų ir 1 darbuotojų apklausą.</t>
  </si>
  <si>
    <t xml:space="preserve">Gyventojų informuotumo užtikrinimas . Ligoninės internetinės svetainės pagal šiuolaikinius standartus atnaujinimas </t>
  </si>
  <si>
    <t>.+</t>
  </si>
  <si>
    <t>Siekti, kad atvykimo dieną atliktų planinių Dienos chirurgijos operacijų rodiklis  siektu ne mažiau nei</t>
  </si>
  <si>
    <t>Plėtoti įstaigos  infrastruktūrą  ir gerinti sveikatos priežiūros paslaugų kokybę ir į pacientą orientuotą sveikatos priežiūrą (Dienos stacionaro patalpų atnaujinimas ir paslaugų apimties didinimas, palyginant su 2022 metų rezultatais)</t>
  </si>
  <si>
    <t>Plėtoti įstaigos  infrastruktūrą  ir gerinti sveikatos priežiūros paslaugų kokybę ir į pacientą orientuotą sveikatos priežiūrą (Optimizuoti ligoninės stacionarinių lovų struktūrą , mažinant stacionarines lovas)</t>
  </si>
  <si>
    <t>Sumažinti 17 stacionarinių   Akušerijos ginekologijos skyriaus lovų, transformuojant jas į 16 Dienos stacionaro ir 1 Anesteziologijos reanimatologijos lovas.  Transformuoti 5 Chirurgijos skyriaus  lovas į ginekologines</t>
  </si>
  <si>
    <t>Organizuoti skyriuje papildomas 2 palatos</t>
  </si>
  <si>
    <t>Užtikrinti nuolatinį skubiosios medicinos pagalbos teikimą  (Užtikrinti B tipo Skubiosios pagalbos skyriaus  veiklą )</t>
  </si>
  <si>
    <t>Reikalingos įrangos komplektacija</t>
  </si>
  <si>
    <t xml:space="preserve">Reikalingos įrangos komplektacija </t>
  </si>
  <si>
    <t>Personalo  skaičiaus atitikimas reikalavimams</t>
  </si>
  <si>
    <t xml:space="preserve">Personalo kompetencijų užtikrinimas </t>
  </si>
  <si>
    <t>Įstaigos funkcijų vykdymo išlaidos. Planuojamas naujos įrangos įsigijimui ir  naudojamos įrangos remontui planuojamos lėšos
(Igalaikio turto  pagerinimo, remonto išlaidos)</t>
  </si>
  <si>
    <t>Naujos įrangos įsigijimas (Medicininės įrangos įsigijimas, anesteziologijos reanimatologijos skyriui)</t>
  </si>
  <si>
    <t xml:space="preserve">(Naujos įrangos įsigijimas) Kompiuterių įsigijimas </t>
  </si>
  <si>
    <t>(Naujos įrangos įsigijimas) EKG aparatai</t>
  </si>
  <si>
    <t>70000 Eur</t>
  </si>
  <si>
    <t>Organizuoti skyriuje papildomas 1 palatos</t>
  </si>
  <si>
    <t xml:space="preserve">Užtikrinti nuolatinį skubiosios medicinos pagalbos teikimą (Užtikrinti RIT  , RIP bei Anestezijos  paslaugų teikimą) </t>
  </si>
  <si>
    <t>Gerinti ir plėsti slaugos ir palaikomojo gydymo ir paliatyviosios pagalbos paslaugas (Gerinti pacientų mitybą, didinti vienviečių palatų skaičių )</t>
  </si>
  <si>
    <t>15 proc.</t>
  </si>
  <si>
    <t xml:space="preserve">Neveiksnių asmenų būklės peržiūrėjimo komisijos inicijuotų asmens būklės peržiūrėjimo bylų skaičius </t>
  </si>
  <si>
    <t>Išnagrinėtų Neveiksnių asmenų būklės peržiūrėjimo komisijos inicijuotų asmens būklės peržiūrėjimo bylų skaičius</t>
  </si>
  <si>
    <t xml:space="preserve">Neveiksnių asmenų būklės peržiūrėjimo komisijos priimtų sprendimų kreiptis į teismą skaičius </t>
  </si>
  <si>
    <t>Atviros ekosistemos atsiskaitymams negrynaisiais pinigais bendrojo ugdymo įstaigų valgyklose kūrimas</t>
  </si>
  <si>
    <t>EGDP</t>
  </si>
  <si>
    <t>Karjeros specialistų tinklo vystymas</t>
  </si>
  <si>
    <t>Spalvotosios emocijos ("Colorful emotions") (Interreg programa)</t>
  </si>
  <si>
    <t xml:space="preserve">Savivaldybės administracijos ir/arba savivaldybės švietimo įstaigų dalyvavimas Švietimo, mokslo ir sporto ministerijos ar jos reguliavimo sričiai priskirtų įstaigų įgyvendinamuose projektuose partnerių pozicijoje tobulinant žmogiškuosius išteklius bei turtinant ugdymo aplinkas, dalyvavimas kituose projektuose, taip pat ir tarptautiniuose. 2024 m. planuojama įgyvendinti projektus pagal jau pasirašytas partnerystės sutartis projektų įgyvendinimui:
-Atviros ekosistemos atsiskaitymams negrynaisiais pinigais bendrojo ugdymo įstaigų valgyklose kūrimas (dalyvauja 5 mokyklos);
-Karjeros specialistų tinklo vystymas (dalyvauja "Gerosios vilties" progimnazija, "Verdenės" gimnazija, Švietimo pagalbos tarnyba);
-Spalvotosios emocijos ("Colorful emotions") (Interreg programa) (įgyvendina "Auksinis gaidelis"). </t>
  </si>
  <si>
    <t xml:space="preserve">2024 m. planuojama įrengti patalpas, suburti žmogiškuosius išteklius, suderinti bendrojo ugdymo programų turinį su Niutono kambario turiniu, taip pat pasirašyti partnerystės sutartis, dalyvauti stažuotėse, mokėti tinklo dalyvio mokestį, vykdyti kitas veiklas, būtinas koncepto startui. </t>
  </si>
  <si>
    <t>Vaikų, pasinaudojusių pavėžėjimo paslaugomis naujai įsigytomis transporto priemonėmis</t>
  </si>
  <si>
    <t>Sudaryti sąlygas  ugdyti vaikus ikimokyklinėse, bendrojo lavinimosi ir neformalaus švietimo įstaigose pagal patvirtintas ugdymo programas, teikti pedagoginę, psichologinę, metodinę, aprūpinimo transportu ir kitą pagalbą mokiniams, mokytojams ir mokykloms</t>
  </si>
  <si>
    <t xml:space="preserve">Individualių namų kvartalo vystymas </t>
  </si>
  <si>
    <t>Būtina numatyti teritorijos plėtrą. I-ame etape įrengti 9 kvartalai. Pagal įvairias konfesijas, laidojama vienu metu keliuose kvartaluose. 2023-12-08 pasirašyta Visagino naujų kapinių, esančių Dūkšto kel. 62, Visagino savivaldybėje, statybos II etapo darbų sutartis Nr.  5-534.</t>
  </si>
  <si>
    <t xml:space="preserve">Rodiklio reikšmė
2023m. </t>
  </si>
  <si>
    <t>118 (2024-01-02 duomenimis)</t>
  </si>
  <si>
    <t>Švietimo pagalbos specialistų, tenkančių 100-ui ikimokyklinio ugdymo įstaigų mokinių</t>
  </si>
  <si>
    <t xml:space="preserve">21 darbuotojas, 2,77 proc. </t>
  </si>
  <si>
    <t>3 proc</t>
  </si>
  <si>
    <t>100 (270 mokinių turinčių spec. ugdymo poreikių)</t>
  </si>
  <si>
    <t xml:space="preserve">Lopšelio-darželio „Auksinis gaidelis“, vaikų lopšelių-darželių „Auksinis raktelis“, „Ąžuoliukas“, „Gintarėlis“, „Kūlverstukas“, „Verdenės“ gimnazijos, „Žiburio“ pagrindinės mokyklos, „Atgimimo“ gimnazijos, Draugystės ir „Gerosios vilties“ progimnazijų, Visagino kūrybos ir menų akademijos, Švietimo pagalbos tarnybos veiklos organizavimas ir paslaugų užtikrinimas.  Priemonės įgyvendinimui stebėti stebėsenos rodikliai, patvirtinti Visagino savivaldybės švietimo stebėsenos rodiklių sąraše, patvirtintame 2022-03-14 Visagino savivaldybės administarcijos direktoriaus įsakymu Nr. ĮV-E- 123 "Dėl Visagino savivaldybės švietimo stebėsenos rodiklių sąrašo patvirtinimo" </t>
  </si>
  <si>
    <t xml:space="preserve">Mokinių, besimokančių lopšelyje-darželyje „Auksinis gaidelis“, vaikų lopšeliuose-darželiuose „Auksinis raktelis“, „Ąžuoliukas“, „Gintarėlis“, „Kūlverstukas“ pagal ikimokyklinio ir priešmokyklinio ugdymo programas, „Verdenės“ gimnazijoje, „Žiburio“ pagrindinėje mokykloje, „Atgimimo“ gimnazijoje, Draugystės ir „Gerosios vilties“ progimnazijose pagal pradinio, pagrindinio ir vidurinio ugdymo programas mokymo reikmėms tenkinti, Visagino kūrybos ir menų akademijos neformaliojo vaikų bei formalųjį švietimą papildančio ugdymo programoms įgyvendinti, Švietimo pagalbos tarnybos neformaliojo suaugusiųjų švietimo programoms įgyvendinti, pedagoginei psichologinei pagalbai teikti.  Priemonės įgyvendinimui stebėti stebėsenos rodikliai, patvirtinti Visagino savivaldybės švietimo stebėsenos rodiklių sąraše, patvirtintame 2022-03-14 Visagino savivaldybės administarcijos direktoriaus įsakymu Nr. ĮV-E- 123 "Dėl Visagino savivaldybės švietimo stebėsenos rodiklių sąrašo patvirtinimo" </t>
  </si>
  <si>
    <t>Savivaldybės 3–5 metų vaikų, ugdomų ne savivaldybės mokyklose, dalis proc.</t>
  </si>
  <si>
    <t>ŠVIS,Mokinių registras</t>
  </si>
  <si>
    <t>Naujai nutiestų dviračių takų ilgis (km)</t>
  </si>
  <si>
    <t>Įrengtų dviračių saugojimo ir dalinimosi aikštelių skaičius</t>
  </si>
  <si>
    <t>10.01.02.01. (PP)</t>
  </si>
  <si>
    <t xml:space="preserve">Projekto veiklų įgyvendinimas baigtas 2023 m. Įgyvendinant projektą buvo įgyvendintos 7 darnaus judumo priemonės:
 - Įrengta automobilių stovėjimo aikštelė šalia Visagino geležinkelio stoties;
 - Įrengtos dviračių saugojimo aikštelės šalia Visagino mokyklų – 4 vnt.;
 - Viešojo transporto stotelės pritaikytos specialiųjų poreikių turintiems žmonėms - 10 vnt.;
 - Pritaikyti SPTŽ pėsčiųjų takai Taikos pr. ir Santarvės g.;
 - Įrengta neregių vėdimo sistema nuo Kosmoso g. 28 gyvenamojo namo, kuriame yra socialinis būstas;
 - Įrengtas kriptinis  apšvietimas šalia pėsčiųjų perėjų - 15 vnt.;
 - Įrengti 2 skaitmeniniai ekranai su maršrutų informacija bei tvarkaraščiais. </t>
  </si>
  <si>
    <t>Priemonė įgyvendinama  KPP programos lėšomis  pagal su AB Lietuvos automobilių kelių direkcija sudaroma finansavimo sutartį ir Visagino savivaldybės mero patvirtintą objektų sąrašą.  KPPP lėšomis 2024 m. numatomi vykdyti objektai: 
1)  Įvažiavimo į kiemą Nr. 109,112 rekonstravimas; 
2) Įvažiavimo į kiemą Nr. 312 rekonstravimas; 
3) Laboratoriniai kokybės kontrolės bandymai, kelių su asfaltbetonio danga priežiūra, ženklinimas, kelio ženklai, gatvių asfaltbetonio dangos paprastasis remontas.
Savivaldybės biudžeto lėšomis planuojama prisidėti prie įvažiavimo į kiemą Nr. 109, 112 ir Nr. 312 rekonstravimo, atlikti apie 31 vnt. DWG formato failų, dviračių takų brėžinių, konvertavimą į SHP formato failus. Failų konvertavimas būtinas norint duomenis pateikti Lietuvos Respublikos Susisiekimo ministerijai, kad Visagino savivaldybės dviračių takai būtų įtraukti į nacionalinį dviračių ir pėsčiųjų infrastruktūros plėtros žemėlapį,</t>
  </si>
  <si>
    <t xml:space="preserve">Projekto veiklos baigtos įgyvendinti 2023 m. </t>
  </si>
  <si>
    <t xml:space="preserve">2023-03-30 Visagino savivaldybės tarybos sprendimo Nr. TS-84 "Dėl pritarimo projekto  „Individualių namų kvartalo vystymo susisiekimo komunikacijų  ir inžinerinių tinklų Visagino mieste įrengimas“ įgyvendinimui". Projekto tikslas – suprojektuoti ir įrengti naujo gyvenamųjų namų kvartalo, apimančio Gervės g., Ateities g., Tautų al., Šeimos g., Laisvės g., Visagino mieste, viešąją infrastruktūrą. Projekto įgyvendinimo laikotarpis – iki 2030 metų.Projektą įgyvendinančios institucijos – Visagino savivaldybės administracija, UAB ,,Visagino energija“, UAB ,,Visagino būstas“. Projekto įgyvendinimo užtikrinimui Visagino savivaldybės administracija privalo užtikrinti Visagino savivaldybės biudžeto lėšomis finansuojamą išlaidų dalį pagal Projekto skaičiuojamąsias kainas atitinkamiems etapams iki 2030 metų, reikalingą Projekto veikloms vykdyti ir Projekto rezultatams pasiekti. Iš viso suformuoti 99 sklypai mažaukščių namų statybai, iš jų 2023 m. buvo parduota 32 sklypai. 
Taip pat buvo vykdomos konsultacijos su Valstybinė teritorijų planavimo ir statybos inspekcija prie Aplinkos ministerijos, viešųjų pirkimų konsultacijos su potencialiais projektuotojais, bei atsižvelgiant į gautas pastabas derinama ir parengta techninė projektavimo užduotis. </t>
  </si>
  <si>
    <t xml:space="preserve">Bus nugriauti nebaigti statyti daugiabučiai gyvenamieji namai Sedulinos al. 36,40, Visagine pagal 2021-12-23 sprendimą Nr. TS-274. Pasirašyta griovimo darbų sutartis su rangovu. Griovimo darbų pabaiga- 2024 m. gegužės mėnesį. 
Taip pat planuojamos lėšos tualeto, esančio Energetikų g. (3 mikrorajone šalia turgaus), griovimui. </t>
  </si>
  <si>
    <t>Viešosiose teritorijose įrengtų  automobilių stovėjimo aikštelių/perėjų skaičius</t>
  </si>
  <si>
    <t>10.02.03.02. (TP)</t>
  </si>
  <si>
    <t>Savivaldybės viešųjų pastatų, taikant energijos išteklių panaudojimo efektyvumo didinimo priemones, modernizavimas</t>
  </si>
  <si>
    <t xml:space="preserve">Parengtų investicinių projektų skaičius </t>
  </si>
  <si>
    <t xml:space="preserve">Pastato, esančio Vilties g. 3 rekonstravimo ir atlaisvintos teritorijos sutvarkymas, pritaikant daugiafunkcinio centro įrengimui </t>
  </si>
  <si>
    <t>Įgyvendinant priemonę planuojama ieškoti sprendimo būdų ir  finansavimo galimybių, pastato, esančio Vilties g. 3, rekonstravimui ir pritaikymui daugiafunkcinio centro įrengimui.</t>
  </si>
  <si>
    <t xml:space="preserve">Priemonė įgyvendinama pagal poreikį.  </t>
  </si>
  <si>
    <t xml:space="preserve">2023 m. projekto veiklų įgyvendinima baigtas. Lėšos planuojamos sumokėti Rangovui sulaikytas lėšas 5 proc. nuo rangos sutarties vertės. 50 proc. lėšų bus grąžintos iš Aplinkos projektų valdymo agentūros patvirtinus galutinį mokėjimo prašymą.  Galutinis mokėjimo prašymas bus pateiktas baigus statybos užbaigimo prodecūras t, y. kai bus gautas statybos užbaigimo aktas. 
</t>
  </si>
  <si>
    <t xml:space="preserve"> </t>
  </si>
  <si>
    <t xml:space="preserve">Projekto veiklų įgyvendinimas baigtas 2023 m.  2024 m. planuojama teikti galutinį mokėjimo prašymą ir užbaigti projekto įgyvendinimą. Lėšos planuoajmos techninio projekto A laidos apmokėjimui. </t>
  </si>
  <si>
    <t>05.01.01.06. (TP)</t>
  </si>
  <si>
    <t>perkelta į 5 programą</t>
  </si>
  <si>
    <t>Planuojama remontuoti apšvietimo tinklų kabelines linijas, atlikti elektros varžų matavimus, elektros linijų ir apskaitos skydų montavimus, kitus elektros energijos tiekimo montavimo ir priežiūros darbus (eksploatavimo išlaidos). Įgyvendinant  Visagino gatvių apšvietimo sistemos modernizavimo projektą, buvo pakeista tik dalis virš 30% kabelių ir kabeliniu linijų, siekiant užtikrinti korektišką apšvietimo sistemos darbą, būtina tvarkyti sugedusius kabelius taip pat eksploatuoti apšvietimo sistemas pramonės zonoje (nebuvo modernizuotos). Pagal gautus gyventojų prašymus tikslinga įrengti naujas linijas būtinų vietų apšvietimui.</t>
  </si>
  <si>
    <t>Sutvarkytų bešeimininkių atliekų kiekis, t</t>
  </si>
  <si>
    <t>2024-2025 metais kolektyvinės atliekų tvarkymo aikštelėse įdiegti 
ne mažiau kaip 35  pažangias vaizdo stebėjimo sistemas, kurios leis kokybiškai įgyvendinti Visagino savivaldybės tarybos 2016 m. sprendimo Nr. TS-86 "Dėl Visagino savivaldybės atliekų tvarkymo taisyklių patvirtinimo“ pakeitimo"  nuostatas, bei mažins patiriamus kaštus dėl bešeimininkių atliekų tvarkymo.</t>
  </si>
  <si>
    <t xml:space="preserve">Projektą planuojama įgyvendinti 2021-2027 m.  Europos Sąjungos investicijų programos lėšomis.  Paraišką projekto finansavimui gauti planuojama teikti 2024  m. IV ketvirtyje. Planuojama, kad paraiška teiks UAB Utenos regiono atliekų tvarkymo centras. Visagino savivaldybės administracija bus projekto partneris.  Įgyvendinant projektą planuojamos šios veiklos:
1) Didelių gabaritų atliekų surinkimo aikštelės Visagino savivaldybėje, t. y. Taikos pr. 27, Visagine įrengimas;
2) Didelių gabaritų atliekų surinkimo aikštelėje Visagino savivaldybėje, t. y. Taikos pr. 27, Visagine, įrengti 1 uždaro tipo dalijimosi daiktais aikštelę. </t>
  </si>
  <si>
    <t xml:space="preserve">Projektą planuojama įgyvendinti 2021-2027 m.  Europos Sąjungos investicijų programos lėšomis.  Paraišką projekto finansavimui gauti planuojama teikti 2024  m. IV ketvirtyje. Įgyvendinant projektą planuojamos šios veiklos:
 - techninės dokumentacijos parengimas;
 - 40-ies aikštelių plėtra, įrengiant 40 vnt. maisto /virtuvės atliekų pusiau požeminių konteinerių (1,3 m3 talpos) ir 10 vnt. tekstilės atliekų antžeminių konteinerių bei įrengiant infrastruktūrą esamiems 10 tekstilės konteineriams;
 - 40 vnt. konteinerių maisto /virtuvės ir 10 vnt. tekstilės atliekų surinkimo konteinerių įsigijimas;
 -  600 vnt. kompostavimo dėžių, siekiant didinti žaliųjų atliekų rūšiavimą (veikla nebus finansuojama projekto lėšomis);
 - 90 vnt. (240 l talpos) maisto/virtuvės atliekų surinkimo konteinerių (veikla nebus finansuojama projekto lėšomis).
</t>
  </si>
  <si>
    <t>08.01.05.01. (PP)</t>
  </si>
  <si>
    <t xml:space="preserve">Projektą planuojama įgyvendinti 2021-2027 m.  Europos Sąjungos investicijų programos lėšomis. Paraiška projekto finansavimui gauti pateikta 2023 m. gruodžio mėn. Projekto finanansavimo ir administravimo sutartį planuojama pasirašyti 2024 m. II ketvirtyje. Planuojamos įgyvendinti projekto  veiklos:
1) Techninio projekto parengimas;
2) Esamų savivaldybės valdomo gyvenamojo fondo patalpų (bendrabučio kambarių) kapitalinis remontas, pritaikant socialiniams būstams 23 butus (1 fligelį), planuojamas plotas 1308,6 kv. m.  
Planuojama darbų pradžia 2024 m. IV ketvirtis.  
</t>
  </si>
  <si>
    <t>06.02.01.12. (PP)</t>
  </si>
  <si>
    <t>06.02.01.13. (PP)</t>
  </si>
  <si>
    <t>06.02.01.14. (PP)</t>
  </si>
  <si>
    <t>06.02.01.15. (PP)</t>
  </si>
  <si>
    <t>06.02.01.09. (PP)</t>
  </si>
  <si>
    <t>Projekto vykdytojas: Valstybės vaiko teisių apsaugos ir įvaikinimo tarnyba prie Socialinės apsaugos ir darbo ministerijos. Projekto partneriai: Visagino savivaldybės administracija ir Visagino šeimos ir vaiko gerovės centras. 
Projekto tikslas – diegti ir vystyti paslaugas, kurios skatintų ir palaikytų vaikų globą šeimos aplinkoje, užtikrinant vaikų poreikius ir saugumą. Projekto laikotarpiu bus teikiamos bendruomeninės paslaugos tėvų globos netekusiems vaikams, įskaitant kūdikius. Siekiama užtikrinti vaikų teises turėti šeimą ir augti saugioje aplinkoje. Taip pat numatoma visų savivaldybių globos centrų specialistų kompetencijų kėlimas, globėjų ir įtėvių rengimo programos tobulinimas, teisės aktų pakeitimai tobulinant vaikų globos sistemą, tinklaveika, visuomenės švietimas ir viešieji ryšiai nacionaliniu ir savivaldybės lygiais, numatoma plėtoti budinčių globotojų institutą, bei įdiegti nuolatinių globotojų institutą. Projekto lėšomis  finansuojamas globos koordinatoriaus (1,25 etato), psichologo (0,6 etato) darbo užmokestis.
Projekto pradžia - 2023-07-01
Projekto pabaiga - 2026-06-30</t>
  </si>
  <si>
    <t>Paslaugų socialiai pažeidžiamiems, socialinę riziką (atskirtį) patiriantiems asmenims vietų skaičius naujoje ar modernizuotoje infrastruktūroje</t>
  </si>
  <si>
    <t>Socialiai pažeidžiamų, socialinę riziką (atskirtį) patiriančių asmenų, gavusių paslaugas naujoje ar modernizuotoje infrastruktūroje skaičius per metus“</t>
  </si>
  <si>
    <t>500</t>
  </si>
  <si>
    <t xml:space="preserve">Projektą planuojama įgyvendinti 2021-2027 m. Europos Sąjungos investicijų programos lėšomis. Projekto metu planuojama modernizuoti Visagino socialinių paslaugų centro Bendruomenės skyriaus (SPK 18.7 p.), esančio adresų Vilties g. 1, Visagine, patalpas ir jas pritaikyti Visagino bendruomenės užimtumui, socialinei integracijai, vystyti ir teikti bendruomenės centro,  dienos centro senyvo amžiaus asmenims paslaugas..  Planuojama, kad 2024 m. bus bus pradėta  rengti dokumentacija, reikalinga projekto finansavimui gauti. 
</t>
  </si>
  <si>
    <t xml:space="preserve">Projektą planuojama įgyvendinti 2021-2027 m. Europos Sąjungos investicijų programos lėšomis. Projekto  veiklomis planuojama prisidėti prie asmenų sergančių demencija, turinčių  kraujagyslinius, judėjimo, suvokimo, regos, organinius ir kitus sutrikimus kokybiškos priežiūros bei pastatyti priestatą su 10 papildomų vietų, ji sujungiant su esamo pastato infrastruktūra. Naujus kambarius planuojama pritaikyti intensyviai priežiūrai ir slaugai, juose bus  apgyvendinti asmenys sergantys gilia demencija. 
Taip pat planuojama įrengti 10 vienviečių kambarių, su higienos patalpomis (tualetai ir dušai) (planuojamas plotas ~180 m2), įrengti kineziterapijos erdvę (planuojamas   plotas ~30 m2), slaugytojo, procedūrinį, tvarsliavos ir medikamentų kabinetus (planuojamas plotas ~30 m2), sensorinį kambarį su įranga, skirta prisiminimams atgaivinti, lavinimui, taip pat abstraktiems modeliams, kuriems reikia mažai koncentracijos, skirta lavinti naudotojo judesių koordinaciją, reakciją, loginį mąstymą ir komandinį bei individualų darbą, skirta valdyti jutimų (regėjimo, garso, prisilietimo, skonio, kvapo ir judesio) stimuliavimą, vaizdinei, garsinei ir lytėjimo stimuliacijai, ergoterapijai ir motorikos lavinimui, regėjimo ir lytėjimo stimuliacijai, interaktyviai veiklai, valdyti interaktyvią aplinką ir pan.,  uždarą lauko terasą, kuri būtų pritaikyta naudoti šaltuoju sezonu, kuria naudotųsi paslaugų gavėjai (atsižvelgiant į ligos būseną, kuomet jiems dėl orientacijos sutrikimų sunkiai pritaikomi modeliai būti lauke), planuojamas plotas ~ 50 m2, terasą integruojant į esamą infrastruktūrą. Taip pat planuojama įrengti lauko erdvių infrastruktūrą centro paslaugų gavėjams. 
Projekto metu planuojama įsigyti baldus, įrangą, priemones paslaugoms teikti. 
2024 m. planuojamas projektinių dokumentų rengimas. </t>
  </si>
  <si>
    <t>Naujos arba modernizuotos socialinės rūpybos infrastruktūros (ne būsto) talpumas</t>
  </si>
  <si>
    <t>Naujos arba modernizuotos socialinės rūpybos infrastruktūros naudotojų skaičius per metus</t>
  </si>
  <si>
    <t>07.01.01.10. (PP)</t>
  </si>
  <si>
    <t>07.01.01.11. (PP)</t>
  </si>
  <si>
    <t>07.01.01.12. (PP)</t>
  </si>
  <si>
    <t>Įgyvendinant Visagino savivaldybės 2024-2026 m. strateginį veiklos planą,  vadovaujamasi 2023-2030 m.  strateginiame plėtros plane numatytais prioritetais tikslais ir planuojamais pasiekti rezultatais:</t>
  </si>
  <si>
    <t xml:space="preserve">1 prioritetas </t>
  </si>
  <si>
    <t>Konkurencingo verslo skatinimas ir vietinės ekonomikos tvari plėtra</t>
  </si>
  <si>
    <t>2 prioritetas</t>
  </si>
  <si>
    <t xml:space="preserve"> Socialinės gerovės kūrimas, sumaniai, pažangiai, besimokančiai, moderniai ir laimingai bendruomenei</t>
  </si>
  <si>
    <t>3 prioritetas</t>
  </si>
  <si>
    <t xml:space="preserve"> Tvarus, subalansuotas savivaldybės aplinkos vystymas ir plėtra</t>
  </si>
  <si>
    <t>Įvykusių tarybos posėdžių skaičius /organizuotų rinkimų skaičius</t>
  </si>
  <si>
    <t xml:space="preserve">Įgyvendinant šią priemonę bus užtikrinamas Lietuvos Respublikos vietos savivaldos įstatymo 12 straipsnis, kuris numato, kad savivaldybės tarybos nariams už darbą atliekant savivaldybės tarybos nario pareigas yra atlyginama (apmokama). Taip pat įgyvendinant šią priemonę bus organizuojami Lietuvos Respublikos Prezidento, Europos Parlamento ir Seimo  rinkimai. </t>
  </si>
  <si>
    <t>12/3</t>
  </si>
  <si>
    <t>12/0</t>
  </si>
  <si>
    <t>UAB Visagino 
mechanizacija auditas 600 Eur</t>
  </si>
  <si>
    <t>Parko g. 14 schemos padalinimas</t>
  </si>
  <si>
    <t xml:space="preserve">Įgyvendinant priemonę bus įgyvendinamas Visagino savivaldybės korupcijos prevencijos 2022–2024 metų veiksmų planas. Įgyvendinant jame numatytas priemones bus vykdomas švietimas antikorupcine tema bei organizuotas Antikorupcijos dienos paminėjimas. </t>
  </si>
  <si>
    <t xml:space="preserve">Įgyvendinant priemonę planuojama modernizuoti
 savivaldybės posėdžių sistemą, svetainėje www.visaginas.lt planuojama įdiegti skaitmeninį sprendimą leisiantį dalyvaujamo biudžeto balsavimą organizuoti skaitmeniniu būdu, taip pat automatizuoti gyventojų aptarnavimą "viename langelyje" </t>
  </si>
  <si>
    <t xml:space="preserve">Visagino savivaldybės administracinės naštos mažinimo priemonių planas yra neatsiejama Visagino savivaldybės valdymo tobulinimo programos dalis. Išsami informacija pateikiama VI skyriuje. </t>
  </si>
  <si>
    <t xml:space="preserve">Visagino savivaldybės administracija </t>
  </si>
  <si>
    <t xml:space="preserve">Visagino kūrybos ir menų akademija </t>
  </si>
  <si>
    <t xml:space="preserve">Įgyvendinant šią priemonę planuojama vykdyti ES bendrajame duomenų apsaugos reglamente numatytas funkcijas. Tam tikslui pasirašyta duomenų apsaugos pareigūno paslaugų sutartis. 
Taip pat užtikrinamas visų biudžetinių įstaigų bendrosios civilinės atsakomybės draudimo sutartinių įsipareigojimų vykdymas (pasirašyta sutartis) </t>
  </si>
  <si>
    <t>2023 m. LED ekrano įsigijimui suplanuota 143 990 Eur. Panaudota 2023-09-18  50820 Eur, iš jų 48400 Eur už konstrukciją, 2420 Eur autorinė priežiūra</t>
  </si>
  <si>
    <t xml:space="preserve">
Visagino skaitmeninio miesto dvynio informacinės sistemos sukūrimas</t>
  </si>
  <si>
    <t xml:space="preserve">Savivaldybės taryba </t>
  </si>
  <si>
    <t>Mero fondas</t>
  </si>
  <si>
    <t>Įgyvendinat priemonę planuojama skirti daugiau dėmesio Visagino savivaldybės įvaizdžiui užsienio šalyse formuoti ir savivaldybės veiklos užsienio ryšių klausimams koordinuoti, taip pat kviesti miestų partnerių atstovus į kultūros sporto renginius, plėsti bendradarbiavimo su užsienio parneriais ratą. Stiprinti tarptautinį bendradarbiavimą bendradarbiaujant vietos valdžios institucijoms, keičiantis gerąja patirtimi, ieškant pažangių sprendimų, kuriant ir diegiant inovacijas ir kt.</t>
  </si>
  <si>
    <t xml:space="preserve">VšĮ Visagino edukacijų centras </t>
  </si>
  <si>
    <t>Ši priemonė įgyvendinama vadovaujantis Neformaliojo vaikų švietimo programų finansavimo ir administravimo tvarkos aprašu, patvirtintu Lietuvos Respublikos švietimo, mokslo ir sporto ministro 2022 m. sausio 10 d. įsakymu Nr. V-46 „Dėl Neformaliojo vaikų švietimo programų finansavimo ir administravimo tvarkos aprašo patvirtinimo“. Neformaliojo vaikų švietimo lėšos savivaldybei skiriamos Lietuvos Respublikos švietimo, mokslo ir sporto ministro įsakymu einamiesiems kalendoriniams metams. Šios lėšos savivaldybei apskaičiuojamos visas neformaliojo vaikų švietimo lėšas padalinus iš Lietuvos mokinių, kurie praėjusių kalendorinių metų rugsėjo 1 d. mokėsi pagal bendrojo ugdymo programas, skaičiaus ir padauginus iš savivaldybėje praėjusių kalendorinių metų rugsėjo 1 d. besimokiusių mokinių skaičiaus. Neformaliojo vaikų švietimo lėšas savivaldybė naudoja neformaliojo vaikų švietimo programoms finansuoti ir aukščiau minėto aprašo įgyvendinimui administruoti, neviršijant 3 proc. savivaldybei skirtos lėšų sumos. Taip pat šia priemone bus užtikrinta viešosios įstaigos Visagino edukacijų centro viešųjų paslaugų teikimas.</t>
  </si>
  <si>
    <t xml:space="preserve">VšĮ Visagino sporto ir rekreacijos centras </t>
  </si>
  <si>
    <t xml:space="preserve">VšĮ Visagino futbo centras </t>
  </si>
  <si>
    <t>VšĮ Visagino krepšinio mokykla</t>
  </si>
  <si>
    <t xml:space="preserve">VšĮ Visagino graikų romėnų imtynių centras </t>
  </si>
  <si>
    <t>trenkturas, rali</t>
  </si>
  <si>
    <t>Kompensacija gyventojams 
už naudojimasi baseino paslaugomis</t>
  </si>
  <si>
    <t>19000 muziejaus skaitmeninei įrangai įsigyti
76000 muziejaus veiklai
5000 įsikūrimui</t>
  </si>
  <si>
    <t xml:space="preserve">VšĮ Visagino muziejus paskirties keitimas </t>
  </si>
  <si>
    <t>Gatvės muzikos diena+12 nemokamų muzikos vakarų viešosiose erdvėse (20000 Eur)</t>
  </si>
  <si>
    <t>05.04.01.02. (PP)</t>
  </si>
  <si>
    <t xml:space="preserve">Visagino savivaldybės administarcija </t>
  </si>
  <si>
    <t>Nuo 2024 m. liepos 1 d. socialinių paslaugų planui įgyvendinti</t>
  </si>
  <si>
    <t>VSA (ŠVGC)</t>
  </si>
  <si>
    <t>darbai</t>
  </si>
  <si>
    <t>prie=i8ra</t>
  </si>
  <si>
    <t>Organizuotų išvykų skaičius/Dalyvių skaičius</t>
  </si>
  <si>
    <t>26000 Eur šunų vedžiojimo aikštelės įrengimas, 40000 Eur Padėk man,
 kačių šėrimo vietų įrengimas 4000 Eur</t>
  </si>
  <si>
    <t>Jungtinės veiklos koordinatiaus veiklso užtikrinimas (VEPA)</t>
  </si>
  <si>
    <t xml:space="preserve">Kultūros centro, Atgimimo gimnazijos, Verdenės gimnazijos kabinetų išlaikymas </t>
  </si>
  <si>
    <t xml:space="preserve">Gerosios vilties atraminių sienučių remontas </t>
  </si>
  <si>
    <t xml:space="preserve"> mažosios architektūrinės formos</t>
  </si>
  <si>
    <t>viešojo dizaino elementas</t>
  </si>
  <si>
    <t>Gelynų (klombų) Parko g. ir Santarvės aik. Remontas</t>
  </si>
  <si>
    <t>Visagino g. vizualizacija</t>
  </si>
  <si>
    <t>Geležinkelio tako priežiūra</t>
  </si>
  <si>
    <t xml:space="preserve">Gervės stelos remontas </t>
  </si>
  <si>
    <t>Santarvės aikštės želdynų projektas</t>
  </si>
  <si>
    <t>95000 laiptai</t>
  </si>
  <si>
    <t xml:space="preserve">stoginės pastatymas ir generatoriaus pajungimas </t>
  </si>
  <si>
    <t>generatorius+stogin4</t>
  </si>
  <si>
    <t xml:space="preserve">Visagino mechanizacija audito paslaugoms apmokėti </t>
  </si>
  <si>
    <t>Apleistų buvusių gimdymo namų komunalinių paslaugų apmokėjimas (Taikos pr. 15 D)</t>
  </si>
  <si>
    <t>2023-11-10  Pastatų šilumos punktų priežiūros paslaugų pirkimo-pardavimo sutartis Nr. 5-501</t>
  </si>
  <si>
    <t>2022-09-27 Pirkimo sutartis Nr.5-452 (Parko g. 14 statinio techninės priežiūros sutartis)</t>
  </si>
  <si>
    <t>2023-08-21 Pirkimo sutartis Nr.5-383  (Vilties g. 3, Draugystės g. 10, Taikos per. 15D, Taikos pr. 23,  statinio techninės priežiūros sutartis)</t>
  </si>
  <si>
    <t>Apleistų pastatų komunalinių paslaugų apmokėjimui (Draugystės g. 10, Vilties g. 3, Taikos pr. 23)</t>
  </si>
  <si>
    <t>Įgyvendinant šią priemonę bus užtikrinama Lietuvos Respublikos vietos savivaldos įstatymo 67 straipsnio 3 dalis, kuri numato, kad savivaldybės taryba savivaldybės biudžete nustato savivaldybės kontrolės ir audito tarnybai skiriamų asignavimų dydį.</t>
  </si>
  <si>
    <t>Įgyvendinant šią priemonę planuojama tinkamai valdyti ir administruoti savivaldybės turtą, išlaikyti savivaldybės pastatus, gyvenamąsias ir negyvenamąsias patalpasTaip pat įgyvendinant šią priemonę bus vykdoma savivaldybės administracijos patikėjimo teise valdomų statinių ir bendrojo naudojimo inžinerinių tinklų techninė priežiūra pagal statybos techninio reglamento STR 1.03.07:2017 „Statinių techninės ir naudojimo priežiūros tvarka. Naujų nekilnojamojo turto kadastro objektų formavimo tvarka“ reikalavimus bei užtikrinta Visagino savivaldybės administracijos valdomų pastatų šilumos sistemų ir šilumos punktų priežiūra bei remontas  pagal Šilumos tinklų ir šilumos vartojimo įrenginių priežiūros (eksploatavimo) taisyklių reikalavimus</t>
  </si>
  <si>
    <t>Savivaldybės posėdžių sistemos modernizavimas (Taryba)</t>
  </si>
  <si>
    <t xml:space="preserve">Svetainėje www.visaginas.lt planuojama įdiegti skaitmeninį sprendimą leisiantį dalyvaujamo biudžeto balsavimą organizuoti skaitmeniniu būdu
</t>
  </si>
  <si>
    <t xml:space="preserve">Dokumentų valdymo siistemos modernizavimas </t>
  </si>
  <si>
    <t>Debesijos paslaugų įsigijimas ir/arba informacinių sistemų perkėlimas į valstybės duomenų centro debesiją</t>
  </si>
  <si>
    <t xml:space="preserve">Licencijų įsigijimas </t>
  </si>
  <si>
    <t xml:space="preserve">Turto valdymo, viešųjų pirkimo, turto inventarizacijos modulių įsigijimas </t>
  </si>
  <si>
    <t xml:space="preserve"> Kopijų saugojimo tarnybinės stoties įsigijimas</t>
  </si>
  <si>
    <t xml:space="preserve">administracijos personalo motyvavimo programos ir atostogų modulio įsigijimas </t>
  </si>
  <si>
    <t xml:space="preserve">Naujai įrengto ekrano aptarnavimas </t>
  </si>
  <si>
    <t xml:space="preserve">Naujas ekranas Sedulinos alėjoje </t>
  </si>
  <si>
    <t xml:space="preserve">Naujas Gervės ekranas </t>
  </si>
  <si>
    <t xml:space="preserve">Gyventojų informavimas (VSA) , vertimo paslaugos </t>
  </si>
  <si>
    <t xml:space="preserve">Kūlverstukas jubiliejus </t>
  </si>
  <si>
    <t>02.01.03.01 (PP)</t>
  </si>
  <si>
    <t>Kompleksinėms paslaugoms šeimai organizuoti (KOPA)</t>
  </si>
  <si>
    <t>06.02.01.05. (PP)</t>
  </si>
  <si>
    <t>06.01.03.14. (PP)</t>
  </si>
  <si>
    <t xml:space="preserve">VšĮ Visagino ekonomikos plėtros agentūra </t>
  </si>
  <si>
    <t xml:space="preserve">Aplinkos apsaugos lėšos </t>
  </si>
  <si>
    <t>Apinkos apsaugos lėšos</t>
  </si>
  <si>
    <t xml:space="preserve">Tarybos salės darbuotojų praplėtimas , tarybos posėdžių sekretoriaus vieta </t>
  </si>
  <si>
    <t>Ekrano demontavimas Sedulinos alėjoje  atsiskaitymas</t>
  </si>
  <si>
    <t>tarybos vertimas+spauda, viešinimas</t>
  </si>
  <si>
    <t xml:space="preserve">Į2024 metais planuojama atlikti Kosmoso g. 30, Visagine, 20 blokų paprastąjį remontą. </t>
  </si>
  <si>
    <t>Didinti vaikų ir jaunimo socioedukacinių veiklų, socialiai prasmingo užimtumo, profesinio mokymo saviraiškos bei švietimo pagalbos įvairovę ir prieinamumą</t>
  </si>
  <si>
    <t>Užtikrinti profesinio orientavimo paslaugų teikimą įvairaus amžiaus mokiniams bendrojo ugdymo mokyklose</t>
  </si>
  <si>
    <t xml:space="preserve">Įgyvendinant priemonę bus užtikrintas karjeros konsultavimo paslaugų teikimas mokiniam bei  įdarbinti karjeros specialistai, teikiantys profesinio orientavimo paslaugas mokiniams bendrojo ugdymo mokyklose. </t>
  </si>
  <si>
    <t xml:space="preserve">Mero ir politinio pasitikėjimo valstybės tarnautojai </t>
  </si>
  <si>
    <t>Esant poreikiui būtų mokamos kompensacijos už autobuso bilietus pensininkams ar neįgaliesiems (nuolaidos nuo 50 proc. iki 80 proc.).Makaravo kaimas mokamas maršrutas 1 eur -1 kartas, 1 mėn. 30 eur</t>
  </si>
  <si>
    <t xml:space="preserve">Visagino kūrybos ir menų akakdemija </t>
  </si>
  <si>
    <t xml:space="preserve">Gerosios vilties progimnazijos direktorius </t>
  </si>
  <si>
    <t xml:space="preserve">Verdenės gimnazijos direktorius </t>
  </si>
  <si>
    <t xml:space="preserve">Švietimo pagalbos direktorius </t>
  </si>
  <si>
    <t xml:space="preserve">Visagino savivaldybės 2024 m. asignavimai iš valstybės biudžeto lėšų ir kitų dotacijų </t>
  </si>
  <si>
    <t>Visagino savivaldybės 2024 m. asignavimai iš valstybės biudžeto lėšų ir kitų dotacijų  (SD)</t>
  </si>
  <si>
    <t>Kita SD</t>
  </si>
  <si>
    <t>2024 m. Visagino savivaldybės asignavimai iš valstybės biudžeto specialios tikslinės dotacijos savivaldybių biudžetams lėšų (SB) D</t>
  </si>
  <si>
    <t>Skirta ugdymo reikmėms finansuoti (MK)</t>
  </si>
  <si>
    <t>Kita speciali tikslinė dotacija (SD)</t>
  </si>
  <si>
    <t>2024 m. Visagino savivaldybės asignavimai iš valstybės biudžeto specialios tikslinės dotacijos savivaldybių biudžetams lėšų SB (D)</t>
  </si>
  <si>
    <t>Visagino savivaldybės 2024 m. asignavimai iš valstybės biudžeto lėšų ir kitų dotacijų (SD)</t>
  </si>
  <si>
    <t xml:space="preserve">4 programa </t>
  </si>
  <si>
    <t>8 programa</t>
  </si>
  <si>
    <t>Visagino savivaldybės bendruomenės sveikatos taryba, remdamasi kasmet atliekama Visagino savivaldybės gyventojų sergamumo ir mirtingumo pagrindinių priežasčių analize, nustato prioritetines Visagino savivaldybės visuomenės sveikatos rėmimo specialiosios programos kryptis. Visų šių programos priemonių tikslas – padėti pagerinti Visagino savivaldybės gyventojų sveikatą, mažinti sergamumą ir mirtingumą dėl labiausiai paplitusių priežasčių, kryptingai vystyti Visagino savivaldybės sveikatos apsaugos politiką, įtraukiant ir koordinuojant visas sveikatos srityje dirbančias valstybines ir nevyriausybines institucijas, žiniasklaidą bei savivaldybės gyventojus.</t>
  </si>
  <si>
    <t>Dalyvavimas programose, skirtose sveikatai stiprinti, – tai investicija, kuri ateityje padėtų sumažinti visuomenės išlaidas sveikatai. Norint pagerinti visuomenės sveikatą labai svarbu gerinti vaikų ir paauglių valgymo įpročius, o ugdymo įstaigos yra geriausia vieta daryti įtaką vaikų mitybos įpročiams ir juos keisti, nes kaip tik tuo metu valgymo įpročiai formuojasi.</t>
  </si>
  <si>
    <t>Savižudybių skaičius, tenkantis 100 tūkst. gyventojų</t>
  </si>
  <si>
    <t xml:space="preserve">Projekto "Integruoto visuomenės sveikatos priežiūros modelio, inovatyvių visuomenės sveikatos paslaugų sukūrimas ir įdiegimas Visagino savivaldybėje" įgyvendinimas 
</t>
  </si>
  <si>
    <t xml:space="preserve">Projektą planuojama įgyvendinti 2021-2027 m. Europos Sąjungos investicijų programos lėšomis. Projekto veiklomis bus siekiama skatinti prevencines priemones, stiprinančias Visagino savivaldybės visuomenės sveikatą bei psichologinę gerovę ir atsparumą: integruoto visuomenės sveikatos priežiūros modelio, inovatyvių visuomenės sveikatos paslaugų sukūrimas ir įdiegimas, rizikos sveikatai veiksnių, lemiančių lėtinių neinfekcinių, užkrečiamųjų ligų, profesinių ligų plitimą bei naujai atsirandančių grėsmių ir iššūkių valdymo gerinimas, sveikatos raštingumo, visuomenės sveikatos  paslaugų prieinamumo ir kokybės tikslinėms grupėms didinimas. 2024 m. bus analizuojama dokumentacija, siekiant 2025 m. pateikti paraišką ir gauti finansavimą projektui. </t>
  </si>
  <si>
    <t>Regioninė nauja priemonė</t>
  </si>
  <si>
    <t xml:space="preserve">Projekto "Ilgalaikės priežiūros paslaugų plėtros Visagino savivaldybėje užtikrinimas " įgyvendinimas 
</t>
  </si>
  <si>
    <t xml:space="preserve">Projektą planuojama įgyvendinti 2021-2027 m. Europos Sąjungos investicijų programos lėšomis. Projekto tikslas - mobiliųjų komandų aprūpinimas darbui reikalinga įranga ir priemonių komplektais bei automobiliais, stacionarinių slaugos paslaugų žmonėms, sergantiems Alzheimerio liga, senatvine demencija, bei paliatyviosios pagalbos paslaugų infrastruktūros plėtojimui ir modernizavimui; tikslinių ilgalaikės priežiūros paslaugų diegimui, ypač demencijos ir Alzheimerio ligų srityse, ir plėtojimui savivaldybių lygmenyje asmenims, kurie negali pasirūpinti savimi. 2024 m. bus analizuojama dokumentacija, siekiant 2025 m. pateikti paraišką ir gauti finansavimą projektui. </t>
  </si>
  <si>
    <t xml:space="preserve">nauja priemonė </t>
  </si>
  <si>
    <t xml:space="preserve">Pacientų pavėžėjimo paslaugų užtikrinimas 
</t>
  </si>
  <si>
    <t xml:space="preserve">Projektą planuojama įgyvendinti 2021-2027 m. Europos Sąjungos investicijų programos lėšomis. Planuojama įkurti centrą padėsiantį ugdyti vaikus nuo gimimo iki 14 metų, turinčius raidos bei mokymosi sutrikimų, taikant naujausius metodus padėti vaikams išmokti naujų socialiai svarbių elgesio formų, padidinti pageidaujamą elgesį, sumažinti ar visai panaikinti nepageidaujamas elgesio formas, teikti konsultacijas tėvams, auginantiems specialiųjų poreikių vaikus. 2024 m. bus analizuojama dokumentacija, siekiant 2025 m. pateikti paraišką ir gauti finansavimą projektui. </t>
  </si>
  <si>
    <t>pavdinimas pakoreguotas</t>
  </si>
  <si>
    <t xml:space="preserve">Neveiksnių asmenų būklės peržiūrėjimo užtikrinimui 
</t>
  </si>
  <si>
    <t>207,2</t>
  </si>
  <si>
    <t xml:space="preserve">Naujai teikiamų paslaugų skaičius </t>
  </si>
  <si>
    <t>Projekto „VšĮ Visagino pirminės sveikatos priežiūros centro paslaugų plėtra ir prieinamumo gerinimas, steigiant psichiatrijos dienos stacionarą“ įgyvendinimas</t>
  </si>
  <si>
    <t>SB (AA)</t>
  </si>
  <si>
    <t>Šia programa siekiama užtikrinti kokybišką Visagino savivaldybės gyventojų sveikatos priežiūrą, sveikatos politikos įgyvendinimą savivaldybės lygiu. Programos vykdymas padeda tikslingai paskirstyti lėšas, skiriamas sveikatos priežiūrai.</t>
  </si>
  <si>
    <t>Šios programos tikslas – vykdyti savarankiškąsias savivaldybės (socialinių paslaugų planavimas ir teikimas, socialinių paslaugų įstaigų išlaikymas, socialinių pašalpų ir kompensacijų skaičiavimas ir mokėjimas, bendradarbiavimas su nevyriausybinėmis organizacijomis, sąlygų savivaldybės teritorijoje gyvenančių neįgaliųjų socialiniam integravimui į bendruomenę sudarymas) ir valstybines (valstybės perduotas savivaldybėms) funkcijas (socialinės globos teikimo asmenims su sunkia negalia užtikrinimas, išmokų skaičiavimas ir mokėjimas, mokinių nemokamo maitinimo, mokinių aprūpinimo mokinio reikmenimis administravimas).</t>
  </si>
  <si>
    <t xml:space="preserve">Luko6kov programa </t>
  </si>
  <si>
    <t xml:space="preserve">Regioninio planavimo </t>
  </si>
  <si>
    <t xml:space="preserve">Siekiant padidinti bendruomenėje teikiamų paslaugų 
dalį pereinant nuo institucinės globos prie bendruomeninių paslaugų, savivaldybėje įkurti Savarankiško gyvenimo namai. Nuo 2021 m. sausio mėnesio veikia Savarankiško gyvenimo namai, savivaldybė užtikrina šios įstaigos finansavimą. 2024 m. planuojama užbaigti projekto įgyvendinimą sutvarkant aplinkinę teritoriją, sutvarkant įvažiavimą į teritoriją ir paviršinių lietaus nuotekų  sisitemą.  </t>
  </si>
  <si>
    <t xml:space="preserve">Projekto "Nestacionarių socialinių paslaugų, didinančių senyvo amžiaus asmenų gerovę, plėtra Visagino savivaldybėje" įgyvendinimas 
</t>
  </si>
  <si>
    <t xml:space="preserve">Pasikeitė pavadinimas
Valstybinio planavimo projektas  </t>
  </si>
  <si>
    <t xml:space="preserve">Projekto „Paslaugų, skatinančių ir efektyviai palaikančių globą šeimos aplinkoje, vystymas“ įgyvendinimas 
</t>
  </si>
  <si>
    <t>Regioninio planavimo priemonė</t>
  </si>
  <si>
    <t xml:space="preserve">Specialiųjų poreikių turinčių asmenų gerovės kūrimas ir įtrauktis į socialinę ir ekonominę Visagino savivaldybės raidą (SADM žemėlapis)
</t>
  </si>
  <si>
    <t xml:space="preserve">Regioninio planavimo priemonė </t>
  </si>
  <si>
    <t xml:space="preserve">Visagino socialinių paslaugų centro Socialinės globos senyvo amžiaus žmonėms ir suaugusiems asmenims su negalia skyriaus modernizavimas ir plėtra
</t>
  </si>
  <si>
    <t xml:space="preserve">
nauja priemonė</t>
  </si>
  <si>
    <t>Dienos centrų paslaugas gaunančių asmenų skaičius (asm. per metus)</t>
  </si>
  <si>
    <t xml:space="preserve">Socialines paslaugas gavusių asmenų skaičius per metus </t>
  </si>
  <si>
    <t xml:space="preserve">Projekto "Perėjimas nuo institucinės globos prie bendruomeninių paslaugų Sostinės regione, Vidurio ir vakarų Lietuvos regione" įgyvendinimas 
</t>
  </si>
  <si>
    <t>Projektas finansuojamas 2021–2027 metų laikotarpio Europos socialinio fondo ir savivaldybės biudžeto lėšų. Projekto  tikslas – užtikrinti Atvejo vadybos modelio taikymą asmenims, turintiems psichikos ir (ar) intelekto negalią, didinti jų socialinius ir darbinius įgūdžius, skatinti savarankiškumą ir gyvenimą bendruomenėje, atsižvelgiant į asmenų individualius poreikius, užimtumą atviroje darbo rinkoje.</t>
  </si>
  <si>
    <t>Viso</t>
  </si>
  <si>
    <t>Savivaldybės strateginio
plėtros plano priemonės kodas</t>
  </si>
  <si>
    <t>07.01.02.03 (PP)</t>
  </si>
  <si>
    <t>07.01.02.02 (PP)</t>
  </si>
  <si>
    <t>Nauja priemon4</t>
  </si>
  <si>
    <t>Projekto „VšĮ Visagino ligoninės infrastruktūros modernizavimas“ įgyvendinimas</t>
  </si>
  <si>
    <t>07.01.02.05 (PP)</t>
  </si>
  <si>
    <t xml:space="preserve">Visagino savivaldybės švietimo stebėsenos rodiklių sąraše, patvirtintame 2022-03-14 Visagino savivaldybės administarcijos direktoriaus įsakymu Nr. ĮV-E- 123 "Dėl Visagino savivaldybės švietimo stebėsenos rodiklių sąrašo patvirtinimo" įgyvendintų rodiklių skaičius </t>
  </si>
  <si>
    <t xml:space="preserve">Įstaigų, kurioms užtikrinamas veiklos finansavimas skaičius </t>
  </si>
  <si>
    <t xml:space="preserve">Lėšų, skirtų edukacinių programų, projektų įgyvendinimui tobulinant švietimo darbuotojų kvalifikaciją, skatinant jų iniciatyvas, panaudojimas proc. </t>
  </si>
  <si>
    <t xml:space="preserve">pakeistas pavadinimas </t>
  </si>
  <si>
    <t>Skatinimo priemonės tikslas – pagerbti abiturientus ir jų mokytojus už gautus aukščiausius (100 balų) valstybinių brandos egzaminų rezultatus ir Visagino savivaldybės vardo garsinimą, įvertinti ir skatinti mokinių mokymosi motyvaciją, mokytojų ugdymo kokybę, skatinti siekti puikių mokymosi ir mokymo rezultatų. Apdovanojimų dydis abiturientams ir mokytojams po 200 eurų už kiekvieną gautą šimto balų valstybinių brandos egzaminų įvertinimą. 
Piniginės išmokos mokamos iš Savivaldybės biudžeto asignavimų, skirtų Savivaldybės strateginio veiklos plano Švietimo paslaugų plėtros programai įgyvendinti vadovaujantis Visagino savivaldybės tarybos 2022-12-22 sprendimu Nr. TS-222 nustatyta tvarka</t>
  </si>
  <si>
    <t xml:space="preserve">Įgyvendinant šią priemonę planuojama dalyvauti „Tūkstantmečio mokyklų“ programos įgyvendinime (toliau tekste – Programa), kurios pagrindinis tikslas iki 2030 m. kiekvienoje Lietuvos savivaldybėje sukurti integralias, optimalias ir kokybiškas ugdymo sąlygas mokinių atotrūkiams mažinti. Programos I etapo  pradžia 2022 m. sausio 2 d., pabaiga 2026 m. rugpjūčio 31. </t>
  </si>
  <si>
    <t>(pasikeitė pavadinimas)
(Newton Rooms koncepto,  bendradarbiaujant su verslo atstovais  vystymas)</t>
  </si>
  <si>
    <t>(pasikeitė pavadinimas)</t>
  </si>
  <si>
    <t>pasikeitė pavadinimas)</t>
  </si>
  <si>
    <t xml:space="preserve">Projekto "Visagino progimnazijų erdvių pritaikymas negalią turinčių mokinių ugdymuisi įtraukiuoju būdu" įgyvendinimas
</t>
  </si>
  <si>
    <t>Nauja priemonė</t>
  </si>
  <si>
    <t xml:space="preserve">Įstaigų, kuriose teikiamos karjeros konsultavimo paslaugos, skaičius </t>
  </si>
  <si>
    <t xml:space="preserve">02.02.01.02. (TP)
</t>
  </si>
  <si>
    <t>Švietimas – prioritetinė valstybės remiama Lietuvos Respublikos raidos sritis. Švietimas turi įtakos Visagino kultūrinei, socialinei ir ekonominei pažangai. Šia programa siekiama laiduoti valstybės ir Visagino savivaldybės švietimo politikos įgyvendinimą, ugdymo kokybę, išsilavinimo standartus atitinkantį išsilavinimą, vaikų socialinį ir psichologinį saugumą, skatinti ir remti besimokančiųjų užimtumą; įgyvendinti priemones, numatytas Visagino savivaldybės strateginiame plėtros plane, Lietuvos Respublikos Vyriausybės bei ministerijų teisės aktuose.</t>
  </si>
  <si>
    <t>isagino savivaldybės bendrojo ugdymo mokyklų tinklo pertvarkos 2022–2026 metų bendrojo plano kokybinių pokyčių / priemonių  įgyvendinimas, proc.</t>
  </si>
  <si>
    <t xml:space="preserve">2.1.5. </t>
  </si>
  <si>
    <t>07.01.02.06 (PP)</t>
  </si>
  <si>
    <t>Projekto „Ambulatorinės slaugos paslaugas namuose, teikainčių mobilių komandų aprūpinimas įranga ir transporto priemonėmis“ įgyvendinimas</t>
  </si>
  <si>
    <t>Mobilių komandų, aprūpintų reikiama įranga, skaičius</t>
  </si>
  <si>
    <t>Projektas vykdomas įgyvendinant Lietuvos Respublikos sveikatos apsaugos ministro  2022 m. gegužės 20 d. įsakyme Nr. V-988 „Dėl 2022–2030 metų plėtros programos valdytojos Lietuvos Respublikos sveikatos apsaugos ministerijos sveikatos priežiūros kokybės ir efektyvumo didinimo plėtros programos pažangos priemonės Nr. 11-002-02-11-01 „Gerinti sveikatos priežiūros paslaugų kokybę ir prieinamumą“ aprašo patvirtinimo“ numatytas veiklas“. Paraišką projekto įgyvendinimui planuojama teikti 2024 m. pradžioje. Viena mobili komanda, teikianti ambulatorinės slaugos paslaugas namuose, bus aprūpinta reikiama įranga ir transporto priemone, skirta paslaugų teikimo užtikrinimui.</t>
  </si>
  <si>
    <t>Projektas vykdomas įgyvendinant Lietuvos Respublikos sveikatos apsaugos ministro  2022 m. gegužės 20 d. įsakyme Nr. V-988 „Dėl 2022–2030 metų plėtros programos valdytojos Lietuvos Respublikos sveikatos apsaugos ministerijos sveikatos priežiūros kokybės ir efektyvumo didinimo plėtros programos pažangos priemonės Nr. 11-002-02-11-01 „Gerinti sveikatos priežiūros paslaugų kokybę ir prieinamumą“ aprašo patvirtinimo“ numatytas veiklas“. Paraišką projekto įgyvendinimui planuojama teikti 2024 m. pabaigoje. Šiuo metu yra analizuojama su paraiškos parengimu projekto finansavimui gauti susijusi dokumentacija. Projektą įgyvendins VšĮ Visagino ligoninė.</t>
  </si>
  <si>
    <t>R-07-01-02-05</t>
  </si>
  <si>
    <t>R-07-01-02-06</t>
  </si>
  <si>
    <t>2.5.1.4.</t>
  </si>
  <si>
    <t>2.4.1.2.</t>
  </si>
  <si>
    <t>Jaunesnių nei 50 metų bei 50 metų ir vyresnio amžiaus mokytojų skaičiaus santykis (procentais)</t>
  </si>
  <si>
    <t>29,6/70,4</t>
  </si>
  <si>
    <t>30/70</t>
  </si>
  <si>
    <t>31/69</t>
  </si>
  <si>
    <t>32/68</t>
  </si>
  <si>
    <t>27,8/72,2</t>
  </si>
  <si>
    <t>28/72</t>
  </si>
  <si>
    <t>29/71</t>
  </si>
  <si>
    <t>24,8/75,2</t>
  </si>
  <si>
    <t>25/75</t>
  </si>
  <si>
    <t>26/74</t>
  </si>
  <si>
    <t>39,3/60,7</t>
  </si>
  <si>
    <t>40/60</t>
  </si>
  <si>
    <t>41/59</t>
  </si>
  <si>
    <t>96 proc.</t>
  </si>
  <si>
    <t>94 proc</t>
  </si>
  <si>
    <t>Visagino savivaldybės švietimo stebėsenos rodiklių sąrašas,  patvirtintas 2022-03-14 Visagino savivaldybės administarcijos direktoriaus įsakymu Nr. ĮV-E- 123 "Dėl Visagino savivaldybės švietimo stebėsenos rodiklių sąrašo patvirtinimo"</t>
  </si>
  <si>
    <t>2.1.5.</t>
  </si>
  <si>
    <t xml:space="preserve">Įgyvendintų projektų/priemonių skaičius </t>
  </si>
  <si>
    <t>Programa rengiama ir įgyvendinama, atsižvelgiant į Nacionaliniame pažangos plane nustatytus sporto politikos strateginius tikslus ir (arba) pažangos uždavinius, švietimo, mokslo ir sporto ministro patvirtintą strateginių sporto šakų sąrašą, vietos bendruomenės poreikius, jos pagrindu finansuojama ir kitaip prisidedama prie savivaldybės teritorijoje veiklą vykdančių sporto srityje veikiančių fizinių ir juridinių asmenų veiklos, vykdoma sporto objektų plėtra, užtikrinamas jų teikiamų paslaugų prieinamumas gyventojams, vykdoma šviečiamoji veikla, formuojamas savivaldybės teritorijoje gyvenančių žmonių pozityvus požiūris į sporto reikšmę sveikatai, rengiamos ir įgyvendinamos kitos fizinio aktyvumo ir aukšto meistriškumo sporto plėtojimo savivaldybėje priemonės.</t>
  </si>
  <si>
    <t xml:space="preserve">Programos tikslas – gerinti verslo aplinką ir skatinti juridinių bei fizinių asmenų verslumą Visagino savivaldybėje. Prioritetu remiamos veiklos, įveiklinančios savivaldybės infrastruktūrą, sukuriant produktą (-us) ar paslaugą (-as) ir darbo vietas vietos gyventojams.
</t>
  </si>
  <si>
    <t>(pasikeitė priemonės pavadinimas )</t>
  </si>
  <si>
    <t xml:space="preserve">Paslaugų verslui teikimas, sukuriant ir (ar) modernizuojant tokių viešųjų paslaugų teikimui naudojamą viešąją infrastruktūrą ir  verslumo skatinimo mechanizmų sukūrimas
</t>
  </si>
  <si>
    <t xml:space="preserve">09.01.01.02. (PP)
</t>
  </si>
  <si>
    <t>pasiekitė pavadinimas</t>
  </si>
  <si>
    <t>Įgyvendinant šią priemonę bus siekiama skatinti smulkiojo ir vidutinio verslo plėtrą savivaldybėje, remti smulkiojo ir vidutinio verslo, ekonominę veiklą vykdančius subjektus, jų iniciatyvas ir projektus bei sudaryti palankias sąlygas kurti naujas darbo vietas savivaldybės teritorijoje. 
Bus įgyvendinama 2023-2027m. Verslumo skatinimo programa, Verslo paramos programa 2023-2030 m. 
Verslo paramos programos 2023-2030 m. tikslas – kurti ir palaikyti verslui palankią aplinką Visagino savivaldybėje, užtikrinant darnią verslo plėtrą. 
Verslumo skatinimo programos 2023-2027 m. tikslas – sudaryti sąlygas labai mažoms ir mažoms įmonėms bei fiziniams asmenims pradėti savo verslą, skatinti socialinio verslo plėtrą bei augimą, skatinti verslumą ir savarankišką užimtumą, konsultuojant ir mokant pradedančiuosius verslo pagrindų. 
Priemonės finansavimas vykdomas pagal metiniame savivaldybės biudžete numatytas lėšas priemonei finansuoti. Priemonės finansavimas ir atskaitomybė vykdomi vadovaujantis Visagino savivaldybės smulkiojo ir vidutinio verslo plėtros skatinimo priemonės įgyvendinimo tvarkos aprašu, patvirtintu Visagino savivaldybės administracijos direktoriaus įsakymu. 
Prioritetinės paramos kryptys planuojamos Strateginiame plėtros plane:
•	Savivaldybės ekonominės plėtros gairių specializacijų verslo projektų skatinimas ir rėmimas (energetika, kūrybinės industrijos);
•	Jaunimo verslo projektų skatinimas ir rėmimas;
•	Socialinio verslo projektų skatinimas ir rėmimas;
•	Socialiai pažeidžiamų tikslinių grupių verslumo akseleravimas ir projektų rėmimas (vyresnio amžiaus, senjorų verslo, moterų ir pan. );</t>
  </si>
  <si>
    <t xml:space="preserve">Pagrindinis priemonės įgyvendinimo tikslas – pritraukti ir paskatinti trūkstamų specialybių aukštos profesinės kvalifikacijos specialistus dirbti Visagino savivaldybės biudžetinėse (išskyrus Savivaldybės administraciją) ir viešosiose įstaigose, kurių savininkė arba dalininkė yra Visagino savivaldybė, kad būtų užtikrinti įstaigų veiklos poreikiai, teikiamų paslaugų gyventojams prieinamumas ir kokybė.  Priemonės įgyvendinimo ir finansavimo sąlygų aprašas tvirtinamas Visagino savivaldybės administracijos direktoriaus įsakymu. 
Priemonės įgyvendinimas prisidės prie Strateginio plėtros plano priemonės „Integruotos investuotojų pritraukimo ir aptarnavimo sistemos sukūrimas ir tikslingais kanalais informacijos apie ekonominę ir investicijų aplinką Visagino potencialiems investuotojams skleidimas“ įgyvendinimo. </t>
  </si>
  <si>
    <t>~534</t>
  </si>
  <si>
    <t xml:space="preserve">ĮPriemonės įgyvendinimas prisidės prie Strateginio plėtros plano priemonės Investavimo paketo/teisės aktų projektų parengimas stambaus investuotojo (-ų) pritraukimui (pramonės teritorijos/ LEZ suformavimui).
Parengus investavimo paketą/teisės aktų projektus investuotojui (sudarius investicijų sutartį), planuojama sutvarkyti infrastruktūrą iki planuojamo suteikti sklypo stambiam investuotojui (pramonės teritorija/laisvoji ekonominė zona) ribų įrengimas ir (ar) sutvarkymas (Drūkšinių k., Visagino sav.).
</t>
  </si>
  <si>
    <t xml:space="preserve">nauja </t>
  </si>
  <si>
    <t>2020-2030 m. programos įgyvendinimas. Įgyvendinant šią priemonę bus įgyvendinama viena iš Visagino savivaldybėje išskiriamų 2020–2030 metams prioritetinės ekonomikos plėtros krypčių „Kūrybinė industrija“, kurios buvo patvirtintos Visagino savivaldybės tarybos 2019 m. spalio 30 d. sprendimu Nr. TS-253 „Dėl Visagino savivaldybės 2020–2030 m. ekonominės plėtros gairių patvirtinimo“. Priemonę įgyvendins viešoji įstaiga Visagino ekonomikos plėtros agentūra. 
Programos tikslas – sukuriant palankias sąlygas skatinti kūrybinių industrijų verslumo vystymąsi mieste, pritrauki į miestą naujų šio sektoriaus įmonių ir talentų bei fasilituoti visų suinteresuotų šalių bendradarbiavimą, kuris užtikrintų darnią ekonomikos plėtrą bei Visagino gyventojų gerovę.
Kūrybinės industrijos sudaro naują ir augantį bei stiprėjantį ekonomikos sektorių, kuris ženkliai prisideda prie miestų bei regionų konkurencingumo stiprinimo. Taip pat įgyvendinant priemonę bus įveiklintas  Visagino inovacijų klasteris.</t>
  </si>
  <si>
    <t xml:space="preserve">Pasirašytų jungtinės veiklos sutarčių skaičius </t>
  </si>
  <si>
    <t xml:space="preserve">Kūrybinių industrijų 2023-2027 m. programos įgyvendinimas
</t>
  </si>
  <si>
    <t xml:space="preserve">Projektų veiklų įgyvendinimas baigtas 2023 m. </t>
  </si>
  <si>
    <t>Parengta investicinės programos įgyvendinimo ataskaita</t>
  </si>
  <si>
    <t>09.03.01.02. (TP)</t>
  </si>
  <si>
    <t xml:space="preserve">Įgyvendinant šią priemonę planuojama, kad bus pradėta rengti laisvalaikio ir aktyvaus poilsio erdvės įrengimo, pagal parengtą žemės sklypo Jaunystės g. Visagine formavimo ir pertvarkymo projektą, koncepcija ir būtini dokumentai, reikalingi jos įgyvendinimui. Preliminarus sklypo plotas 2,9 ha, jis gali būti naudojamas visuomeninės paskirties, bendro naudojimo ir rekreacinės teritorijoms įrengti, numatant miško žemės pavertimą kitomis naudmenomis. 2023 m. buvo parengtas techninis projektas. 2024 m. planuojama vykdyti darbus. </t>
  </si>
  <si>
    <t xml:space="preserve">Projekto "Interreg V-A Latvia – Lithuania  programme 2021– 2027 the project "SnowPower" " įgyvendinimas
</t>
  </si>
  <si>
    <t>BC "Spiečius" veiklos užtikrinimas</t>
  </si>
  <si>
    <t>191747963</t>
  </si>
  <si>
    <t>Programos tikslas - gyvendinti Visagino savivaldybės strateginiame plėtros plane numatytus tikslus ir uždavinius aplinkos būklei ir kokybei savivaldybėje pagerinti bei aplinkos užterštumui sumažinti</t>
  </si>
  <si>
    <t>Projektai (SB)</t>
  </si>
  <si>
    <t xml:space="preserve">Viso </t>
  </si>
  <si>
    <t>Biudžetas</t>
  </si>
  <si>
    <t>Socialinio būsto poreikio patenkinimas nuo jo laukiančiųjų asmenų (šeimų) skaičiaus, proc.“ | procentai:
Nuo viso laukiančiųjų</t>
  </si>
  <si>
    <t>likutis ĮP</t>
  </si>
  <si>
    <t xml:space="preserve">Įstaigos veikla (SB) </t>
  </si>
  <si>
    <t xml:space="preserve">2024-2026 m. strateginio veiklos plano poreikis 2024 m. pagal finansavimo šaltinius  ir funkcijas </t>
  </si>
  <si>
    <t>Specialioji 
rėmimo programa (SB)</t>
  </si>
  <si>
    <t>Įstaigos pajamos  (SB)</t>
  </si>
  <si>
    <t>Paskola (SB)</t>
  </si>
  <si>
    <t>ES, VB, EGDP lėšos 
(projektinė veikla)</t>
  </si>
  <si>
    <t xml:space="preserve">VB socialinėms 
išmokoms </t>
  </si>
  <si>
    <t>Kiti šaltiniai (VB)</t>
  </si>
  <si>
    <t>Lietuvos Respublikos
valstybės biudžeto dotacijos</t>
  </si>
  <si>
    <t>Kita veikla (SB)</t>
  </si>
  <si>
    <t xml:space="preserve">Savivaldybės biudžeto lėšos </t>
  </si>
  <si>
    <t>Programos tikslas - įgyvendinti  Lietuvos Respublikos Konstitucijos ir įstatymų nustatytas, Lietuvos Respublikos vietos savivaldos įstatymo reglamentuotas savarankiškasias savivaldybės bei valstybinės (valstybės perduotos savivaldybei) funkcijas. Siekiant užtikrinti, kad minėtos funkcijos būtų vykdomos kokybiškai, ypatingas dėmesys skiriamas šiuolaikiniams vadybos metodams ir informacinėms technologijoms diegti savivaldybėje; vykdomų procedūrų viešumui ir skaidrumui; kontroliuoti ir prižiūrėti, ar teisėtai, efektyviai, ekonomiškai ir rezultatyviai valdomas ir naudojamas savivaldybės turtas ir patikėjimo teise valdomas valstybės turtas, kaip vykdomas savivaldybės biudžetas ir naudojami kiti piniginiai ištekliai. Efektyviai savivaldybės veiklai būtinas racionalus finansinių, materialinių ir žmogiškųjų išteklių paskirstymas, sistemingas veiklos planavimas</t>
  </si>
  <si>
    <t xml:space="preserve">pasikeitė pavadinimas </t>
  </si>
  <si>
    <t xml:space="preserve">Savivaldybės institucijų  funkcijų įgyvendinimas
</t>
  </si>
  <si>
    <t xml:space="preserve">Ši priemonė nebus įgyvendinama.
</t>
  </si>
  <si>
    <t xml:space="preserve">Savivaldybės administracijos patikėjimo teise valdomų statinių ir bendrojo naudojimo inžinerinių tinklų  techninė priežiūra </t>
  </si>
  <si>
    <t xml:space="preserve">Ši priemonė nebus įgyvendinama 2024 m. 
</t>
  </si>
  <si>
    <t>01.02.04.04. (TP)</t>
  </si>
  <si>
    <t>01.02.04.03. (TP)</t>
  </si>
  <si>
    <t>01.02.04.02.(TP)</t>
  </si>
  <si>
    <t>01.02.04.01. (TP)</t>
  </si>
  <si>
    <t>01.02.03.01 (TP)</t>
  </si>
  <si>
    <t>01.02.02.08. (TP)</t>
  </si>
  <si>
    <t>01.02.02.07. (TP)</t>
  </si>
  <si>
    <t>01.02.02.05. (TP)</t>
  </si>
  <si>
    <t>01.02.02.03. (TP)</t>
  </si>
  <si>
    <t>01.02.02.02. (TP)</t>
  </si>
  <si>
    <t>01.02.02.01. (TP)</t>
  </si>
  <si>
    <t>01.01.05.01. (TP)</t>
  </si>
  <si>
    <t>01.01.04.04 (TP)</t>
  </si>
  <si>
    <t>01.01.04.03 (TP)</t>
  </si>
  <si>
    <t>01.01.04.02. (TP)</t>
  </si>
  <si>
    <t>01.01.04.01. (TP)</t>
  </si>
  <si>
    <t>01.01.03.05. (TP)</t>
  </si>
  <si>
    <t>01.01.03.03. (TP)</t>
  </si>
  <si>
    <t>01.01.03.02. (TP)</t>
  </si>
  <si>
    <t>01.01.03.01. (TP)</t>
  </si>
  <si>
    <t>01.01.02.20. (TP)</t>
  </si>
  <si>
    <t>01.01.02.19. (TP)</t>
  </si>
  <si>
    <t>01.01.02.18. (TP)</t>
  </si>
  <si>
    <t>01.01.02.17. (TP)</t>
  </si>
  <si>
    <t>01.01.02.16. (TP)</t>
  </si>
  <si>
    <t>01.01.02.15. (TP)</t>
  </si>
  <si>
    <t>01.01.02.14. (TP)</t>
  </si>
  <si>
    <t>01.01.02.13. (TP)</t>
  </si>
  <si>
    <t>01.01.02.12. (TP)</t>
  </si>
  <si>
    <t>01.01.02.11. (TP)</t>
  </si>
  <si>
    <t>01.01.02.10. (TP)</t>
  </si>
  <si>
    <t>01.01.02.09. (TP)</t>
  </si>
  <si>
    <t>01.01.02.07. (TP)</t>
  </si>
  <si>
    <t>01.01.02.06. (TP)</t>
  </si>
  <si>
    <t>01.01.02.05. (TP)</t>
  </si>
  <si>
    <t>01.01.02.04. (TP)</t>
  </si>
  <si>
    <t>01.01.02.03. (TP)</t>
  </si>
  <si>
    <t>01.01.02.02. (TP)</t>
  </si>
  <si>
    <t>1.4. Europos Sąjungos ir kitos tarptautinės finansinės paramos lėšos (EGDP, VB)</t>
  </si>
  <si>
    <t xml:space="preserve">Įgyvendinant šią priemonę bus organizuojamos:
-sportinės varžybos,
-miesto šventės sporto renginių dalis,
-Lietuvos mokyklų sporto žaidynės,
-vykdomas metinis sporto renginių planas,
-dalyvavimas tarptautiniuose turnyruose. Taip pat organizavimas tokių renginių kaip ralis, trenkturas, vandens motociklų varžybos ir kt. </t>
  </si>
  <si>
    <t>2020 m. lapkričio 20 d. Visagino savivaldybės tarybos sprendimu Nr. TS-244 „Dėl Sporto projektų finansavimo konkurso nuostatų patvirtinimo“, buvo patvirtini Sporto projektų finansavimo konkurso nuostatai, kurių pagrindinis tikslas skatinti Visagino savivaldybėje sporto įvairovę, gyventojų fizinį aktyvumą, prieinamumą įvairioms visuomenės grupėms, plėtoti aukšto meistriškumo sportininkų rengimo sistemą, prisidėti prie teigiamo miesto įvaizdžio kūrimo, garsinimo ir reprezentavimo. 
Taip pat gyventojams bus sudarytos galimybės naudotis baseino paslaugomis su kompensacija.</t>
  </si>
  <si>
    <t xml:space="preserve">4,743 likutis </t>
  </si>
  <si>
    <t>Programos tikslas - kryptingai vykdyti valstybės ir savivaldybės kultūros politiką. Šios programos priemonėmis numatoma sudaryti sąlygas savivaldybės gyventojams susipažinti su šiuolaikinėmis ir tradicinėmis profesionalaus ir mėgėjų meno formomis, ugdyti gyventojų kūrybiškumo ir kritinio mąstymo gebėjimus, etninę savimonę, meninį ir estetinį skonį, skatinti tautinio identiteto plėtrą ir menų įvairovę, skaitymo aktyvinimą bei mokymąsi visą gyvenimą. Sudarant optimalias sąlygas gyventojams dalyvauti kultūrinime gyvenime, meno saviveiklos kolektyvuose, įgyvendinant kultūrines-edukacines programas, skatinti įvairaus amžiaus gyventojų užimtumą, mažinti negatyvių visuomenės veiksnių poveikį, formuoti Visagino savivaldybės kaip įvairiatautės, kultūriškai išprususios bendruomenės įvaizdį.</t>
  </si>
  <si>
    <t>Pagrindiniai programos tikslai yra jaunimo, jaunimo organizacijų, vietos bendruomenių, daugiabučių namų bendrijų ir savininkų veiklos skatinimas, nusikalstamumo mažinimo bei savivaldybės visuomenės saugumo užtikrinimas ir pilietinio sąmoningumo stiprinimas. 
Siekiama įvairias gyventojų grupes įtraukti į Visagino savivaldybės ir savivaldybės administracijos inicijuojamų / organizuojamų priemonių įgyvendinimą, inicijuoti, formuoti ir palaikyti pilietiškumo, iniciatyvumo, bendruomeniškumo skatinimo mechanizmus.</t>
  </si>
  <si>
    <t>(keičiasi pavadinimas)</t>
  </si>
  <si>
    <t xml:space="preserve"> NVO tarybos veiklos efektyvumo užtikrinimas
</t>
  </si>
  <si>
    <t>nauja priemone</t>
  </si>
  <si>
    <t xml:space="preserve">Rengti ir stiprinti edukacines programas bei stovyklas (įskaitant tradicinės kultūros stovyklas) skirtingo amžiaus diasporos vaikams ir jaunimui, kviesti diasporos atstovus dalyvauti įvairiuose renginiuose Lietuvoje
</t>
  </si>
  <si>
    <t xml:space="preserve">Projekto  "Didelių gabaritų atliekų surinkimo aikštelės įrengimas Visagino mieste"
</t>
  </si>
  <si>
    <t>Įgyvendinant šią priemonę numatoma šalinti pavojų keliančius ir sergančius medžius,
įsigyti ir veisti naujus želdinius, šalinti kelmus, taip pat užtikrinti rekonstruotos Sedulinos al. dalies žaliųjų plotų priežiūrą.</t>
  </si>
  <si>
    <t xml:space="preserve">Visagino savivaldybėje per metus yra apie  pagaunama 100-150 bešeimininkių gyvūnų (2021 m. - 140, 2022 m. - 129/43), dalis jų yra kastruojama/sterilizuojama ir paleidžiami atgal, dalis lieka gyvūnų globos namuose ar atiduodami kitiems globėjams, dalis yra ženklinami mikroschemomis. Vadovaujantis 2023-04-06 sutartimi Nr. 5-181 vieno gyvūno sugavimas kainuoja 181,51 Eur, gyvūno ženklinimas 20 Eur, kastravimas/sterilizavimas ir paleidimas atgal 111 Eur. Jeigu 2024 m. bus pagauta 130, kastruota/sterilizuota 120 ir pažimėta  mikroschema 100, tai kianuotų 36006,3 Eur, kadangi gali būti sugauta ir daugiau gyvūnų siūlau planuoti 40000 Eur.
Planuojama I mikrorajone įrengti šunų vedžiojimo/dresavimo aikštelę. Aikštelės įranga su montavimu priklausomai nuo to kokią įrangą rinksimės kainuotų apie 20000 Eur ir aikštelei aptverti tvora ir įrengimas apie 10000 Eur.
Įrengti 2 bešeimininkių kačių šėrimo vietas.
Gyvūnų kapinių galimybių studija </t>
  </si>
  <si>
    <t xml:space="preserve">Priemonė įgyvendinama pagal poreikį.
</t>
  </si>
  <si>
    <t>Priemonė įgyvendinama pagal poreikį.</t>
  </si>
  <si>
    <t>Programos tikslas -  padidinti miesto viešųjų erdvių patrauklumą, užtikrinti švarą ir tvarką, įgyvendinti priemones, skirtas bendruomenės infrastruktūros plėtrai, pagerinti gyvenimo aplinką ir kokybę, pagerinti kelių ir gatvių dangas, rekonstruoti kelius, rekonstruoti esamas automobilių stovėjimo aikšteles bei įrengti naujas, sudaryti gyventojams patogias susisiekimo sąlygas nuostolingais keleivių pervežimo maršrutais, teikti gyventojams kokybiškas komunalines paslaugas ir gerinti jų kokybę, prižiūrėti ir modernizuoti miesto inžinerinės ir rekreacinės infrastruktūros objektus, prižiūrėti ir modernizuoti gyvenamąjį fondą, gerinti kapinių priežiūrą ir viešąją infrastruktūrą.</t>
  </si>
  <si>
    <t xml:space="preserve"> Savivaldybės viešųjų pastatų, taikant energijos išteklių panaudojimo efektyvumo didinimo priemones, modernizavimas
</t>
  </si>
  <si>
    <t xml:space="preserve">keičiasi pavadinimas </t>
  </si>
  <si>
    <t xml:space="preserve">Apšvietimo tinklų ir elektros įrangos remontas, priežiūra ir plėtra 
</t>
  </si>
  <si>
    <t xml:space="preserve">Skolintos lėšos </t>
  </si>
  <si>
    <t>KPP-4,000</t>
  </si>
  <si>
    <t xml:space="preserve">I prioritetas </t>
  </si>
  <si>
    <t xml:space="preserve">1 programa
2 programa
3 programa
4 programa
5 programa
6 programa 
7 programa </t>
  </si>
  <si>
    <t>8 programa
10 programa</t>
  </si>
  <si>
    <t>I PRIORITETINIS TIKSLAS.  
KONKURENCINGO VERSLO SKATINIMAS 
IR VIETINĖS EKONOMIKOS TVARI PLĖTRA</t>
  </si>
  <si>
    <t>II PRIORITETINIS TIKSLAS. 
SOCIALINĖS GEROVĖS KŪRIMAS, 
SUMANIAI, PAŽANGIAI, BESIMOKANČIAI, 
MODERNIAI IR LAIMINGAI  BENDRUOMENEI</t>
  </si>
  <si>
    <t xml:space="preserve"> III PRIORITETINIS TIKSLAS. 
TVARUS, SUBALANSUOTAS SAVIVALDYBĖS 
APLINKOS VYSTYMAS IR PLĖTRA</t>
  </si>
  <si>
    <t>2024 m., proc.</t>
  </si>
  <si>
    <t>2024 m. išlaidų planas, tūkst. Eur</t>
  </si>
  <si>
    <t>2023-2030 m. plėtros plano prioritetiniai tikslai</t>
  </si>
  <si>
    <t xml:space="preserve">Įgyvendinamos programos </t>
  </si>
  <si>
    <t>Robotiada</t>
  </si>
  <si>
    <t>Visagino savivaldybėje veikiančių formaliojo ir neformaliojo švietimo įstaigų aukštesniųjų gebėjimų turinčių mokinių ir jų mokytojų/trenerių skatinimas</t>
  </si>
  <si>
    <t xml:space="preserve">Visagino kūrybos menų akademija </t>
  </si>
  <si>
    <t>Kovo 11 d. renginiai</t>
  </si>
  <si>
    <t>Kijevo pučiamųjų orkestras</t>
  </si>
  <si>
    <t>Visagino miesto garbės piliečių pagerbimas. Priemonė įgyvendinama, siekiant pagerbti Visagino miesto garbės piliečius (renginių bilietai, garbės piliečio ženklaiir kt.)</t>
  </si>
  <si>
    <t>Įgyvendinant šią priemonę siekiama užtikrinti vaizdo stebėjimo kamerų tinklo efektyvų darbą, siekiant užtikrinti saugumą mieste.</t>
  </si>
  <si>
    <t>Miesto vaizdo stebėjimo sistemos serverinės dalies naujinimui</t>
  </si>
  <si>
    <t xml:space="preserve">Šeimos ir vaiko gerovės centras </t>
  </si>
  <si>
    <t xml:space="preserve">Visagino kultūros centras </t>
  </si>
  <si>
    <t xml:space="preserve">Viešoji biblioteka </t>
  </si>
  <si>
    <t xml:space="preserve">Visagino miesto fontano priežiūros  darbai </t>
  </si>
  <si>
    <t xml:space="preserve">Nepertraukiamas valstybinės funkcijos (valstybės perduotos savivaldybėms), susijusios
su savivaldybėms priskirtos valstybinės žemės ir kito valstybės turto valdymu, naudojimu ir
disponavimu juo patikėjimo teise, įgyvendinimas savivaldybių teritorijoje esančių miestų ir
miestelių teritorijų ribose valstybinėje žemėj, proc. </t>
  </si>
  <si>
    <t xml:space="preserve">Lietuvos Respublikos vietos savivaldos įstatymo 7 straipsnio 1 punkto įgyvendinimo užtikrinimas.  </t>
  </si>
  <si>
    <t xml:space="preserve">Lietuvos Respublikos vietos savivaldos įstatymo 7 straipsnio 19  punkto įgyvendinimas. </t>
  </si>
  <si>
    <t xml:space="preserve">Lietuvos Respublikos vietos savivaldos įstatymo  7 straipsnio 28  punkto nuostatų įgyvendinimas. </t>
  </si>
  <si>
    <t xml:space="preserve">Lietuvos Respublikos vietos savivaldos įstatymo   7 straipsnio 28  punkto įgyvendinimo užtikrinimas.  </t>
  </si>
  <si>
    <t>Lietuvos Respublikos vietos savivaldos įstatymo 7 straipsnio 2  punkto įgyvendinimo užtikrinimas.</t>
  </si>
  <si>
    <t xml:space="preserve">Lietuvos Respublikos vietos savivaldos įstatymo 7 straipsnio 27 punkto įgyvendinimo užtikrinimas. </t>
  </si>
  <si>
    <t xml:space="preserve">Lietuvos Respublikos vietos savivaldos įstatymo  7 straipsnio 36 punkto įgyvendinimo užtikrinimas. </t>
  </si>
  <si>
    <t>Įgyvendintų savivaldybėms teisės aktuose nustatytų priemonių, vykdant savivaldybėms perduotą valstybinę funkciją ,,Dalyvavimas rengiant ir vykdant mobilizaciją, demobilizaciją, priimančiosios šalies paramą“, procentas, palyginti su visu teisės aktuose nustatytų priemonių
skaičiumi</t>
  </si>
  <si>
    <t xml:space="preserve">Lietuvos Respublikos vietos savivaldos įstatymo 7 straipsnio 3 punkto įgyvendinimo užtikrinimas.  </t>
  </si>
  <si>
    <t xml:space="preserve">Lietuvos Respublikos vietos savivaldos įstatymo 7 straipsnio 3 punkto įgyvendinimas. </t>
  </si>
  <si>
    <t xml:space="preserve">Lietuvos Respublikos vietos savivaldos įstatymo  7 straipsnio 20,21,22 punkto įgyvendinimo užtikrinimas. </t>
  </si>
  <si>
    <t xml:space="preserve">Lietuvos Respublikos vietos savivaldos įstatymo 7 straipsnio 13 punkto įgyvendinimo užtikrinimas. </t>
  </si>
  <si>
    <t xml:space="preserve">Lietuvos Respublikos vietos savivaldos įstatymo 7 straipsnio 35 punkto įgyvendinimas. </t>
  </si>
  <si>
    <t xml:space="preserve">Lietuvos Respublikos vietos savivaldos įstatymo 7 straipsnio 20 punkto įgyvendinimo užtikrinimas. </t>
  </si>
  <si>
    <t xml:space="preserve">Lietuvos Respublikos vietos savivaldos įstatymo 7 straipsnio 34 punkto įgyvendinimo užtikrinimas. </t>
  </si>
  <si>
    <t xml:space="preserve">Visagino savivaldybės investicijų pritraukimo programos įgyvendinimas </t>
  </si>
  <si>
    <t xml:space="preserve">Atlikti investicinės aplinkos tyrimą Visagino savivaldybėje </t>
  </si>
  <si>
    <t>Sukurti talentų pritraukimo į Visagino savivaldybę programą</t>
  </si>
  <si>
    <t>Įgyvendinti talentų pritraukimo į Visagino savivaldybę programą</t>
  </si>
  <si>
    <t>Sukurti verslo paramos programą</t>
  </si>
  <si>
    <t>Įgyvendinti verslo paramos programą</t>
  </si>
  <si>
    <t xml:space="preserve">Atlikti verslo aplinkos tyrimą Visagino savivaldybėje </t>
  </si>
  <si>
    <t>Užtikrinti Visagino savivaldybės įsipareigojimų VšĮ „Versli Lietuva“ vykdymą organizuojant bei administruojant „Spiečiaus“ veiklas</t>
  </si>
  <si>
    <t>Sukurti verslumo skatinimo programą</t>
  </si>
  <si>
    <t xml:space="preserve">Įgyvendinti verslumo skatinimo programą </t>
  </si>
  <si>
    <t>Pritaikyti patalpas, esančias Taikos pr. 7, Visagine, verslo poreikiams</t>
  </si>
  <si>
    <t>Įgyvendinta energetinio efektyvumo didinimo programa</t>
  </si>
  <si>
    <t>Sukurti energetinio efektyvumo tyrimo sistemą</t>
  </si>
  <si>
    <t>Kūrybinių industrijų programos įgyvendinimas</t>
  </si>
  <si>
    <t>Viešųjų paslaugų verslo atstovams ir investuotojams teikimas</t>
  </si>
  <si>
    <t>Teikti komercines paslaugas verslo atstovams ir investuotojams</t>
  </si>
  <si>
    <t>Investuotojams skirtos duomenų bazės sukūrimas ir palaikymas</t>
  </si>
  <si>
    <t>Verslui skirtos informacinės duomenų bazės sukūrimas ir palaikymas</t>
  </si>
  <si>
    <t>Viešosioms paslaugoms teikti nenaudojamo turto išlaikymas</t>
  </si>
  <si>
    <t>Personalo išlaikymas</t>
  </si>
  <si>
    <t>Darbo priemonių užtikrinimas</t>
  </si>
  <si>
    <t>Kvalifikacijos kėlimo užtikrinimas</t>
  </si>
  <si>
    <t xml:space="preserve">VšĮ Visagino ligoninė
</t>
  </si>
  <si>
    <t xml:space="preserve">VšĮ Visagino pirminės sveikatos priežiūros centras </t>
  </si>
  <si>
    <t xml:space="preserve">UAB „Visagino energija“ </t>
  </si>
  <si>
    <t xml:space="preserve">UAB „Visagino būstas“ </t>
  </si>
  <si>
    <t xml:space="preserve">VšĮ Visagino turizmo plėtros centras </t>
  </si>
  <si>
    <t>VšĮ Visagino miesto muziejus </t>
  </si>
  <si>
    <t xml:space="preserve">Viešoji įstaiga Visagino futbolo centras </t>
  </si>
  <si>
    <t>2025 m. priemonės įgyvendintos 100 proc.</t>
  </si>
  <si>
    <t>2026 m. priemonės įgyvendintos 100 proc.</t>
  </si>
  <si>
    <t>Iš jų: regioninių pažangos priemonių lėšos (RP)</t>
  </si>
  <si>
    <t>254 ūkst./ metus</t>
  </si>
  <si>
    <t>Vykdant šią priemonę, planuojama ir grąžinama dotacija, skirta Visagino savivaldybės projektams įgyvendinti. Skirta dotacija turi būti grąžinta po projekto įgyvendinimo. Grąžintiną dotacijos sumą nustato UAB Viešųjų investicijų plėtros agentūra (VIPA) vadovaudamasi Aprašo priede nustatyta vertinimo metodika. Dotacija grąžinama du kartus per metus pradedant ją grąžinti ateinančiais metais po projekto įgyvendinimo pabaigos iki einamųjų metų birželio 30 dienos ir gruodžio 10 dienos. 2016–2021  metais buvo pasirašyta 12 sutarčių dėl dotacijų skyrimo.</t>
  </si>
  <si>
    <t xml:space="preserve">Lietuvos Respublikos vietos savivaldos įstatymo 6 straipsnio 7punktas numato bendrojo ugdymo mokyklų mokinių, gyvenančių kaimo gyvenamosiose vietovėse, neatlygintinio pavėžėjimo į mokyklas ir į namus organizavimą. </t>
  </si>
  <si>
    <t>Pagal biudžetinių įstaigų ir miesto gyventojų prašymus remontuojami ypač blogos būklės šaligatviai, pėsčiųjų takai.  Taip pat planuojamas Vilties g., esančių laiptų remontas kartu su  šaligatvių sutvarkymu šalia vaikų žaidimo aikštelės.</t>
  </si>
  <si>
    <t>Įvažiavimo į kiemą Nr. 207 (nuo Veteranų g. iki Sedulinos al. 23)  statybos rangos darbai. Planuojama darbų pabaiga 2024 m. balandžio mėn. 
Taip pat planuojama įrengti pėsčiųjų perėją Kosmoso ir Partizanų g. sankryžoje.</t>
  </si>
  <si>
    <t xml:space="preserve">Įgyvendinant priemonę bus apmokamos sąskaitos už savivaldybės gatvių apšvietimą. </t>
  </si>
  <si>
    <t xml:space="preserve">2 lentelė. 2024-2026 metų asignavimų ir kitų lėšų pasiskirstymas pagal programas (tūkst. eurų) </t>
  </si>
  <si>
    <t xml:space="preserve">Trumpas priemonės įgyvendinimo aprašymas
</t>
  </si>
  <si>
    <t>Programos įgyvendinimo koordinatorė Jolita Kriaučiūnaitė, jolita.kriauciunaite@visaginas.lt, tel. 8 (386) 36 008</t>
  </si>
  <si>
    <t xml:space="preserve">Programos įgyvendinimo koordinatorius Artūras Česliokas, arturas.cesliokas@visaginas.lt, tel. +8 (386) 36 067
</t>
  </si>
  <si>
    <t xml:space="preserve">Programos įgyvendinimo koordinatorė Kristina Gedžiūnaitė, kristina.gedziunaite@visaginas.lt, tel. 8 (386) 33 415 
</t>
  </si>
  <si>
    <t xml:space="preserve">Programos įgyvendinimo koordinatoriai
Kristina Gedžiūnaitė, kristina.gedziunaite@visaginas.lt, tel. 8 (386) 33415
Evelina Visockytė, evelina.visockytė@visaginas.lt, tel.8 (386) 36 017
Danutė Kotovienė, danutė.kotoviene@visaginas.lt., tel. 8 (386) 31 587
Valentina Raubiškienė, valentina.raubiskiene@visaginas.lt, tel. 8 (386) 31 372
</t>
  </si>
  <si>
    <t xml:space="preserve">Programos įgyvendinimo koordinatorė Jolita Zabulytė, jolita.zabulyte@visaginas.lt, tel. 8 (386) 36 007
</t>
  </si>
  <si>
    <t xml:space="preserve">Programos įgyvendinimo koordinatorės
Danutė Kardelienė, danute.kardeliene@visaginas.lt, tel.8 (386) 61 092
Raisa Virko, raisa.virko@visaginas.lt, tel. 8 (386) 71 332
</t>
  </si>
  <si>
    <t xml:space="preserve">Programos įgyvendinimo koordinatorės:
Viktorija Abaravičienė, viktorija.abaraviciene@visaginas.lt, tel. 8 (386) 60 698
Inga Semionova, inga.semionova@visaginas.lt, tel.8 (386) 61 211
</t>
  </si>
  <si>
    <t>3 lentelė.  Valdymo tobulinimo programos  (01) uždaviniai, priemonės, asignavimai ir kitos lėšos (tūkst.eurų) ir jų stebėsenos rodikliai</t>
  </si>
  <si>
    <t>4 lentelė.Švietimo paslaugų plėtros programos  (02) uždaviniai, priemonės, asignavimai ir kitos lėšos (tūkst.eurų) ir jų stebėsenos rodikliai</t>
  </si>
  <si>
    <t>5 lentelė. Fizinio aktyvumo ir sporto plėtros programos  (03) uždaviniai, priemonės, asignavimai ir kitos lėšos (tūkst.eurų) ir jų stebėsenos rodikliai</t>
  </si>
  <si>
    <t>6 lentelė. Gyventojų kultūrinio aktyvumo skatinimo ir identiteto stiprinimo programos (04) uždaviniai, priemonės, asignavimai ir kitos lėšos (tūkst.eurų) ir jų stebėsenos rodikliai</t>
  </si>
  <si>
    <t>7 lentelė.Visagino savivaldybės bendruomeniškumo skatinimo programos (05) uždaviniai, priemonės, asignavimai ir kitos lėšos (tūkst.eurų) ir jų stebėsenos rodikliai</t>
  </si>
  <si>
    <t>8 lentelė. Socialinės paramos programos  (06) uždaviniai, priemonės, asignavimai ir kitos lėšos (tūkst.eurų) ir jų stebėsenos rodikliai</t>
  </si>
  <si>
    <t>9 lentelė. Visagino savivaldybės sveikatos apsaugos paslaugų kokybės gerinimo programos (07) uždaviniai, priemonės, asignavimai ir kitos lėšos (tūkst.eurų) ir jų stebėsenos rodikliai</t>
  </si>
  <si>
    <t>10 lentelė. Aplinkos apsaugos programos (08) uždaviniai, priemonės, asignavimai ir kitos lėšos (tūkst.eurų) ir jų stebėsenos rodikliai</t>
  </si>
  <si>
    <t>11 lentelė. Ekonominės plėtros programos (09) uždaviniai, priemonės, asignavimai ir kitos lėšos (tūkst.eurų) ir jų stebėsenos rodikliai</t>
  </si>
  <si>
    <t>12 lentelė. Viešosios infrastruktūros programos  (10) uždaviniai, priemonės, asignavimai ir kitos lėšos (tūkst.eurų) ir jų stebėsenos rodikliai</t>
  </si>
  <si>
    <t>13 lentelė. Planuojami pasiekti pagrindiniai įstaigų/įmonių veiklos rodikliai</t>
  </si>
  <si>
    <t>Iki 2030 metų planuojame papildomai įrengti 14 vaikų žaidimų aikštelių Visagino miesto daugiabučių gyvenamųjų namų kiemuose. 2024 metais planuojama įrengti 3 vaikų žaidimo aikšteles daugiabučių namų kiemuose. 
2024 m.aikšteles planuojame įrengti :                                                
1. Šalia daugiabučio gyvenamojo namo Taikos pr. 88
2. Šalia daugiabučio gyvenamojo namo Vilties g. 23
3. Šalia daugiabučio gyvenamojo namo Sedulinos al. 14
4. Šalia daugiabučio gyvenamojo namo Taikos pr. 32
2025 m. 
4. Šalia daugiabučio gyvenamojo namo  Taikos pr. 14
5. Šalia daugiabučio gyvenamojo namo  Festivalio g. 1
6. Šalia daugiabučio gyvenamojo namo  Visagino g. 27                                             
Planuojama parengti vaikų žaidimo aikštelės, šalia daugiabučių gyvenamųjų namų Parko g. 2, 4, 6, 8, 10, Visagine, supaprastintą projektą.</t>
  </si>
  <si>
    <t>Priemonė įgyvendinama pagal gautus gyventojų prašymus. 2024 m. planuojamos atlikti veiklos:            
 1.Visagino savivaldybės, vietinės reikšmės kelių ir gatvių su žvyro danga profiliavimas;        
2.Visagino savivaldybės, Kalviškių kaimo, Ežerų gatvės, pralaidos įrengimas;                                 
3. Visagino miesto Gulbinio gatvės apsauginio automobilinio atitvaros  įrengimo darbai; 
4.Visagino savivaldybės, Tumelinos kaimo, Tumelinos gatvės paprastasis remontas.    
5. Visagino savivaldybės, Karlų kaimo, Karlų gatvės paprastasis remontas.</t>
  </si>
  <si>
    <t xml:space="preserve">Esant galimybėms ir poreikiams, renovuoti sporto ir laisvalaikio aikšteles. Parengti techninę dokumentaciją S Kosmoso g. 3B aikštelėje įrengimui ir Draugystės progimnazijos stadiono sutvarkymui. 
</t>
  </si>
  <si>
    <t xml:space="preserve">Įgyvendinant priemonę planuojama parengti investicinius projektus Parko g. 14, Vilties g. 1  pastatų modernizavimui. </t>
  </si>
  <si>
    <t xml:space="preserve">Projektas įgyvendinamas pagal 2014–2020 metų Europos Sąjungos fondų investicijų veiksmų programos 7 prioriteto „Kokybiško užimtumo ir dalyvavimo darbo rinkoje skatinimas" Nr. 07.1.1-CPVA-V-906 priemonės „Kompleksinė paslaugų plėtra integruotų teritorijų vystymo programų tikslinėse teritorijose". Projekto įgyvendinimo metu  statoma autobusų stotis bei sutvarkoma aplink esanti teritorija, o pačioje autobusų stotyje įrengiamas turizmo informacijos centras.  Projekto veiklų pabaiga planuojama 2024 m., taip pat per 2024 m. planuojama  parengti autobusų stoties įveiklinimo dokumentus. 
Lėšos planuojamos įsigyti dizaino paslaugas ir baldus, užbaigti fasado ir jo tvirtinimo darbus. Taip pat inžinerinių, komunalinių, apsaugos ir kt. būtinų išlaidų padengimui. 
</t>
  </si>
  <si>
    <t xml:space="preserve">2019 m. Visagino mieste buvo įrengtos dvi elektromobilių įkrovimo aikštelės Parko g. 14 ir Taikos pr. 80 A. 2022 m.  įrengta dar tris elektromobilių įkrovimo prieigų aikšteles šalia pastatų Taikos pr. 7, Tarybų g. 12 ir Energetikų g. 20. 2024 m. naujų aikštelių įrengti neplanuojama, planuojamos lėšos esamų aikštelių eksploatavimui. </t>
  </si>
  <si>
    <t xml:space="preserve">Projekto  "Stiprinti ikimokyklinio 
ugdymo įstaigų tinklą, kuriant naujas ugdymo veiklas " įgyvendinimas
</t>
  </si>
  <si>
    <t xml:space="preserve">Projekto „Visos dienos užimtumo erdvių sukūrimas Visagino bendrojo ugdymo mokyklose“ įgyvendinimas
</t>
  </si>
  <si>
    <t>MISIJA</t>
  </si>
  <si>
    <t>I SKYRIUS
SAVIVALDYBĖS MISIJA IR VEIKLOS PRIORITETAI</t>
  </si>
  <si>
    <t>SAVIVALDYBĖS PRIORITETAI</t>
  </si>
  <si>
    <t xml:space="preserve">Žygių maršrutų  "Visaginas. Miestas miške-miškas mieste" sukūrimas, įntegracija į funkcinės zonos VIZA ir Utenos regiono bendrus turizmo maršrutus, priėjimų prie lankomų/gamtos objektų įrengimas, atokvėpio/stebėjimo vietų įrengimas </t>
  </si>
  <si>
    <r>
      <t>LR Vietos savivaldos įstatymo 7 straipsnio 12 punkto įgyvendinimas.</t>
    </r>
    <r>
      <rPr>
        <sz val="9"/>
        <color rgb="FFFF0000"/>
        <rFont val="Arial"/>
        <family val="2"/>
      </rPr>
      <t xml:space="preserve"> </t>
    </r>
  </si>
  <si>
    <t>Programos įgyvendinimo koordinatorė Žana Miltina, zana.miltina@visaginas.lt, tel. 8 (386) 36 006</t>
  </si>
  <si>
    <r>
      <t>Švietimo ir ugdymo paslaugų plėtra, vystant STEAM ugdymo modelį</t>
    </r>
    <r>
      <rPr>
        <b/>
        <sz val="9"/>
        <color rgb="FFFF0000"/>
        <rFont val="Arial"/>
        <family val="2"/>
      </rPr>
      <t xml:space="preserve">
</t>
    </r>
  </si>
  <si>
    <t>Mokyklos, kuriose buvo įdiegtos universalaus dizaino ir kitos inžinerinės priemonės pritaikant aplinką asmenims turintiems negalią</t>
  </si>
  <si>
    <r>
      <t>Švietimo pagalbą gaunančių mokinių dalis</t>
    </r>
    <r>
      <rPr>
        <sz val="9"/>
        <rFont val="Arial"/>
        <family val="2"/>
      </rPr>
      <t xml:space="preserve"> (</t>
    </r>
    <r>
      <rPr>
        <sz val="9"/>
        <color rgb="FF000000"/>
        <rFont val="Arial"/>
        <family val="2"/>
      </rPr>
      <t>nuo visų mokinių, kuriems nustatytas švietimo pagalbos poreikis, skaičiaus)</t>
    </r>
  </si>
  <si>
    <t>Siekiant formuoti regioninį išskirtinumą, kurti savitus, aktualaus turinio, kokybiškus kultūros produktus ir paslaugas, sudaryti sąlygas savivaldybės kultūros lauko veikėjų kultūrinių,  kūrybinių iniciatyvų įgyvendinimui, tam pasitelkti kūrybiškos vietokūros metodo teikiamas galimybes, bei sudaryti sąlygas profesionalaus meno prieinamumui</t>
  </si>
  <si>
    <r>
      <t>Miesto gatvių, erdvių puošyba,  l</t>
    </r>
    <r>
      <rPr>
        <sz val="9"/>
        <color rgb="FFFF0000"/>
        <rFont val="Arial"/>
        <family val="2"/>
      </rPr>
      <t xml:space="preserve">edas aplink eglutę kalėdinę (poreikis </t>
    </r>
  </si>
  <si>
    <r>
      <t>Teikiama parama vienkartinėmis, tikslinėmis, periodinėmis ir sąlyginėmis pašalpomis asmenims ir šeimoms, kurios vadovaujantis Piniginės socialinės paramos nepasiturintiems Visagino savivaldybės gyventojams teikimo tvarkos aprašu, patvirtintu Visagino savivaldybės tarybos 2015 m. sausio 29 d. sprendimu Nr. TS-1, turi teisę į šią paramą. Teikiama vienkartinė parama užsieniečiams, pasitraukusiems iš Ukrainos dėl Rusijos Federacijos karinių veiksmų. Vienkartinės, tikslinės, sąlyginės ir periodinės pašalpos skiriamos siekiant padėti bendrai gyvenantiems asmenims arba vienam gyvenančiam asmeniui, kai jie yra išnaudoję visas kitų pajamų gavimo galimybes. Kita socialinė parama neužtikrina ilgalaikio ekonominio ir socialinio saugumo, o tik padeda bendrai gyvenantiems asmenims ar vienam gyvenančiam asmeniui esant sunkioms materialinėms sąlygoms. Skiriama parama vaistams, gydymo išlaidoms apmokėti, mokesčiams už komunalines paslaugas iš dalies apmokėti, gaisro atveju, įvykus nelaimei, nukentėjus nuo gaisro, grįžus iš įkalinimo įstaigos ir pan. (savivaldybės biudžeto lėšos). Parama teikiama kiekvieną mėnesį, savivaldybės gyventojų prašymus šiai paramai gauti svarsto Visagino savivaldybės administracijos direktoriaus įsakymu sudaryta Visagino savivaldybės socialinių reikalų komisija</t>
    </r>
    <r>
      <rPr>
        <sz val="9"/>
        <color rgb="FFFF0000"/>
        <rFont val="Arial"/>
        <family val="2"/>
      </rPr>
      <t>.</t>
    </r>
  </si>
  <si>
    <r>
      <t>Projektą įgyvendinamas  2021-2027 m. Europos Sąjungos investicijų programos lėšomis. Projekto tikslas- užtikrinti efektyvesnį, kokybiškesnį psichiatrijos sveikatos paslaugų teikimą Visagino savivaldybėje.
Projekto uždaviniai:
- Suremontuoti ir įrengti Visagino PSPC II aukšto patalpas.
- Įsigyti psichikos sveikatos priežiūros paslaugų teikimui reikalingą įrangą ir baldus.
- Įsteigti 12 vietų dienos stacionarą Visagino PSPC.
-  Pagerinti psichikos sveikatos priežiūros paslaugų prieinamumą Visagino PSPC.  Projektą įgyvendina VšĮ Visagino pirminės sveikatos priežiūros</t>
    </r>
    <r>
      <rPr>
        <sz val="9"/>
        <color rgb="FFFF0000"/>
        <rFont val="Arial"/>
        <family val="2"/>
      </rPr>
      <t xml:space="preserve"> </t>
    </r>
    <r>
      <rPr>
        <sz val="9"/>
        <rFont val="Arial"/>
        <family val="2"/>
      </rPr>
      <t>centras.</t>
    </r>
  </si>
  <si>
    <t>Įgyvendinti Lietuvos Respublikos gyvūnų gerovės ir apsaugos įstatymo nuostatas</t>
  </si>
  <si>
    <r>
      <t>Planuojamos įgyvendinti priemonės:
1) Savivaldybės aplinkos monitoringo parengimas
2) Visagino savivaldybės aplinkos monitoringo programos priemonių įgyvendinimas ir aplinkos monitoringo duomenų bazės tvarkymas ir priežiūra.
3) Visagino ežero dugno valymas (6000 kv.m.)
4) Visagino ežero maudyklos vandens kokybės stebėsena ir paplūdimio smėlio tyrimai</t>
    </r>
    <r>
      <rPr>
        <sz val="9"/>
        <color rgb="FFFF0000"/>
        <rFont val="Arial"/>
        <family val="2"/>
      </rPr>
      <t xml:space="preserve">
</t>
    </r>
  </si>
  <si>
    <r>
      <rPr>
        <b/>
        <sz val="9"/>
        <rFont val="Arial"/>
        <family val="2"/>
      </rPr>
      <t>Visagino inovacijų klasteris veiklos vykdymas</t>
    </r>
    <r>
      <rPr>
        <b/>
        <sz val="9"/>
        <color rgb="FFFF0000"/>
        <rFont val="Arial"/>
        <family val="2"/>
      </rPr>
      <t xml:space="preserve">
</t>
    </r>
  </si>
  <si>
    <t>Laisvosios ekonominės zonos steigimo Visagino savivaldybėje proceso organizavimas</t>
  </si>
  <si>
    <t xml:space="preserve">Programos įgyvendinimo koordinatorės:
Valentina Raubiškienė, valentina.raubiskiene@visaginas.lt, tel. 8 (386) 31 372
Viktorija Abaravičienė, viktorija.abaraviciene@visaginas.lt, tel.8 (386) 60 698
Inga Semionova, inga.semionova@visaginas.lt, tel.8 (386) 61 211
</t>
  </si>
  <si>
    <r>
      <t xml:space="preserve">Įgyvendinant priemonę bus organizuojami 7 maršrutai:
1. Vietinio (priemiestinio) reguliaraus susisiekimo maršrutai Nr. 1-4 (Visgaino miestas-sodininkų bendrijos "Pavasaris", "Statybininkas", "Vyšnia" ir "Kapinės")
2. Vietinio reguliaraus susisiekimo maršrutas Nr. 5 (Visagino miestas -Lapušiškės kaimas). 
3. Vietinio (miesto) reguliaraus susisiekimo maršrutas Nr. 8 (Visagino miestas)
</t>
    </r>
    <r>
      <rPr>
        <sz val="9"/>
        <color theme="1"/>
        <rFont val="Arial"/>
        <family val="2"/>
      </rPr>
      <t>4. Vietinio reguliaraus susisiekimo maršrutas Nr. 6 (Visagino miestas - Makaravo kaimas).</t>
    </r>
    <r>
      <rPr>
        <sz val="9"/>
        <rFont val="Arial"/>
        <family val="2"/>
      </rPr>
      <t xml:space="preserve">
</t>
    </r>
  </si>
  <si>
    <t xml:space="preserve">Įgyvendinant projektą 2024-2027 m. laikotarpyje planuojama įgyvendinti šias veiklas:
- Dviračio tako nuo Geležinkelio stoties iki Taikos /Energetikų sankryžos rekonstravimas ir įrengimas
- Dviračių tako Kosmoso g. nuo Autobusų stoties (nuo Parko iki Taikos pr.) rekonstravimas ir įrengimas
- Dviračių/pėsčiųjų  tako įrengimas (individualių namų kvartale) įrengimas 
- Dviračių tako su apšvietimu nuo sankryžos Taikos pr. ir Energetikų g. iki Tumelinos k. (SB ,,Vyšnia“), Visagino sav. (šalia valstybinės reikšmės kelio Nr. 5348) įrengimas, sujungiant Visagino miestą, pramonės teritorijas ir kaimiškas teritorijas
- Dviračių tako su apšvietimu link pramonės teritorijos Karlų k. nuo sankryžos Taikos pr. ir Energetikų g. iki valstybinės reikšmės kelio Nr. 177 (šalia valstybinės reikšmės kelio Nr. 113) įrengimas
- Dviračių tako nuo valstybinės reikšmės kelio Nr. 177 ir Nr. 5348 sankryžos, iki Magūnų k., Visagino sav. įrengimas, sujungiant Visagino miestą su pramonės teritorijomis ir viešosiomis erdvėmis 
- Dviračių tako nuo sankryžos Energetikų g. ir Jaunystės g. iki Gulbinio g. Magūnų k. (SB ,,Pavasaris“) Visagino sav. įrengimas, sujungiant Visagino miestą, pramonės teritorijas ir kaimiškas teritorijas 
Įrengti apšvietimą šalia pėsčiųjų perėjų:
- Taikos pr. (3 vnt.); Kosmoso g. (2 vnt.); Vilties g. (4 vnt.); Festivalio g. (1 vnt.); Parko g. (1 vnt.);
- Santarvės g. (1 vnt.); Veteranų g. (1 vnt.); Energetikų g. (3 vnt.); Jaunystės g. (1 vnt.); Draugystės g. (2 vnt.).
- Įrengimas dviračių  saugojimo aikštelių (uždaros aikštelės) ir dviračių laikymo stovų  su stogeliu (atviros aikštelės).
- Viešojo transporto stotelių pritaikymas specialiųjų poreikių turintiems
žmonėms: Draugystės st. viešojo transporto stotelės įrengimas su dangos pakeitimu; Ežeryno ir Jaunystės stotelių dalinis elementų įrengimas.
- Pėsčiųjų takų pritaikymas specialiųjų poreikių turintiems žmonėms: Veteranų g.; Statybininkų g.; Jaunystės g.; Kosmoso g.; Visagino g.; Draugystės g.; Parko g.
- Pėsčiųjų perėjų pritaikymas specialiųjų poreikių turintiems žmonėms: Santarvės g. – 3 pėsčiųjų perėjos; Parko g. – 4 perėja; Taikos pr. – 9 perėjos; Statybininkų g. – 6 perėjos; Kosmoso g. – 5 perėjos; Energetikų g. 1 perėja; Jaunystės g. – 2 perėjos.
- Sankryžų pritaikymas specialiųjų poreikių turintiems žmonėms: Kosmoso g. ir Taikos pr. sankryža – 1 vnt.; Energetikų g.ir Jaunystės g. sankryža – 1 vnt.; Taikos g. ir Energetikų g. sankryža (žiedinė sankryža) – 1 vnt.
- Informacinių elektroninių švieslenčių diegimas prie autobusų stotelių: Ligoninė; Biblioteka; Statybininkų; Vilkaragis;  Energetikų; Draugystės; Žalioji; Jaunystės; Santarvės; Parko; Turgus; Kosmoso.
</t>
  </si>
  <si>
    <r>
      <rPr>
        <b/>
        <sz val="9"/>
        <color rgb="FFFF0000"/>
        <rFont val="Arial"/>
        <family val="2"/>
      </rPr>
      <t>PROJEKTAS</t>
    </r>
    <r>
      <rPr>
        <sz val="9"/>
        <rFont val="Arial"/>
        <family val="2"/>
      </rPr>
      <t xml:space="preserve">
PATVIRTINTA
Visagino savivaldybės tarybos                                        2024 m. ______ d. sprendimu Nr. TS-_____</t>
    </r>
  </si>
  <si>
    <t>Trumpas priemonės įgyvendinimo aprašymas</t>
  </si>
  <si>
    <t>Trumpas priemonės įgyvendinimo aprašymase</t>
  </si>
  <si>
    <t>27</t>
  </si>
  <si>
    <t>7000</t>
  </si>
  <si>
    <t>1400</t>
  </si>
  <si>
    <t>998</t>
  </si>
  <si>
    <t>4/100</t>
  </si>
  <si>
    <t>Vaikų, gavusių dienos centre teikiamos socialinės paslaugos, skaičius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</si>
</sst>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0&quot;     &quot;;\-#,##0.00&quot;     &quot;;&quot; -&quot;#&quot;     &quot;;@\ "/>
    <numFmt numFmtId="165" formatCode="#,##0.00&quot;    &quot;;\-#,##0.00&quot;    &quot;;&quot; -&quot;#&quot;    &quot;;@\ "/>
    <numFmt numFmtId="166" formatCode="0.000"/>
    <numFmt numFmtId="167" formatCode="0.0"/>
    <numFmt numFmtId="168" formatCode="00"/>
    <numFmt numFmtId="169" formatCode="#,##0.000"/>
    <numFmt numFmtId="170" formatCode="0.0%"/>
  </numFmts>
  <fonts count="148">
    <font>
      <sz val="10"/>
      <name val="Arial"/>
      <family val="2"/>
      <charset val="186"/>
    </font>
    <font>
      <sz val="11"/>
      <color indexed="8"/>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TimesLT"/>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color indexed="10"/>
      <name val="Arial"/>
      <family val="2"/>
      <charset val="186"/>
    </font>
    <font>
      <b/>
      <sz val="10"/>
      <name val="Times New Roman"/>
      <family val="1"/>
      <charset val="186"/>
    </font>
    <font>
      <sz val="10"/>
      <name val="Times New Roman"/>
      <family val="1"/>
      <charset val="186"/>
    </font>
    <font>
      <sz val="9"/>
      <name val="Times New Roman"/>
      <family val="1"/>
      <charset val="186"/>
    </font>
    <font>
      <sz val="8"/>
      <name val="Times New Roman"/>
      <family val="1"/>
      <charset val="186"/>
    </font>
    <font>
      <sz val="8"/>
      <name val="Arial"/>
      <family val="2"/>
      <charset val="186"/>
    </font>
    <font>
      <b/>
      <i/>
      <sz val="10"/>
      <color indexed="14"/>
      <name val="Times New Roman"/>
      <family val="1"/>
      <charset val="186"/>
    </font>
    <font>
      <i/>
      <sz val="8"/>
      <name val="Times New Roman"/>
      <family val="1"/>
      <charset val="186"/>
    </font>
    <font>
      <sz val="7"/>
      <name val="Times New Roman"/>
      <family val="1"/>
      <charset val="186"/>
    </font>
    <font>
      <b/>
      <i/>
      <sz val="10"/>
      <name val="Times New Roman"/>
      <family val="1"/>
      <charset val="186"/>
    </font>
    <font>
      <b/>
      <i/>
      <sz val="10"/>
      <color indexed="8"/>
      <name val="Times New Roman"/>
      <family val="1"/>
      <charset val="186"/>
    </font>
    <font>
      <i/>
      <sz val="8"/>
      <name val="Arial"/>
      <family val="2"/>
      <charset val="186"/>
    </font>
    <font>
      <sz val="10"/>
      <color indexed="10"/>
      <name val="Times New Roman"/>
      <family val="1"/>
      <charset val="186"/>
    </font>
    <font>
      <sz val="10"/>
      <color indexed="8"/>
      <name val="Times New Roman"/>
      <family val="1"/>
      <charset val="186"/>
    </font>
    <font>
      <sz val="8"/>
      <color indexed="8"/>
      <name val="Times New Roman"/>
      <family val="1"/>
      <charset val="186"/>
    </font>
    <font>
      <sz val="9"/>
      <name val="Times New Roman"/>
      <family val="1"/>
      <charset val="1"/>
    </font>
    <font>
      <sz val="10"/>
      <name val="Times New Roman"/>
      <family val="1"/>
      <charset val="204"/>
    </font>
    <font>
      <b/>
      <sz val="12"/>
      <name val="Times New Roman"/>
      <family val="1"/>
      <charset val="186"/>
    </font>
    <font>
      <b/>
      <sz val="12"/>
      <color indexed="8"/>
      <name val="Times New Roman"/>
      <family val="1"/>
      <charset val="186"/>
    </font>
    <font>
      <b/>
      <sz val="10"/>
      <name val="Times New Roman"/>
      <family val="1"/>
      <charset val="1"/>
    </font>
    <font>
      <sz val="10"/>
      <name val="Times New Roman"/>
      <family val="1"/>
      <charset val="1"/>
    </font>
    <font>
      <sz val="9"/>
      <name val="Times New Roman"/>
      <family val="1"/>
      <charset val="204"/>
    </font>
    <font>
      <sz val="8"/>
      <name val="Times New Roman"/>
      <family val="1"/>
      <charset val="1"/>
    </font>
    <font>
      <sz val="10"/>
      <color indexed="8"/>
      <name val="Times New Roman"/>
      <family val="1"/>
      <charset val="1"/>
    </font>
    <font>
      <b/>
      <i/>
      <sz val="10"/>
      <color indexed="14"/>
      <name val="Times New Roman"/>
      <family val="1"/>
      <charset val="1"/>
    </font>
    <font>
      <sz val="9"/>
      <color indexed="81"/>
      <name val="Tahoma"/>
      <family val="2"/>
      <charset val="186"/>
    </font>
    <font>
      <sz val="6"/>
      <name val="Times New Roman"/>
      <family val="1"/>
      <charset val="1"/>
    </font>
    <font>
      <b/>
      <sz val="9"/>
      <color indexed="81"/>
      <name val="Tahoma"/>
      <family val="2"/>
      <charset val="186"/>
    </font>
    <font>
      <sz val="10"/>
      <name val="Arial"/>
      <family val="2"/>
      <charset val="186"/>
    </font>
    <font>
      <sz val="10"/>
      <color indexed="10"/>
      <name val="Times New Roman"/>
      <family val="1"/>
      <charset val="186"/>
    </font>
    <font>
      <sz val="10"/>
      <color indexed="10"/>
      <name val="Arial"/>
      <family val="2"/>
      <charset val="186"/>
    </font>
    <font>
      <b/>
      <sz val="10"/>
      <color indexed="10"/>
      <name val="Times New Roman"/>
      <family val="1"/>
      <charset val="1"/>
    </font>
    <font>
      <sz val="10"/>
      <color indexed="10"/>
      <name val="Times New Roman"/>
      <family val="1"/>
      <charset val="1"/>
    </font>
    <font>
      <sz val="10"/>
      <name val="Times Bold Italic"/>
      <family val="1"/>
    </font>
    <font>
      <i/>
      <sz val="8"/>
      <name val="Times Bold Italic"/>
      <family val="1"/>
    </font>
    <font>
      <sz val="10"/>
      <color indexed="10"/>
      <name val="Times New Roman"/>
      <family val="1"/>
      <charset val="204"/>
    </font>
    <font>
      <sz val="9"/>
      <color indexed="10"/>
      <name val="Times New Roman"/>
      <family val="1"/>
      <charset val="1"/>
    </font>
    <font>
      <sz val="8"/>
      <color indexed="10"/>
      <name val="Times New Roman"/>
      <family val="1"/>
      <charset val="1"/>
    </font>
    <font>
      <b/>
      <i/>
      <sz val="10"/>
      <color indexed="10"/>
      <name val="Times New Roman"/>
      <family val="1"/>
      <charset val="186"/>
    </font>
    <font>
      <b/>
      <sz val="12"/>
      <name val="Times Bold Italic"/>
      <family val="1"/>
    </font>
    <font>
      <sz val="12"/>
      <name val="Times Bold Italic"/>
      <family val="1"/>
    </font>
    <font>
      <i/>
      <sz val="12"/>
      <name val="Times Bold Italic"/>
      <family val="1"/>
    </font>
    <font>
      <b/>
      <i/>
      <sz val="12"/>
      <name val="Times Bold Italic"/>
      <family val="1"/>
    </font>
    <font>
      <sz val="8"/>
      <name val="Times Bold Italic"/>
      <family val="1"/>
    </font>
    <font>
      <b/>
      <sz val="8"/>
      <name val="Times Bold Italic"/>
      <family val="1"/>
    </font>
    <font>
      <b/>
      <i/>
      <sz val="8"/>
      <name val="Times Bold Italic"/>
      <family val="1"/>
    </font>
    <font>
      <b/>
      <i/>
      <sz val="10"/>
      <name val="Times Bold Italic"/>
      <family val="1"/>
    </font>
    <font>
      <sz val="12"/>
      <color indexed="10"/>
      <name val="Times Bold Italic"/>
      <family val="1"/>
    </font>
    <font>
      <b/>
      <sz val="12"/>
      <color indexed="10"/>
      <name val="Times Bold Italic"/>
      <family val="1"/>
    </font>
    <font>
      <b/>
      <sz val="10"/>
      <name val="Times Bold Italic"/>
      <family val="1"/>
    </font>
    <font>
      <sz val="12"/>
      <color indexed="53"/>
      <name val="Times Bold Italic"/>
      <family val="1"/>
    </font>
    <font>
      <sz val="12"/>
      <color indexed="12"/>
      <name val="Times Bold Italic"/>
      <family val="1"/>
    </font>
    <font>
      <b/>
      <i/>
      <sz val="12"/>
      <color indexed="10"/>
      <name val="Times Bold Italic"/>
      <family val="1"/>
    </font>
    <font>
      <sz val="12"/>
      <color indexed="8"/>
      <name val="Times New Roman"/>
      <family val="1"/>
      <charset val="186"/>
    </font>
    <font>
      <sz val="11"/>
      <color theme="1"/>
      <name val="Calibri"/>
      <family val="2"/>
      <charset val="186"/>
      <scheme val="minor"/>
    </font>
    <font>
      <b/>
      <i/>
      <sz val="10"/>
      <color rgb="FFFF00FF"/>
      <name val="Times New Roman"/>
      <family val="1"/>
      <charset val="186"/>
    </font>
    <font>
      <sz val="10"/>
      <color rgb="FF000000"/>
      <name val="Times New Roman"/>
      <family val="1"/>
      <charset val="186"/>
    </font>
    <font>
      <sz val="8"/>
      <color rgb="FF000000"/>
      <name val="Times New Roman"/>
      <family val="1"/>
      <charset val="186"/>
    </font>
    <font>
      <b/>
      <i/>
      <sz val="10"/>
      <color rgb="FF000000"/>
      <name val="Times New Roman"/>
      <family val="1"/>
      <charset val="186"/>
    </font>
    <font>
      <b/>
      <sz val="12"/>
      <color rgb="FF000000"/>
      <name val="Times New Roman"/>
      <family val="1"/>
      <charset val="186"/>
    </font>
    <font>
      <b/>
      <sz val="10"/>
      <name val="Arial"/>
      <family val="2"/>
    </font>
    <font>
      <sz val="12"/>
      <name val="Times New Roman"/>
      <family val="1"/>
    </font>
    <font>
      <i/>
      <sz val="12"/>
      <color rgb="FFFF0000"/>
      <name val="Times New Roman"/>
      <family val="1"/>
    </font>
    <font>
      <i/>
      <sz val="10"/>
      <color rgb="FFFF0000"/>
      <name val="Arial"/>
      <family val="2"/>
    </font>
    <font>
      <sz val="10"/>
      <name val="Arial"/>
      <family val="2"/>
    </font>
    <font>
      <i/>
      <sz val="12"/>
      <name val="Times New Roman"/>
      <family val="1"/>
      <charset val="186"/>
    </font>
    <font>
      <b/>
      <sz val="10"/>
      <name val="Arial"/>
      <family val="2"/>
      <charset val="186"/>
    </font>
    <font>
      <sz val="9"/>
      <name val="Calibri"/>
      <family val="2"/>
      <charset val="186"/>
    </font>
    <font>
      <b/>
      <i/>
      <sz val="10"/>
      <name val="Arial"/>
      <family val="2"/>
    </font>
    <font>
      <b/>
      <sz val="7"/>
      <name val="Arial"/>
      <family val="2"/>
    </font>
    <font>
      <sz val="7"/>
      <name val="Arial"/>
      <family val="2"/>
    </font>
    <font>
      <b/>
      <sz val="7"/>
      <color rgb="FFFF0000"/>
      <name val="Arial"/>
      <family val="2"/>
    </font>
    <font>
      <b/>
      <sz val="7"/>
      <color rgb="FF000000"/>
      <name val="Arial"/>
      <family val="2"/>
    </font>
    <font>
      <b/>
      <i/>
      <sz val="7"/>
      <color rgb="FF000000"/>
      <name val="Arial"/>
      <family val="2"/>
    </font>
    <font>
      <b/>
      <i/>
      <sz val="7"/>
      <name val="Arial"/>
      <family val="2"/>
    </font>
    <font>
      <i/>
      <sz val="7"/>
      <name val="Arial"/>
      <family val="2"/>
    </font>
    <font>
      <sz val="7"/>
      <color rgb="FFFF0000"/>
      <name val="Arial"/>
      <family val="2"/>
    </font>
    <font>
      <sz val="7"/>
      <name val="Arial"/>
      <family val="2"/>
      <charset val="186"/>
    </font>
    <font>
      <b/>
      <sz val="9"/>
      <name val="Arial"/>
      <family val="2"/>
    </font>
    <font>
      <sz val="9"/>
      <name val="Arial"/>
      <family val="2"/>
    </font>
    <font>
      <b/>
      <i/>
      <sz val="9"/>
      <name val="Arial"/>
      <family val="2"/>
    </font>
    <font>
      <i/>
      <sz val="7"/>
      <color rgb="FFFF0000"/>
      <name val="Arial"/>
      <family val="2"/>
    </font>
    <font>
      <sz val="10"/>
      <color rgb="FFFF0000"/>
      <name val="Arial"/>
      <family val="2"/>
    </font>
    <font>
      <sz val="10"/>
      <name val="Ariel"/>
      <charset val="186"/>
    </font>
    <font>
      <b/>
      <sz val="10"/>
      <name val="Ariel"/>
      <charset val="186"/>
    </font>
    <font>
      <sz val="10"/>
      <color rgb="FF000000"/>
      <name val="Ariel"/>
      <charset val="186"/>
    </font>
    <font>
      <i/>
      <sz val="10"/>
      <color rgb="FF000000"/>
      <name val="Ariel"/>
      <charset val="186"/>
    </font>
    <font>
      <b/>
      <sz val="10"/>
      <color rgb="FF000000"/>
      <name val="Ariel"/>
      <charset val="186"/>
    </font>
    <font>
      <sz val="10"/>
      <color rgb="FF222222"/>
      <name val="Ariel"/>
      <charset val="186"/>
    </font>
    <font>
      <b/>
      <sz val="10"/>
      <color rgb="FF000000"/>
      <name val="Arial"/>
      <family val="2"/>
    </font>
    <font>
      <sz val="10"/>
      <color rgb="FF000000"/>
      <name val="Arial"/>
      <family val="2"/>
    </font>
    <font>
      <sz val="10"/>
      <color rgb="FFFF0000"/>
      <name val="Arial"/>
      <family val="2"/>
      <charset val="186"/>
    </font>
    <font>
      <strike/>
      <sz val="7"/>
      <color rgb="FFFF0000"/>
      <name val="Arial"/>
      <family val="2"/>
    </font>
    <font>
      <sz val="10"/>
      <color theme="0"/>
      <name val="Ariel"/>
      <charset val="186"/>
    </font>
    <font>
      <b/>
      <sz val="8"/>
      <name val="Arial"/>
      <family val="2"/>
    </font>
    <font>
      <sz val="8"/>
      <name val="Arial"/>
      <family val="2"/>
    </font>
    <font>
      <i/>
      <sz val="8"/>
      <color rgb="FFFF0000"/>
      <name val="Arial"/>
      <family val="2"/>
    </font>
    <font>
      <b/>
      <i/>
      <sz val="8"/>
      <name val="Arial"/>
      <family val="2"/>
    </font>
    <font>
      <sz val="8"/>
      <color rgb="FFFF0000"/>
      <name val="Arial"/>
      <family val="2"/>
    </font>
    <font>
      <sz val="10"/>
      <name val="Times New Roman"/>
      <family val="1"/>
    </font>
    <font>
      <b/>
      <sz val="7"/>
      <name val="Arial"/>
      <family val="2"/>
      <charset val="186"/>
    </font>
    <font>
      <i/>
      <sz val="7"/>
      <color rgb="FFFF0000"/>
      <name val="Times New Roman"/>
      <family val="1"/>
      <charset val="186"/>
    </font>
    <font>
      <b/>
      <i/>
      <sz val="7"/>
      <name val="Arial"/>
      <family val="2"/>
      <charset val="186"/>
    </font>
    <font>
      <i/>
      <sz val="7"/>
      <name val="Arial"/>
      <family val="2"/>
      <charset val="186"/>
    </font>
    <font>
      <sz val="7"/>
      <color rgb="FF000000"/>
      <name val="Arial"/>
      <family val="2"/>
    </font>
    <font>
      <i/>
      <sz val="7"/>
      <color rgb="FF000000"/>
      <name val="Arial"/>
      <family val="2"/>
    </font>
    <font>
      <sz val="11"/>
      <name val="Times New Roman"/>
      <family val="1"/>
    </font>
    <font>
      <b/>
      <sz val="10"/>
      <name val="Times New Roman"/>
      <family val="1"/>
    </font>
    <font>
      <sz val="10"/>
      <color rgb="FF000000"/>
      <name val="Times New Roman"/>
      <family val="1"/>
    </font>
    <font>
      <b/>
      <sz val="7"/>
      <name val="Ariel"/>
      <charset val="186"/>
    </font>
    <font>
      <sz val="7"/>
      <name val="Ariel"/>
      <charset val="186"/>
    </font>
    <font>
      <sz val="10"/>
      <color theme="4"/>
      <name val="Arial"/>
      <family val="2"/>
      <charset val="186"/>
    </font>
    <font>
      <i/>
      <sz val="10"/>
      <name val="Arial"/>
      <family val="2"/>
    </font>
    <font>
      <b/>
      <sz val="10"/>
      <color rgb="FFFF0000"/>
      <name val="Arial"/>
      <family val="2"/>
    </font>
    <font>
      <i/>
      <sz val="6"/>
      <name val="Arial"/>
      <family val="2"/>
    </font>
    <font>
      <b/>
      <i/>
      <sz val="6"/>
      <name val="Arial"/>
      <family val="2"/>
    </font>
    <font>
      <sz val="11"/>
      <name val="Arial"/>
      <family val="2"/>
    </font>
    <font>
      <sz val="10"/>
      <color theme="0"/>
      <name val="Arial"/>
      <family val="2"/>
    </font>
    <font>
      <sz val="7"/>
      <color theme="0"/>
      <name val="Arial"/>
      <family val="2"/>
    </font>
    <font>
      <sz val="8"/>
      <color theme="0"/>
      <name val="Arial"/>
      <family val="2"/>
    </font>
    <font>
      <sz val="9"/>
      <color rgb="FFFF0000"/>
      <name val="Arial"/>
      <family val="2"/>
    </font>
    <font>
      <b/>
      <sz val="9"/>
      <color rgb="FFFF0000"/>
      <name val="Arial"/>
      <family val="2"/>
    </font>
    <font>
      <b/>
      <sz val="9"/>
      <color rgb="FF000000"/>
      <name val="Arial"/>
      <family val="2"/>
    </font>
    <font>
      <b/>
      <sz val="9"/>
      <color indexed="10"/>
      <name val="Arial"/>
      <family val="2"/>
    </font>
    <font>
      <b/>
      <sz val="11"/>
      <name val="Arial"/>
      <family val="2"/>
    </font>
    <font>
      <sz val="9"/>
      <color indexed="10"/>
      <name val="Arial"/>
      <family val="2"/>
    </font>
    <font>
      <i/>
      <sz val="11"/>
      <name val="Arial"/>
      <family val="2"/>
    </font>
    <font>
      <sz val="9"/>
      <color rgb="FF000000"/>
      <name val="Arial"/>
      <family val="2"/>
    </font>
    <font>
      <sz val="9"/>
      <name val="Arial"/>
      <family val="2"/>
      <charset val="186"/>
    </font>
    <font>
      <b/>
      <sz val="9"/>
      <name val="Times New Roman"/>
      <family val="1"/>
      <charset val="186"/>
    </font>
    <font>
      <sz val="9"/>
      <color rgb="FFFF0000"/>
      <name val="Times New Roman"/>
      <family val="1"/>
      <charset val="186"/>
    </font>
    <font>
      <b/>
      <sz val="9"/>
      <color theme="1"/>
      <name val="Arial"/>
      <family val="2"/>
    </font>
    <font>
      <sz val="9"/>
      <name val="Times New Roman"/>
      <family val="1"/>
    </font>
    <font>
      <b/>
      <sz val="9"/>
      <color rgb="FF00B050"/>
      <name val="Arial"/>
      <family val="2"/>
    </font>
    <font>
      <b/>
      <strike/>
      <sz val="9"/>
      <name val="Arial"/>
      <family val="2"/>
    </font>
    <font>
      <sz val="9"/>
      <color theme="1"/>
      <name val="Arial"/>
      <family val="2"/>
    </font>
  </fonts>
  <fills count="43">
    <fill>
      <patternFill patternType="none"/>
    </fill>
    <fill>
      <patternFill patternType="gray125"/>
    </fill>
    <fill>
      <patternFill patternType="solid">
        <fgColor indexed="42"/>
        <bgColor indexed="41"/>
      </patternFill>
    </fill>
    <fill>
      <patternFill patternType="solid">
        <fgColor indexed="22"/>
        <bgColor indexed="31"/>
      </patternFill>
    </fill>
    <fill>
      <patternFill patternType="solid">
        <fgColor indexed="9"/>
        <bgColor indexed="26"/>
      </patternFill>
    </fill>
    <fill>
      <patternFill patternType="solid">
        <fgColor indexed="44"/>
        <bgColor indexed="22"/>
      </patternFill>
    </fill>
    <fill>
      <patternFill patternType="solid">
        <fgColor indexed="13"/>
        <bgColor indexed="34"/>
      </patternFill>
    </fill>
    <fill>
      <patternFill patternType="solid">
        <fgColor indexed="42"/>
        <bgColor indexed="64"/>
      </patternFill>
    </fill>
    <fill>
      <patternFill patternType="solid">
        <fgColor indexed="45"/>
        <bgColor indexed="29"/>
      </patternFill>
    </fill>
    <fill>
      <patternFill patternType="solid">
        <fgColor indexed="9"/>
        <bgColor indexed="64"/>
      </patternFill>
    </fill>
    <fill>
      <patternFill patternType="solid">
        <fgColor indexed="44"/>
        <bgColor indexed="64"/>
      </patternFill>
    </fill>
    <fill>
      <patternFill patternType="solid">
        <fgColor rgb="FFFFFF00"/>
        <bgColor indexed="64"/>
      </patternFill>
    </fill>
    <fill>
      <patternFill patternType="solid">
        <fgColor rgb="FFFF99CC"/>
        <bgColor indexed="64"/>
      </patternFill>
    </fill>
    <fill>
      <patternFill patternType="solid">
        <fgColor rgb="FF99CCFF"/>
        <bgColor indexed="64"/>
      </patternFill>
    </fill>
    <fill>
      <patternFill patternType="solid">
        <fgColor rgb="FFCCFFCC"/>
        <bgColor indexed="64"/>
      </patternFill>
    </fill>
    <fill>
      <patternFill patternType="solid">
        <fgColor rgb="FFFFFFFF"/>
        <bgColor indexed="64"/>
      </patternFill>
    </fill>
    <fill>
      <patternFill patternType="solid">
        <fgColor rgb="FFDBE5F1"/>
        <bgColor indexed="64"/>
      </patternFill>
    </fill>
    <fill>
      <patternFill patternType="solid">
        <fgColor theme="8" tint="0.79998168889431442"/>
        <bgColor indexed="64"/>
      </patternFill>
    </fill>
    <fill>
      <patternFill patternType="solid">
        <fgColor theme="8" tint="0.79998168889431442"/>
        <bgColor indexed="26"/>
      </patternFill>
    </fill>
    <fill>
      <patternFill patternType="solid">
        <fgColor theme="0" tint="-0.14999847407452621"/>
        <bgColor indexed="64"/>
      </patternFill>
    </fill>
    <fill>
      <patternFill patternType="solid">
        <fgColor theme="8"/>
        <bgColor indexed="64"/>
      </patternFill>
    </fill>
    <fill>
      <patternFill patternType="solid">
        <fgColor theme="4" tint="0.79998168889431442"/>
        <bgColor indexed="64"/>
      </patternFill>
    </fill>
    <fill>
      <patternFill patternType="solid">
        <fgColor theme="4" tint="0.79998168889431442"/>
        <bgColor indexed="26"/>
      </patternFill>
    </fill>
    <fill>
      <patternFill patternType="solid">
        <fgColor rgb="FFFFFF00"/>
        <bgColor indexed="26"/>
      </patternFill>
    </fill>
    <fill>
      <patternFill patternType="solid">
        <fgColor theme="5" tint="0.79998168889431442"/>
        <bgColor indexed="64"/>
      </patternFill>
    </fill>
    <fill>
      <patternFill patternType="solid">
        <fgColor theme="9" tint="0.79998168889431442"/>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59999389629810485"/>
        <bgColor indexed="26"/>
      </patternFill>
    </fill>
    <fill>
      <patternFill patternType="solid">
        <fgColor theme="8" tint="0.59999389629810485"/>
        <bgColor indexed="26"/>
      </patternFill>
    </fill>
    <fill>
      <patternFill patternType="solid">
        <fgColor theme="8" tint="0.59999389629810485"/>
        <bgColor indexed="64"/>
      </patternFill>
    </fill>
    <fill>
      <patternFill patternType="solid">
        <fgColor theme="6" tint="0.79998168889431442"/>
        <bgColor indexed="64"/>
      </patternFill>
    </fill>
    <fill>
      <patternFill patternType="solid">
        <fgColor theme="6" tint="0.79998168889431442"/>
        <bgColor indexed="26"/>
      </patternFill>
    </fill>
    <fill>
      <patternFill patternType="solid">
        <fgColor theme="6" tint="0.79998168889431442"/>
        <bgColor indexed="9"/>
      </patternFill>
    </fill>
    <fill>
      <patternFill patternType="solid">
        <fgColor theme="6" tint="0.79998168889431442"/>
        <bgColor indexed="31"/>
      </patternFill>
    </fill>
    <fill>
      <patternFill patternType="solid">
        <fgColor theme="9" tint="-0.249977111117893"/>
        <bgColor indexed="64"/>
      </patternFill>
    </fill>
    <fill>
      <patternFill patternType="solid">
        <fgColor theme="0"/>
        <bgColor indexed="64"/>
      </patternFill>
    </fill>
    <fill>
      <patternFill patternType="solid">
        <fgColor theme="5" tint="0.39997558519241921"/>
        <bgColor indexed="64"/>
      </patternFill>
    </fill>
    <fill>
      <patternFill patternType="solid">
        <fgColor theme="5" tint="0.39997558519241921"/>
        <bgColor indexed="26"/>
      </patternFill>
    </fill>
    <fill>
      <patternFill patternType="solid">
        <fgColor theme="5" tint="0.59999389629810485"/>
        <bgColor indexed="64"/>
      </patternFill>
    </fill>
    <fill>
      <patternFill patternType="solid">
        <fgColor rgb="FFFFC000"/>
        <bgColor indexed="31"/>
      </patternFill>
    </fill>
    <fill>
      <patternFill patternType="solid">
        <fgColor theme="9" tint="0.59999389629810485"/>
        <bgColor indexed="64"/>
      </patternFill>
    </fill>
    <fill>
      <patternFill patternType="solid">
        <fgColor rgb="FF00B050"/>
        <bgColor indexed="64"/>
      </patternFill>
    </fill>
  </fills>
  <borders count="123">
    <border>
      <left/>
      <right/>
      <top/>
      <bottom/>
      <diagonal/>
    </border>
    <border>
      <left/>
      <right/>
      <top/>
      <bottom style="thick">
        <color indexed="22"/>
      </bottom>
      <diagonal/>
    </border>
    <border>
      <left/>
      <right/>
      <top/>
      <bottom style="thick">
        <color indexed="6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hair">
        <color indexed="8"/>
      </bottom>
      <diagonal/>
    </border>
    <border>
      <left style="thin">
        <color indexed="64"/>
      </left>
      <right style="thin">
        <color indexed="8"/>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8"/>
      </left>
      <right style="thin">
        <color indexed="8"/>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8"/>
      </bottom>
      <diagonal/>
    </border>
    <border>
      <left style="thin">
        <color indexed="8"/>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8"/>
      </left>
      <right/>
      <top style="thin">
        <color indexed="8"/>
      </top>
      <bottom/>
      <diagonal/>
    </border>
    <border>
      <left/>
      <right style="thin">
        <color indexed="8"/>
      </right>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8"/>
      </right>
      <top style="thin">
        <color indexed="8"/>
      </top>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8"/>
      </top>
      <bottom style="thin">
        <color indexed="8"/>
      </bottom>
      <diagonal/>
    </border>
    <border>
      <left style="thin">
        <color indexed="64"/>
      </left>
      <right style="thin">
        <color indexed="8"/>
      </right>
      <top style="thin">
        <color indexed="64"/>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8"/>
      </top>
      <bottom style="thin">
        <color indexed="8"/>
      </bottom>
      <diagonal/>
    </border>
    <border>
      <left style="thin">
        <color indexed="64"/>
      </left>
      <right style="thin">
        <color indexed="64"/>
      </right>
      <top style="thin">
        <color indexed="8"/>
      </top>
      <bottom/>
      <diagonal/>
    </border>
    <border>
      <left style="thin">
        <color indexed="64"/>
      </left>
      <right style="thin">
        <color indexed="64"/>
      </right>
      <top/>
      <bottom style="thin">
        <color indexed="8"/>
      </bottom>
      <diagonal/>
    </border>
    <border>
      <left/>
      <right style="medium">
        <color indexed="8"/>
      </right>
      <top/>
      <bottom style="medium">
        <color indexed="8"/>
      </bottom>
      <diagonal/>
    </border>
    <border>
      <left/>
      <right style="medium">
        <color indexed="8"/>
      </right>
      <top/>
      <bottom/>
      <diagonal/>
    </border>
    <border>
      <left/>
      <right/>
      <top style="thin">
        <color indexed="8"/>
      </top>
      <bottom/>
      <diagonal/>
    </border>
    <border>
      <left/>
      <right/>
      <top/>
      <bottom style="medium">
        <color indexed="8"/>
      </bottom>
      <diagonal/>
    </border>
    <border>
      <left/>
      <right style="thin">
        <color indexed="8"/>
      </right>
      <top/>
      <bottom/>
      <diagonal/>
    </border>
    <border>
      <left style="medium">
        <color indexed="64"/>
      </left>
      <right/>
      <top/>
      <bottom style="medium">
        <color indexed="64"/>
      </bottom>
      <diagonal/>
    </border>
    <border>
      <left style="medium">
        <color indexed="64"/>
      </left>
      <right/>
      <top/>
      <bottom/>
      <diagonal/>
    </border>
    <border>
      <left/>
      <right style="thin">
        <color indexed="64"/>
      </right>
      <top/>
      <bottom/>
      <diagonal/>
    </border>
    <border>
      <left style="thin">
        <color indexed="8"/>
      </left>
      <right style="thin">
        <color indexed="8"/>
      </right>
      <top style="thin">
        <color indexed="64"/>
      </top>
      <bottom/>
      <diagonal/>
    </border>
    <border>
      <left style="thin">
        <color indexed="8"/>
      </left>
      <right/>
      <top style="thin">
        <color indexed="8"/>
      </top>
      <bottom style="thin">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indexed="8"/>
      </top>
      <bottom style="thin">
        <color indexed="64"/>
      </bottom>
      <diagonal/>
    </border>
    <border>
      <left style="thin">
        <color indexed="8"/>
      </left>
      <right/>
      <top style="thin">
        <color indexed="64"/>
      </top>
      <bottom style="thin">
        <color indexed="64"/>
      </bottom>
      <diagonal/>
    </border>
    <border>
      <left style="thin">
        <color indexed="8"/>
      </left>
      <right/>
      <top style="thin">
        <color indexed="64"/>
      </top>
      <bottom style="thin">
        <color indexed="8"/>
      </bottom>
      <diagonal/>
    </border>
    <border>
      <left style="thin">
        <color indexed="64"/>
      </left>
      <right/>
      <top/>
      <bottom/>
      <diagonal/>
    </border>
    <border>
      <left style="thin">
        <color indexed="64"/>
      </left>
      <right style="thin">
        <color indexed="8"/>
      </right>
      <top style="thin">
        <color indexed="64"/>
      </top>
      <bottom/>
      <diagonal/>
    </border>
    <border>
      <left style="thin">
        <color indexed="8"/>
      </left>
      <right/>
      <top style="thin">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theme="4"/>
      </top>
      <bottom/>
      <diagonal/>
    </border>
    <border>
      <left style="thin">
        <color theme="4"/>
      </left>
      <right style="thin">
        <color theme="4"/>
      </right>
      <top style="thin">
        <color theme="4"/>
      </top>
      <bottom style="thin">
        <color theme="4"/>
      </bottom>
      <diagonal/>
    </border>
    <border>
      <left style="thin">
        <color theme="4"/>
      </left>
      <right/>
      <top/>
      <bottom/>
      <diagonal/>
    </border>
    <border>
      <left/>
      <right style="thin">
        <color theme="4"/>
      </right>
      <top/>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style="thin">
        <color theme="4"/>
      </left>
      <right style="thin">
        <color theme="4"/>
      </right>
      <top/>
      <bottom/>
      <diagonal/>
    </border>
    <border>
      <left style="thin">
        <color indexed="8"/>
      </left>
      <right style="thin">
        <color indexed="64"/>
      </right>
      <top style="thin">
        <color indexed="64"/>
      </top>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top/>
      <bottom style="thin">
        <color indexed="64"/>
      </bottom>
      <diagonal/>
    </border>
    <border>
      <left style="thin">
        <color indexed="8"/>
      </left>
      <right style="thin">
        <color indexed="8"/>
      </right>
      <top/>
      <bottom style="thin">
        <color indexed="64"/>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64"/>
      </left>
      <right style="thin">
        <color indexed="8"/>
      </right>
      <top/>
      <bottom style="thin">
        <color indexed="64"/>
      </bottom>
      <diagonal/>
    </border>
    <border>
      <left style="thin">
        <color indexed="64"/>
      </left>
      <right style="thin">
        <color indexed="8"/>
      </right>
      <top/>
      <bottom/>
      <diagonal/>
    </border>
    <border>
      <left/>
      <right style="thin">
        <color indexed="8"/>
      </right>
      <top/>
      <bottom style="thin">
        <color indexed="64"/>
      </bottom>
      <diagonal/>
    </border>
    <border>
      <left style="thin">
        <color indexed="8"/>
      </left>
      <right style="thin">
        <color indexed="64"/>
      </right>
      <top/>
      <bottom style="thin">
        <color indexed="64"/>
      </bottom>
      <diagonal/>
    </border>
    <border>
      <left/>
      <right style="medium">
        <color rgb="FF4F81BD"/>
      </right>
      <top/>
      <bottom style="medium">
        <color rgb="FF4F81BD"/>
      </bottom>
      <diagonal/>
    </border>
    <border>
      <left style="thin">
        <color theme="4"/>
      </left>
      <right style="medium">
        <color rgb="FF4F81BD"/>
      </right>
      <top style="medium">
        <color rgb="FF4F81BD"/>
      </top>
      <bottom style="thin">
        <color indexed="64"/>
      </bottom>
      <diagonal/>
    </border>
    <border>
      <left/>
      <right style="medium">
        <color rgb="FF4F81BD"/>
      </right>
      <top style="medium">
        <color rgb="FF4F81BD"/>
      </top>
      <bottom style="thin">
        <color indexed="64"/>
      </bottom>
      <diagonal/>
    </border>
    <border>
      <left/>
      <right style="thin">
        <color indexed="64"/>
      </right>
      <top style="thin">
        <color indexed="8"/>
      </top>
      <bottom/>
      <diagonal/>
    </border>
    <border>
      <left/>
      <right/>
      <top/>
      <bottom style="thin">
        <color theme="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8"/>
      </top>
      <bottom/>
      <diagonal/>
    </border>
  </borders>
  <cellStyleXfs count="23">
    <xf numFmtId="0" fontId="0" fillId="0" borderId="0"/>
    <xf numFmtId="164" fontId="40" fillId="0" borderId="0" applyFill="0" applyBorder="0" applyAlignment="0" applyProtection="0"/>
    <xf numFmtId="165" fontId="1" fillId="0" borderId="0"/>
    <xf numFmtId="0" fontId="1" fillId="0" borderId="0"/>
    <xf numFmtId="0" fontId="2" fillId="0" borderId="0" applyNumberFormat="0" applyFill="0" applyBorder="0" applyAlignment="0" applyProtection="0"/>
    <xf numFmtId="0" fontId="3" fillId="2" borderId="0" applyNumberFormat="0" applyBorder="0" applyAlignment="0" applyProtection="0"/>
    <xf numFmtId="0" fontId="4" fillId="0" borderId="2" applyNumberFormat="0" applyFill="0" applyAlignment="0" applyProtection="0"/>
    <xf numFmtId="0" fontId="5" fillId="0" borderId="1"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40" fillId="0" borderId="0"/>
    <xf numFmtId="0" fontId="1" fillId="0" borderId="0"/>
    <xf numFmtId="0" fontId="7" fillId="0" borderId="0"/>
    <xf numFmtId="0" fontId="8" fillId="3" borderId="4" applyNumberFormat="0" applyAlignment="0" applyProtection="0"/>
    <xf numFmtId="0" fontId="40" fillId="0" borderId="0">
      <protection locked="0"/>
    </xf>
    <xf numFmtId="0" fontId="40" fillId="0" borderId="0">
      <protection locked="0"/>
    </xf>
    <xf numFmtId="0" fontId="40" fillId="0" borderId="0"/>
    <xf numFmtId="0" fontId="9" fillId="0" borderId="0" applyNumberFormat="0" applyFill="0" applyBorder="0" applyAlignment="0" applyProtection="0"/>
    <xf numFmtId="0" fontId="10" fillId="0" borderId="5" applyNumberFormat="0" applyFill="0" applyAlignment="0" applyProtection="0"/>
    <xf numFmtId="0" fontId="11" fillId="0" borderId="0" applyNumberFormat="0" applyFill="0" applyBorder="0" applyAlignment="0" applyProtection="0"/>
    <xf numFmtId="0" fontId="66" fillId="0" borderId="0"/>
    <xf numFmtId="43" fontId="40" fillId="0" borderId="0" applyFont="0" applyFill="0" applyBorder="0" applyAlignment="0" applyProtection="0"/>
    <xf numFmtId="9" fontId="40" fillId="0" borderId="0" applyFont="0" applyFill="0" applyBorder="0" applyAlignment="0" applyProtection="0"/>
  </cellStyleXfs>
  <cellXfs count="2608">
    <xf numFmtId="0" fontId="0" fillId="0" borderId="0" xfId="0"/>
    <xf numFmtId="0" fontId="12" fillId="0" borderId="0" xfId="0" applyFont="1"/>
    <xf numFmtId="0" fontId="31" fillId="0" borderId="0" xfId="0" applyFont="1" applyAlignment="1">
      <alignment horizontal="center"/>
    </xf>
    <xf numFmtId="0" fontId="0" fillId="0" borderId="12" xfId="0" applyBorder="1"/>
    <xf numFmtId="0" fontId="32" fillId="0" borderId="6" xfId="0" applyFont="1" applyBorder="1" applyAlignment="1">
      <alignment horizontal="center" vertical="center" wrapText="1"/>
    </xf>
    <xf numFmtId="0" fontId="0" fillId="0" borderId="6" xfId="0" applyBorder="1" applyAlignment="1">
      <alignment wrapText="1"/>
    </xf>
    <xf numFmtId="0" fontId="34" fillId="0" borderId="6" xfId="0" applyFont="1" applyBorder="1" applyAlignment="1">
      <alignment horizontal="center" wrapText="1"/>
    </xf>
    <xf numFmtId="0" fontId="32" fillId="0" borderId="6" xfId="0" applyFont="1" applyBorder="1" applyAlignment="1">
      <alignment horizontal="center" wrapText="1"/>
    </xf>
    <xf numFmtId="0" fontId="14" fillId="0" borderId="6" xfId="0" applyFont="1" applyBorder="1" applyAlignment="1">
      <alignment horizontal="left" wrapText="1"/>
    </xf>
    <xf numFmtId="0" fontId="16" fillId="0" borderId="6" xfId="0" applyFont="1" applyBorder="1" applyAlignment="1">
      <alignment horizontal="center" wrapText="1"/>
    </xf>
    <xf numFmtId="14" fontId="14" fillId="0" borderId="6" xfId="0" applyNumberFormat="1" applyFont="1" applyBorder="1" applyAlignment="1">
      <alignment horizontal="left" wrapText="1"/>
    </xf>
    <xf numFmtId="49" fontId="14" fillId="2" borderId="6" xfId="0" applyNumberFormat="1" applyFont="1" applyFill="1" applyBorder="1" applyAlignment="1">
      <alignment vertical="top"/>
    </xf>
    <xf numFmtId="49" fontId="14" fillId="2" borderId="6" xfId="0" applyNumberFormat="1" applyFont="1" applyFill="1" applyBorder="1" applyAlignment="1">
      <alignment vertical="top" wrapText="1"/>
    </xf>
    <xf numFmtId="168" fontId="16" fillId="0" borderId="6" xfId="0" applyNumberFormat="1" applyFont="1" applyBorder="1" applyAlignment="1">
      <alignment horizontal="center" vertical="center"/>
    </xf>
    <xf numFmtId="0" fontId="14" fillId="0" borderId="6" xfId="0" applyFont="1" applyBorder="1" applyAlignment="1">
      <alignment horizontal="justify" wrapText="1"/>
    </xf>
    <xf numFmtId="0" fontId="35" fillId="0" borderId="6" xfId="0" applyFont="1" applyBorder="1" applyAlignment="1">
      <alignment horizontal="center" vertical="center" wrapText="1"/>
    </xf>
    <xf numFmtId="49" fontId="25" fillId="2" borderId="6" xfId="0" applyNumberFormat="1" applyFont="1" applyFill="1" applyBorder="1" applyAlignment="1">
      <alignment vertical="top" wrapText="1"/>
    </xf>
    <xf numFmtId="49" fontId="18" fillId="0" borderId="6" xfId="0" applyNumberFormat="1" applyFont="1" applyBorder="1" applyAlignment="1">
      <alignment vertical="top" wrapText="1"/>
    </xf>
    <xf numFmtId="0" fontId="21" fillId="0" borderId="6" xfId="0" applyFont="1" applyBorder="1" applyAlignment="1">
      <alignment wrapText="1"/>
    </xf>
    <xf numFmtId="0" fontId="28" fillId="0" borderId="6" xfId="0" applyFont="1" applyBorder="1" applyAlignment="1">
      <alignment horizontal="center" wrapText="1"/>
    </xf>
    <xf numFmtId="49" fontId="18" fillId="4" borderId="6" xfId="0" applyNumberFormat="1" applyFont="1" applyFill="1" applyBorder="1" applyAlignment="1">
      <alignment vertical="top" wrapText="1"/>
    </xf>
    <xf numFmtId="0" fontId="0" fillId="0" borderId="0" xfId="0" applyAlignment="1">
      <alignment wrapText="1"/>
    </xf>
    <xf numFmtId="49" fontId="14" fillId="2" borderId="6" xfId="0" applyNumberFormat="1" applyFont="1" applyFill="1" applyBorder="1" applyAlignment="1">
      <alignment horizontal="justify" vertical="top" wrapText="1"/>
    </xf>
    <xf numFmtId="0" fontId="14" fillId="0" borderId="6" xfId="0" applyFont="1" applyBorder="1" applyAlignment="1">
      <alignment wrapText="1"/>
    </xf>
    <xf numFmtId="0" fontId="14" fillId="0" borderId="6" xfId="0" applyFont="1" applyBorder="1" applyAlignment="1">
      <alignment horizontal="center" wrapText="1"/>
    </xf>
    <xf numFmtId="0" fontId="27" fillId="0" borderId="6" xfId="0" applyFont="1" applyBorder="1" applyAlignment="1">
      <alignment horizontal="center" wrapText="1"/>
    </xf>
    <xf numFmtId="0" fontId="0" fillId="0" borderId="0" xfId="0" applyAlignment="1">
      <alignment horizontal="center"/>
    </xf>
    <xf numFmtId="49" fontId="18" fillId="2" borderId="6" xfId="0" applyNumberFormat="1" applyFont="1" applyFill="1" applyBorder="1" applyAlignment="1">
      <alignment vertical="top" wrapText="1"/>
    </xf>
    <xf numFmtId="0" fontId="31" fillId="0" borderId="0" xfId="0" applyFont="1" applyAlignment="1">
      <alignment horizontal="right"/>
    </xf>
    <xf numFmtId="0" fontId="38" fillId="0" borderId="0" xfId="0" applyFont="1" applyAlignment="1">
      <alignment horizontal="center" wrapText="1"/>
    </xf>
    <xf numFmtId="14" fontId="14" fillId="7" borderId="6" xfId="0" applyNumberFormat="1" applyFont="1" applyFill="1" applyBorder="1" applyAlignment="1">
      <alignment horizontal="left" wrapText="1"/>
    </xf>
    <xf numFmtId="0" fontId="40" fillId="0" borderId="0" xfId="0" applyFont="1"/>
    <xf numFmtId="0" fontId="20" fillId="0" borderId="6" xfId="0" applyFont="1" applyBorder="1" applyAlignment="1">
      <alignment horizontal="center" wrapText="1"/>
    </xf>
    <xf numFmtId="0" fontId="40" fillId="0" borderId="6" xfId="0" applyFont="1" applyBorder="1" applyAlignment="1">
      <alignment wrapText="1"/>
    </xf>
    <xf numFmtId="0" fontId="34" fillId="0" borderId="6" xfId="0" applyFont="1" applyBorder="1" applyAlignment="1">
      <alignment horizontal="center" vertical="center" wrapText="1"/>
    </xf>
    <xf numFmtId="0" fontId="14" fillId="0" borderId="6" xfId="0" applyFont="1" applyBorder="1" applyAlignment="1">
      <alignment horizontal="center" vertical="center" wrapText="1"/>
    </xf>
    <xf numFmtId="49" fontId="41" fillId="2" borderId="6" xfId="0" applyNumberFormat="1" applyFont="1" applyFill="1" applyBorder="1" applyAlignment="1">
      <alignment vertical="top" wrapText="1"/>
    </xf>
    <xf numFmtId="0" fontId="42" fillId="0" borderId="6" xfId="0" applyFont="1" applyBorder="1"/>
    <xf numFmtId="0" fontId="0" fillId="9" borderId="0" xfId="0" applyFill="1"/>
    <xf numFmtId="0" fontId="43" fillId="0" borderId="0" xfId="0" applyFont="1" applyAlignment="1">
      <alignment horizontal="center"/>
    </xf>
    <xf numFmtId="0" fontId="44" fillId="0" borderId="6" xfId="0" applyFont="1" applyBorder="1" applyAlignment="1">
      <alignment horizontal="center" wrapText="1"/>
    </xf>
    <xf numFmtId="0" fontId="33" fillId="0" borderId="6" xfId="0" applyFont="1" applyBorder="1" applyAlignment="1">
      <alignment horizontal="center" wrapText="1"/>
    </xf>
    <xf numFmtId="0" fontId="28" fillId="0" borderId="6" xfId="0" applyFont="1" applyBorder="1" applyAlignment="1">
      <alignment horizontal="center" vertical="center" wrapText="1"/>
    </xf>
    <xf numFmtId="49" fontId="14" fillId="2" borderId="7" xfId="0" applyNumberFormat="1" applyFont="1" applyFill="1" applyBorder="1" applyAlignment="1">
      <alignment vertical="top" wrapText="1"/>
    </xf>
    <xf numFmtId="49" fontId="14" fillId="2" borderId="20" xfId="0" applyNumberFormat="1" applyFont="1" applyFill="1" applyBorder="1" applyAlignment="1">
      <alignment vertical="top" wrapText="1"/>
    </xf>
    <xf numFmtId="0" fontId="44" fillId="0" borderId="6" xfId="0" applyFont="1" applyBorder="1" applyAlignment="1">
      <alignment horizontal="center" vertical="center" wrapText="1"/>
    </xf>
    <xf numFmtId="0" fontId="48" fillId="0" borderId="6" xfId="0" applyFont="1" applyBorder="1" applyAlignment="1">
      <alignment horizontal="center" wrapText="1"/>
    </xf>
    <xf numFmtId="0" fontId="49" fillId="0" borderId="6" xfId="0" applyFont="1" applyBorder="1" applyAlignment="1">
      <alignment horizontal="center" wrapText="1"/>
    </xf>
    <xf numFmtId="0" fontId="47" fillId="0" borderId="6" xfId="0" applyFont="1" applyBorder="1" applyAlignment="1">
      <alignment horizontal="center" wrapText="1"/>
    </xf>
    <xf numFmtId="49" fontId="24" fillId="2" borderId="6" xfId="0" applyNumberFormat="1" applyFont="1" applyFill="1" applyBorder="1" applyAlignment="1">
      <alignment vertical="top"/>
    </xf>
    <xf numFmtId="0" fontId="12" fillId="0" borderId="6" xfId="0" applyFont="1" applyBorder="1" applyAlignment="1">
      <alignment wrapText="1"/>
    </xf>
    <xf numFmtId="49" fontId="14" fillId="0" borderId="6" xfId="0" applyNumberFormat="1" applyFont="1" applyBorder="1" applyAlignment="1">
      <alignment vertical="top" wrapText="1"/>
    </xf>
    <xf numFmtId="0" fontId="14" fillId="7" borderId="14" xfId="0" applyFont="1" applyFill="1" applyBorder="1" applyAlignment="1">
      <alignment vertical="top" wrapText="1"/>
    </xf>
    <xf numFmtId="0" fontId="14" fillId="0" borderId="14" xfId="0" applyFont="1" applyBorder="1" applyAlignment="1">
      <alignment horizontal="center" wrapText="1"/>
    </xf>
    <xf numFmtId="0" fontId="16" fillId="0" borderId="14" xfId="0" applyFont="1" applyBorder="1" applyAlignment="1">
      <alignment horizontal="center" wrapText="1"/>
    </xf>
    <xf numFmtId="0" fontId="45" fillId="0" borderId="0" xfId="0" applyFont="1"/>
    <xf numFmtId="0" fontId="52" fillId="0" borderId="0" xfId="0" applyFont="1"/>
    <xf numFmtId="0" fontId="53" fillId="0" borderId="0" xfId="0" applyFont="1"/>
    <xf numFmtId="0" fontId="51" fillId="0" borderId="14" xfId="0" applyFont="1" applyBorder="1"/>
    <xf numFmtId="166" fontId="52" fillId="0" borderId="14" xfId="0" applyNumberFormat="1" applyFont="1" applyBorder="1"/>
    <xf numFmtId="166" fontId="53" fillId="0" borderId="14" xfId="0" applyNumberFormat="1" applyFont="1" applyBorder="1" applyAlignment="1">
      <alignment horizontal="left"/>
    </xf>
    <xf numFmtId="166" fontId="51" fillId="0" borderId="14" xfId="0" applyNumberFormat="1" applyFont="1" applyBorder="1"/>
    <xf numFmtId="0" fontId="52" fillId="0" borderId="14" xfId="0" applyFont="1" applyBorder="1" applyAlignment="1">
      <alignment horizontal="center"/>
    </xf>
    <xf numFmtId="0" fontId="51" fillId="0" borderId="14" xfId="0" applyFont="1" applyBorder="1" applyAlignment="1">
      <alignment wrapText="1"/>
    </xf>
    <xf numFmtId="166" fontId="51" fillId="0" borderId="19" xfId="0" applyNumberFormat="1" applyFont="1" applyBorder="1"/>
    <xf numFmtId="166" fontId="51" fillId="0" borderId="25" xfId="0" applyNumberFormat="1" applyFont="1" applyBorder="1"/>
    <xf numFmtId="2" fontId="53" fillId="0" borderId="14" xfId="0" applyNumberFormat="1" applyFont="1" applyBorder="1"/>
    <xf numFmtId="2" fontId="54" fillId="0" borderId="25" xfId="0" applyNumberFormat="1" applyFont="1" applyBorder="1"/>
    <xf numFmtId="49" fontId="18" fillId="2" borderId="9" xfId="0" applyNumberFormat="1" applyFont="1" applyFill="1" applyBorder="1" applyAlignment="1">
      <alignment vertical="top" wrapText="1"/>
    </xf>
    <xf numFmtId="0" fontId="41" fillId="0" borderId="0" xfId="0" applyFont="1" applyAlignment="1">
      <alignment horizontal="center" wrapText="1"/>
    </xf>
    <xf numFmtId="49" fontId="18" fillId="0" borderId="9" xfId="0" applyNumberFormat="1" applyFont="1" applyBorder="1" applyAlignment="1">
      <alignment vertical="top" wrapText="1"/>
    </xf>
    <xf numFmtId="49" fontId="18" fillId="0" borderId="9" xfId="0" applyNumberFormat="1" applyFont="1" applyBorder="1" applyAlignment="1">
      <alignment vertical="center" wrapText="1"/>
    </xf>
    <xf numFmtId="0" fontId="44" fillId="0" borderId="0" xfId="0" applyFont="1" applyAlignment="1">
      <alignment horizontal="center" wrapText="1"/>
    </xf>
    <xf numFmtId="0" fontId="32" fillId="0" borderId="11" xfId="0" applyFont="1" applyBorder="1" applyAlignment="1">
      <alignment horizontal="center" wrapText="1"/>
    </xf>
    <xf numFmtId="0" fontId="51" fillId="10" borderId="14" xfId="0" applyFont="1" applyFill="1" applyBorder="1" applyAlignment="1">
      <alignment horizontal="center" vertical="center"/>
    </xf>
    <xf numFmtId="0" fontId="51" fillId="10" borderId="14" xfId="0" applyFont="1" applyFill="1" applyBorder="1" applyAlignment="1">
      <alignment horizontal="center" vertical="center" wrapText="1"/>
    </xf>
    <xf numFmtId="2" fontId="54" fillId="0" borderId="14" xfId="0" applyNumberFormat="1" applyFont="1" applyBorder="1"/>
    <xf numFmtId="2" fontId="52" fillId="0" borderId="14" xfId="0" applyNumberFormat="1" applyFont="1" applyBorder="1"/>
    <xf numFmtId="0" fontId="24" fillId="0" borderId="6" xfId="0" applyFont="1" applyBorder="1" applyAlignment="1">
      <alignment horizontal="left" wrapText="1"/>
    </xf>
    <xf numFmtId="0" fontId="46" fillId="0" borderId="14" xfId="0" applyFont="1" applyBorder="1" applyAlignment="1">
      <alignment horizontal="left"/>
    </xf>
    <xf numFmtId="0" fontId="55" fillId="0" borderId="14" xfId="0" applyFont="1" applyBorder="1" applyAlignment="1">
      <alignment wrapText="1"/>
    </xf>
    <xf numFmtId="0" fontId="55" fillId="0" borderId="14" xfId="0" applyFont="1" applyBorder="1" applyAlignment="1">
      <alignment horizontal="center"/>
    </xf>
    <xf numFmtId="166" fontId="55" fillId="0" borderId="14" xfId="0" applyNumberFormat="1" applyFont="1" applyBorder="1"/>
    <xf numFmtId="2" fontId="46" fillId="0" borderId="14" xfId="0" applyNumberFormat="1" applyFont="1" applyBorder="1"/>
    <xf numFmtId="0" fontId="55" fillId="0" borderId="0" xfId="0" applyFont="1"/>
    <xf numFmtId="166" fontId="55" fillId="0" borderId="19" xfId="0" applyNumberFormat="1" applyFont="1" applyBorder="1"/>
    <xf numFmtId="166" fontId="56" fillId="0" borderId="25" xfId="0" applyNumberFormat="1" applyFont="1" applyBorder="1"/>
    <xf numFmtId="2" fontId="57" fillId="0" borderId="25" xfId="0" applyNumberFormat="1" applyFont="1" applyBorder="1"/>
    <xf numFmtId="166" fontId="52" fillId="0" borderId="0" xfId="0" applyNumberFormat="1" applyFont="1"/>
    <xf numFmtId="166" fontId="51" fillId="0" borderId="0" xfId="0" applyNumberFormat="1" applyFont="1"/>
    <xf numFmtId="10" fontId="53" fillId="0" borderId="0" xfId="0" applyNumberFormat="1" applyFont="1"/>
    <xf numFmtId="166" fontId="59" fillId="0" borderId="14" xfId="0" applyNumberFormat="1" applyFont="1" applyBorder="1"/>
    <xf numFmtId="10" fontId="53" fillId="0" borderId="14" xfId="0" applyNumberFormat="1" applyFont="1" applyBorder="1"/>
    <xf numFmtId="0" fontId="52" fillId="0" borderId="14" xfId="0" applyFont="1" applyBorder="1"/>
    <xf numFmtId="0" fontId="53" fillId="0" borderId="14" xfId="0" applyFont="1" applyBorder="1"/>
    <xf numFmtId="166" fontId="60" fillId="0" borderId="14" xfId="0" applyNumberFormat="1" applyFont="1" applyBorder="1"/>
    <xf numFmtId="0" fontId="61" fillId="0" borderId="14" xfId="0" applyFont="1" applyBorder="1" applyAlignment="1">
      <alignment horizontal="right"/>
    </xf>
    <xf numFmtId="0" fontId="45" fillId="0" borderId="14" xfId="0" applyFont="1" applyBorder="1" applyAlignment="1">
      <alignment horizontal="right"/>
    </xf>
    <xf numFmtId="0" fontId="45" fillId="0" borderId="0" xfId="0" applyFont="1" applyAlignment="1">
      <alignment horizontal="right"/>
    </xf>
    <xf numFmtId="0" fontId="61" fillId="0" borderId="0" xfId="0" applyFont="1" applyAlignment="1">
      <alignment horizontal="right"/>
    </xf>
    <xf numFmtId="0" fontId="58" fillId="10" borderId="14" xfId="0" applyFont="1" applyFill="1" applyBorder="1" applyAlignment="1">
      <alignment horizontal="center"/>
    </xf>
    <xf numFmtId="0" fontId="57" fillId="10" borderId="14" xfId="0" applyFont="1" applyFill="1" applyBorder="1" applyAlignment="1">
      <alignment horizontal="center"/>
    </xf>
    <xf numFmtId="0" fontId="58" fillId="10" borderId="14" xfId="0" applyFont="1" applyFill="1" applyBorder="1" applyAlignment="1">
      <alignment horizontal="center" wrapText="1"/>
    </xf>
    <xf numFmtId="2" fontId="62" fillId="0" borderId="14" xfId="0" applyNumberFormat="1" applyFont="1" applyBorder="1"/>
    <xf numFmtId="2" fontId="63" fillId="0" borderId="14" xfId="0" applyNumberFormat="1" applyFont="1" applyBorder="1"/>
    <xf numFmtId="166" fontId="64" fillId="0" borderId="0" xfId="0" applyNumberFormat="1" applyFont="1"/>
    <xf numFmtId="0" fontId="52" fillId="0" borderId="0" xfId="0" applyFont="1" applyAlignment="1">
      <alignment horizontal="right"/>
    </xf>
    <xf numFmtId="10" fontId="53" fillId="0" borderId="19" xfId="0" applyNumberFormat="1" applyFont="1" applyBorder="1"/>
    <xf numFmtId="2" fontId="52" fillId="0" borderId="19" xfId="0" applyNumberFormat="1" applyFont="1" applyBorder="1"/>
    <xf numFmtId="2" fontId="52" fillId="0" borderId="0" xfId="0" applyNumberFormat="1" applyFont="1"/>
    <xf numFmtId="0" fontId="45" fillId="0" borderId="19" xfId="0" applyFont="1" applyBorder="1" applyAlignment="1">
      <alignment horizontal="right"/>
    </xf>
    <xf numFmtId="166" fontId="59" fillId="0" borderId="19" xfId="0" applyNumberFormat="1" applyFont="1" applyBorder="1"/>
    <xf numFmtId="0" fontId="52" fillId="0" borderId="19" xfId="0" applyFont="1" applyBorder="1"/>
    <xf numFmtId="166" fontId="51" fillId="0" borderId="26" xfId="0" applyNumberFormat="1" applyFont="1" applyBorder="1"/>
    <xf numFmtId="166" fontId="64" fillId="0" borderId="26" xfId="0" applyNumberFormat="1" applyFont="1" applyBorder="1"/>
    <xf numFmtId="10" fontId="53" fillId="0" borderId="26" xfId="0" applyNumberFormat="1" applyFont="1" applyBorder="1"/>
    <xf numFmtId="0" fontId="52" fillId="0" borderId="26" xfId="0" applyFont="1" applyBorder="1"/>
    <xf numFmtId="2" fontId="52" fillId="0" borderId="26" xfId="0" applyNumberFormat="1" applyFont="1" applyBorder="1"/>
    <xf numFmtId="2" fontId="52" fillId="0" borderId="27" xfId="0" applyNumberFormat="1" applyFont="1" applyBorder="1"/>
    <xf numFmtId="0" fontId="61" fillId="0" borderId="28" xfId="0" applyFont="1" applyBorder="1" applyAlignment="1">
      <alignment horizontal="right"/>
    </xf>
    <xf numFmtId="166" fontId="51" fillId="0" borderId="28" xfId="0" applyNumberFormat="1" applyFont="1" applyBorder="1"/>
    <xf numFmtId="0" fontId="45" fillId="0" borderId="15" xfId="0" applyFont="1" applyBorder="1" applyAlignment="1">
      <alignment horizontal="right"/>
    </xf>
    <xf numFmtId="166" fontId="59" fillId="0" borderId="26" xfId="0" applyNumberFormat="1" applyFont="1" applyBorder="1"/>
    <xf numFmtId="0" fontId="52" fillId="0" borderId="27" xfId="0" applyFont="1" applyBorder="1"/>
    <xf numFmtId="0" fontId="51" fillId="0" borderId="0" xfId="0" applyFont="1"/>
    <xf numFmtId="0" fontId="59" fillId="0" borderId="14" xfId="0" applyFont="1" applyBorder="1"/>
    <xf numFmtId="0" fontId="14" fillId="0" borderId="6" xfId="0" applyFont="1" applyBorder="1" applyAlignment="1">
      <alignment horizontal="justify" vertical="center" wrapText="1"/>
    </xf>
    <xf numFmtId="0" fontId="40" fillId="0" borderId="6" xfId="0" applyFont="1" applyBorder="1" applyAlignment="1">
      <alignment vertical="center" wrapText="1"/>
    </xf>
    <xf numFmtId="0" fontId="27" fillId="0" borderId="6" xfId="0" applyFont="1" applyBorder="1" applyAlignment="1">
      <alignment horizontal="center" vertical="center" wrapText="1"/>
    </xf>
    <xf numFmtId="0" fontId="0" fillId="0" borderId="6" xfId="0" applyBorder="1" applyAlignment="1">
      <alignment vertical="center" wrapText="1"/>
    </xf>
    <xf numFmtId="1" fontId="32" fillId="0" borderId="6" xfId="0" applyNumberFormat="1" applyFont="1" applyBorder="1" applyAlignment="1">
      <alignment horizontal="center" vertical="center" wrapText="1"/>
    </xf>
    <xf numFmtId="1" fontId="32" fillId="9" borderId="6" xfId="0" applyNumberFormat="1" applyFont="1" applyFill="1" applyBorder="1" applyAlignment="1">
      <alignment horizontal="center" vertical="center" wrapText="1"/>
    </xf>
    <xf numFmtId="0" fontId="14" fillId="0" borderId="7" xfId="0" applyFont="1" applyBorder="1" applyAlignment="1">
      <alignment horizontal="left" wrapText="1"/>
    </xf>
    <xf numFmtId="0" fontId="0" fillId="0" borderId="7" xfId="0" applyBorder="1" applyAlignment="1">
      <alignment wrapText="1"/>
    </xf>
    <xf numFmtId="0" fontId="14" fillId="0" borderId="9" xfId="0" applyFont="1" applyBorder="1" applyAlignment="1">
      <alignment horizontal="left" wrapText="1"/>
    </xf>
    <xf numFmtId="0" fontId="0" fillId="0" borderId="9" xfId="0" applyBorder="1" applyAlignment="1">
      <alignment wrapText="1"/>
    </xf>
    <xf numFmtId="0" fontId="34" fillId="0" borderId="9" xfId="0" applyFont="1" applyBorder="1" applyAlignment="1">
      <alignment horizontal="center" wrapText="1"/>
    </xf>
    <xf numFmtId="0" fontId="32" fillId="0" borderId="9" xfId="0" applyFont="1" applyBorder="1" applyAlignment="1">
      <alignment horizontal="center" wrapText="1"/>
    </xf>
    <xf numFmtId="0" fontId="14" fillId="0" borderId="14" xfId="0" applyFont="1" applyBorder="1" applyAlignment="1">
      <alignment horizontal="left" wrapText="1"/>
    </xf>
    <xf numFmtId="0" fontId="0" fillId="0" borderId="14" xfId="0" applyBorder="1" applyAlignment="1">
      <alignment wrapText="1"/>
    </xf>
    <xf numFmtId="0" fontId="19" fillId="0" borderId="14" xfId="0" applyFont="1" applyBorder="1" applyAlignment="1">
      <alignment horizontal="left" wrapText="1"/>
    </xf>
    <xf numFmtId="0" fontId="23" fillId="0" borderId="14" xfId="0" applyFont="1" applyBorder="1" applyAlignment="1">
      <alignment wrapText="1"/>
    </xf>
    <xf numFmtId="0" fontId="32" fillId="0" borderId="8" xfId="0" applyFont="1" applyBorder="1" applyAlignment="1">
      <alignment horizontal="center" wrapText="1"/>
    </xf>
    <xf numFmtId="0" fontId="32" fillId="0" borderId="14" xfId="0" applyFont="1" applyBorder="1" applyAlignment="1">
      <alignment horizontal="center" wrapText="1"/>
    </xf>
    <xf numFmtId="0" fontId="14" fillId="0" borderId="15" xfId="0" applyFont="1" applyBorder="1" applyAlignment="1">
      <alignment vertical="center" wrapText="1"/>
    </xf>
    <xf numFmtId="167" fontId="14" fillId="9" borderId="15" xfId="0" applyNumberFormat="1" applyFont="1" applyFill="1" applyBorder="1" applyAlignment="1" applyProtection="1">
      <alignment vertical="center" wrapText="1"/>
      <protection locked="0"/>
    </xf>
    <xf numFmtId="3" fontId="52" fillId="0" borderId="14" xfId="0" applyNumberFormat="1" applyFont="1" applyBorder="1"/>
    <xf numFmtId="3" fontId="51" fillId="0" borderId="14" xfId="0" applyNumberFormat="1" applyFont="1" applyBorder="1"/>
    <xf numFmtId="49" fontId="14" fillId="2" borderId="18" xfId="0" applyNumberFormat="1" applyFont="1" applyFill="1" applyBorder="1" applyAlignment="1">
      <alignment vertical="top" wrapText="1"/>
    </xf>
    <xf numFmtId="0" fontId="32" fillId="0" borderId="29" xfId="0" applyFont="1" applyBorder="1" applyAlignment="1">
      <alignment horizontal="center" wrapText="1"/>
    </xf>
    <xf numFmtId="0" fontId="32" fillId="0" borderId="19" xfId="0" applyFont="1" applyBorder="1" applyAlignment="1">
      <alignment horizontal="center" wrapText="1"/>
    </xf>
    <xf numFmtId="0" fontId="0" fillId="0" borderId="6" xfId="0" applyBorder="1" applyAlignment="1">
      <alignment horizontal="center" vertical="center" wrapText="1"/>
    </xf>
    <xf numFmtId="0" fontId="32" fillId="0" borderId="7" xfId="0" applyFont="1" applyBorder="1" applyAlignment="1">
      <alignment horizontal="center" vertical="center" wrapText="1"/>
    </xf>
    <xf numFmtId="0" fontId="34" fillId="0" borderId="7" xfId="0" applyFont="1" applyBorder="1" applyAlignment="1">
      <alignment horizontal="center" wrapText="1"/>
    </xf>
    <xf numFmtId="0" fontId="32" fillId="0" borderId="7" xfId="0" applyFont="1" applyBorder="1" applyAlignment="1">
      <alignment horizontal="center" wrapText="1"/>
    </xf>
    <xf numFmtId="49" fontId="14" fillId="2" borderId="14" xfId="0" applyNumberFormat="1" applyFont="1" applyFill="1" applyBorder="1" applyAlignment="1">
      <alignment vertical="top" wrapText="1"/>
    </xf>
    <xf numFmtId="0" fontId="32" fillId="0" borderId="14" xfId="0" applyFont="1" applyBorder="1" applyAlignment="1">
      <alignment horizontal="center" vertical="center" wrapText="1"/>
    </xf>
    <xf numFmtId="0" fontId="34" fillId="0" borderId="14" xfId="0" applyFont="1" applyBorder="1" applyAlignment="1">
      <alignment horizontal="center" wrapText="1"/>
    </xf>
    <xf numFmtId="0" fontId="59" fillId="0" borderId="0" xfId="0" applyFont="1"/>
    <xf numFmtId="2" fontId="53" fillId="0" borderId="14" xfId="0" applyNumberFormat="1" applyFont="1" applyBorder="1" applyAlignment="1">
      <alignment horizontal="left"/>
    </xf>
    <xf numFmtId="49" fontId="18" fillId="2" borderId="8" xfId="0" applyNumberFormat="1" applyFont="1" applyFill="1" applyBorder="1" applyAlignment="1">
      <alignment vertical="top" wrapText="1"/>
    </xf>
    <xf numFmtId="49" fontId="18" fillId="2" borderId="10" xfId="0" applyNumberFormat="1" applyFont="1" applyFill="1" applyBorder="1" applyAlignment="1">
      <alignment vertical="top" wrapText="1"/>
    </xf>
    <xf numFmtId="0" fontId="32" fillId="0" borderId="9" xfId="0" applyFont="1" applyBorder="1" applyAlignment="1">
      <alignment horizontal="center" vertical="center" wrapText="1"/>
    </xf>
    <xf numFmtId="0" fontId="34" fillId="0" borderId="9" xfId="0" applyFont="1" applyBorder="1" applyAlignment="1">
      <alignment horizontal="center" vertical="center" wrapText="1"/>
    </xf>
    <xf numFmtId="0" fontId="14" fillId="0" borderId="9" xfId="0" applyFont="1" applyBorder="1" applyAlignment="1">
      <alignment wrapText="1"/>
    </xf>
    <xf numFmtId="0" fontId="32" fillId="0" borderId="16" xfId="0" applyFont="1" applyBorder="1" applyAlignment="1">
      <alignment horizontal="center" wrapText="1"/>
    </xf>
    <xf numFmtId="49" fontId="13" fillId="2" borderId="8" xfId="0" applyNumberFormat="1" applyFont="1" applyFill="1" applyBorder="1" applyAlignment="1">
      <alignment vertical="top"/>
    </xf>
    <xf numFmtId="0" fontId="32"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34" fillId="0" borderId="8" xfId="0" applyFont="1" applyBorder="1" applyAlignment="1">
      <alignment horizontal="center" vertical="center" wrapText="1"/>
    </xf>
    <xf numFmtId="0" fontId="44" fillId="0" borderId="8" xfId="0" applyFont="1" applyBorder="1" applyAlignment="1">
      <alignment horizontal="center" wrapText="1"/>
    </xf>
    <xf numFmtId="0" fontId="32" fillId="0" borderId="15" xfId="0" applyFont="1" applyBorder="1" applyAlignment="1">
      <alignment horizontal="center" wrapText="1"/>
    </xf>
    <xf numFmtId="0" fontId="32" fillId="0" borderId="31" xfId="0" applyFont="1" applyBorder="1" applyAlignment="1">
      <alignment horizontal="center" wrapText="1"/>
    </xf>
    <xf numFmtId="0" fontId="28" fillId="0" borderId="8" xfId="0" applyFont="1" applyBorder="1" applyAlignment="1">
      <alignment horizontal="center" wrapText="1"/>
    </xf>
    <xf numFmtId="0" fontId="33" fillId="0" borderId="8" xfId="0" applyFont="1" applyBorder="1" applyAlignment="1">
      <alignment horizontal="center" wrapText="1"/>
    </xf>
    <xf numFmtId="0" fontId="28" fillId="0" borderId="8" xfId="0" applyFont="1" applyBorder="1" applyAlignment="1">
      <alignment horizontal="center" vertical="center" wrapText="1"/>
    </xf>
    <xf numFmtId="0" fontId="20" fillId="0" borderId="8" xfId="0" applyFont="1" applyBorder="1" applyAlignment="1">
      <alignment horizontal="center" wrapText="1"/>
    </xf>
    <xf numFmtId="0" fontId="14" fillId="0" borderId="8" xfId="0" applyFont="1" applyBorder="1" applyAlignment="1">
      <alignment horizontal="center" wrapText="1"/>
    </xf>
    <xf numFmtId="1" fontId="32" fillId="0" borderId="8" xfId="0" applyNumberFormat="1" applyFont="1" applyBorder="1" applyAlignment="1">
      <alignment horizontal="center" vertical="center" wrapText="1"/>
    </xf>
    <xf numFmtId="1" fontId="32" fillId="9" borderId="8" xfId="0" applyNumberFormat="1" applyFont="1" applyFill="1" applyBorder="1" applyAlignment="1">
      <alignment horizontal="center" vertical="center" wrapText="1"/>
    </xf>
    <xf numFmtId="0" fontId="27" fillId="0" borderId="8" xfId="0" applyFont="1" applyBorder="1" applyAlignment="1">
      <alignment horizontal="center" wrapText="1"/>
    </xf>
    <xf numFmtId="0" fontId="48" fillId="0" borderId="8" xfId="0" applyFont="1" applyBorder="1" applyAlignment="1">
      <alignment horizontal="center" wrapText="1"/>
    </xf>
    <xf numFmtId="9" fontId="34" fillId="0" borderId="8" xfId="0" applyNumberFormat="1" applyFont="1" applyBorder="1" applyAlignment="1">
      <alignment horizontal="center" wrapText="1"/>
    </xf>
    <xf numFmtId="0" fontId="34" fillId="0" borderId="8" xfId="0" applyFont="1" applyBorder="1" applyAlignment="1">
      <alignment horizontal="center" wrapText="1"/>
    </xf>
    <xf numFmtId="0" fontId="27" fillId="0" borderId="0" xfId="0" applyFont="1" applyAlignment="1">
      <alignment horizontal="center" wrapText="1"/>
    </xf>
    <xf numFmtId="0" fontId="34" fillId="0" borderId="0" xfId="0" applyFont="1" applyAlignment="1">
      <alignment horizontal="center" wrapText="1"/>
    </xf>
    <xf numFmtId="0" fontId="29" fillId="6" borderId="14" xfId="0" applyFont="1" applyFill="1" applyBorder="1" applyAlignment="1">
      <alignment horizontal="center" vertical="top" wrapText="1"/>
    </xf>
    <xf numFmtId="0" fontId="21" fillId="5" borderId="14" xfId="0" applyFont="1" applyFill="1" applyBorder="1" applyAlignment="1">
      <alignment wrapText="1"/>
    </xf>
    <xf numFmtId="49" fontId="13" fillId="2" borderId="14" xfId="0" applyNumberFormat="1" applyFont="1" applyFill="1" applyBorder="1" applyAlignment="1">
      <alignment vertical="top"/>
    </xf>
    <xf numFmtId="49" fontId="18" fillId="2" borderId="14" xfId="0" applyNumberFormat="1" applyFont="1" applyFill="1" applyBorder="1" applyAlignment="1">
      <alignment vertical="top"/>
    </xf>
    <xf numFmtId="49" fontId="18" fillId="2" borderId="14" xfId="0" applyNumberFormat="1" applyFont="1" applyFill="1" applyBorder="1" applyAlignment="1">
      <alignment vertical="top" wrapText="1"/>
    </xf>
    <xf numFmtId="49" fontId="21" fillId="8" borderId="14" xfId="0" applyNumberFormat="1" applyFont="1" applyFill="1" applyBorder="1" applyAlignment="1">
      <alignment horizontal="left" vertical="top" wrapText="1"/>
    </xf>
    <xf numFmtId="0" fontId="44" fillId="0" borderId="14" xfId="0" applyFont="1" applyBorder="1" applyAlignment="1">
      <alignment horizontal="center" wrapText="1"/>
    </xf>
    <xf numFmtId="0" fontId="22" fillId="5" borderId="14" xfId="0" applyFont="1" applyFill="1" applyBorder="1" applyAlignment="1">
      <alignment horizontal="justify" wrapText="1"/>
    </xf>
    <xf numFmtId="49" fontId="18" fillId="2" borderId="14" xfId="0" applyNumberFormat="1" applyFont="1" applyFill="1" applyBorder="1" applyAlignment="1">
      <alignment horizontal="justify" vertical="top" wrapText="1"/>
    </xf>
    <xf numFmtId="0" fontId="28" fillId="0" borderId="14" xfId="0" applyFont="1" applyBorder="1" applyAlignment="1">
      <alignment horizontal="center" wrapText="1"/>
    </xf>
    <xf numFmtId="0" fontId="30" fillId="6" borderId="14" xfId="0" applyFont="1" applyFill="1" applyBorder="1" applyAlignment="1">
      <alignment horizontal="center" vertical="top" wrapText="1"/>
    </xf>
    <xf numFmtId="49" fontId="50" fillId="2" borderId="14" xfId="0" applyNumberFormat="1" applyFont="1" applyFill="1" applyBorder="1" applyAlignment="1">
      <alignment vertical="top" wrapText="1"/>
    </xf>
    <xf numFmtId="0" fontId="27" fillId="0" borderId="14" xfId="0" applyFont="1" applyBorder="1" applyAlignment="1">
      <alignment horizontal="center" wrapText="1"/>
    </xf>
    <xf numFmtId="49" fontId="18" fillId="2" borderId="14" xfId="0" applyNumberFormat="1" applyFont="1" applyFill="1" applyBorder="1" applyAlignment="1">
      <alignment horizontal="justify" vertical="justify" wrapText="1"/>
    </xf>
    <xf numFmtId="0" fontId="48" fillId="0" borderId="14" xfId="0" applyFont="1" applyBorder="1" applyAlignment="1">
      <alignment horizontal="center" wrapText="1"/>
    </xf>
    <xf numFmtId="0" fontId="35" fillId="0" borderId="7" xfId="0" applyFont="1" applyBorder="1" applyAlignment="1">
      <alignment horizontal="center" vertical="center" wrapText="1"/>
    </xf>
    <xf numFmtId="0" fontId="32" fillId="0" borderId="29" xfId="0" applyFont="1" applyBorder="1" applyAlignment="1">
      <alignment horizontal="center" vertical="center" wrapText="1"/>
    </xf>
    <xf numFmtId="0" fontId="35" fillId="0" borderId="9" xfId="0" applyFont="1" applyBorder="1" applyAlignment="1">
      <alignment horizontal="center" vertical="center" wrapText="1"/>
    </xf>
    <xf numFmtId="0" fontId="32" fillId="0" borderId="21" xfId="0" applyFont="1" applyBorder="1" applyAlignment="1">
      <alignment horizontal="center" wrapText="1"/>
    </xf>
    <xf numFmtId="0" fontId="21" fillId="5" borderId="32" xfId="0" applyFont="1" applyFill="1" applyBorder="1" applyAlignment="1">
      <alignment wrapText="1"/>
    </xf>
    <xf numFmtId="0" fontId="21" fillId="5" borderId="33" xfId="0" applyFont="1" applyFill="1" applyBorder="1" applyAlignment="1">
      <alignment wrapText="1"/>
    </xf>
    <xf numFmtId="0" fontId="14" fillId="7" borderId="19" xfId="0" applyFont="1" applyFill="1" applyBorder="1" applyAlignment="1">
      <alignment vertical="top" wrapText="1"/>
    </xf>
    <xf numFmtId="0" fontId="14" fillId="0" borderId="19" xfId="0" applyFont="1" applyBorder="1" applyAlignment="1">
      <alignment horizontal="center" wrapText="1"/>
    </xf>
    <xf numFmtId="0" fontId="16" fillId="0" borderId="19" xfId="0" applyFont="1" applyBorder="1" applyAlignment="1">
      <alignment horizontal="center" wrapText="1"/>
    </xf>
    <xf numFmtId="0" fontId="32" fillId="0" borderId="34" xfId="0" applyFont="1" applyBorder="1" applyAlignment="1">
      <alignment horizontal="center" wrapText="1"/>
    </xf>
    <xf numFmtId="49" fontId="14" fillId="2" borderId="9" xfId="0" applyNumberFormat="1" applyFont="1" applyFill="1" applyBorder="1" applyAlignment="1">
      <alignment vertical="top" wrapText="1"/>
    </xf>
    <xf numFmtId="0" fontId="32" fillId="0" borderId="16" xfId="0" applyFont="1" applyBorder="1" applyAlignment="1">
      <alignment horizontal="center" vertical="center" wrapText="1"/>
    </xf>
    <xf numFmtId="49" fontId="18" fillId="2" borderId="15" xfId="0" applyNumberFormat="1" applyFont="1" applyFill="1" applyBorder="1" applyAlignment="1">
      <alignment vertical="top" wrapText="1"/>
    </xf>
    <xf numFmtId="49" fontId="18" fillId="2" borderId="35" xfId="0" applyNumberFormat="1" applyFont="1" applyFill="1" applyBorder="1" applyAlignment="1">
      <alignment vertical="top" wrapText="1"/>
    </xf>
    <xf numFmtId="49" fontId="18" fillId="2" borderId="17" xfId="0" applyNumberFormat="1" applyFont="1" applyFill="1" applyBorder="1" applyAlignment="1">
      <alignment vertical="top" wrapText="1"/>
    </xf>
    <xf numFmtId="0" fontId="21" fillId="5" borderId="31" xfId="0" applyFont="1" applyFill="1" applyBorder="1" applyAlignment="1">
      <alignment wrapText="1"/>
    </xf>
    <xf numFmtId="0" fontId="21" fillId="5" borderId="36" xfId="0" applyFont="1" applyFill="1" applyBorder="1" applyAlignment="1">
      <alignment wrapText="1"/>
    </xf>
    <xf numFmtId="0" fontId="21" fillId="5" borderId="37" xfId="0" applyFont="1" applyFill="1" applyBorder="1" applyAlignment="1">
      <alignment wrapText="1"/>
    </xf>
    <xf numFmtId="0" fontId="21" fillId="5" borderId="38" xfId="0" applyFont="1" applyFill="1" applyBorder="1" applyAlignment="1">
      <alignment wrapText="1"/>
    </xf>
    <xf numFmtId="49" fontId="13" fillId="2" borderId="10" xfId="0" applyNumberFormat="1" applyFont="1" applyFill="1" applyBorder="1" applyAlignment="1">
      <alignment vertical="top"/>
    </xf>
    <xf numFmtId="49" fontId="18" fillId="2" borderId="39" xfId="0" applyNumberFormat="1" applyFont="1" applyFill="1" applyBorder="1" applyAlignment="1">
      <alignment vertical="top" wrapText="1"/>
    </xf>
    <xf numFmtId="0" fontId="32" fillId="0" borderId="18" xfId="0" applyFont="1" applyBorder="1" applyAlignment="1">
      <alignment horizontal="center" vertical="center" wrapText="1"/>
    </xf>
    <xf numFmtId="0" fontId="34" fillId="0" borderId="18" xfId="0" applyFont="1" applyBorder="1" applyAlignment="1">
      <alignment horizontal="center" vertical="center" wrapText="1"/>
    </xf>
    <xf numFmtId="0" fontId="31" fillId="0" borderId="7" xfId="0" applyFont="1" applyBorder="1" applyAlignment="1">
      <alignment horizontal="center" vertical="center" wrapText="1"/>
    </xf>
    <xf numFmtId="49" fontId="21" fillId="8" borderId="41" xfId="0" applyNumberFormat="1" applyFont="1" applyFill="1" applyBorder="1" applyAlignment="1">
      <alignment vertical="top" wrapText="1"/>
    </xf>
    <xf numFmtId="49" fontId="21" fillId="8" borderId="42" xfId="0" applyNumberFormat="1" applyFont="1" applyFill="1" applyBorder="1" applyAlignment="1">
      <alignment vertical="top" wrapText="1"/>
    </xf>
    <xf numFmtId="49" fontId="21" fillId="8" borderId="43" xfId="0" applyNumberFormat="1" applyFont="1" applyFill="1" applyBorder="1" applyAlignment="1">
      <alignment vertical="top" wrapText="1"/>
    </xf>
    <xf numFmtId="49" fontId="21" fillId="8" borderId="44" xfId="0" applyNumberFormat="1" applyFont="1" applyFill="1" applyBorder="1" applyAlignment="1">
      <alignment vertical="top" wrapText="1"/>
    </xf>
    <xf numFmtId="49" fontId="21" fillId="8" borderId="32" xfId="0" applyNumberFormat="1" applyFont="1" applyFill="1" applyBorder="1" applyAlignment="1">
      <alignment horizontal="left" vertical="top" wrapText="1"/>
    </xf>
    <xf numFmtId="49" fontId="21" fillId="8" borderId="17" xfId="0" applyNumberFormat="1" applyFont="1" applyFill="1" applyBorder="1" applyAlignment="1">
      <alignment horizontal="left" vertical="top" wrapText="1"/>
    </xf>
    <xf numFmtId="0" fontId="14" fillId="0" borderId="7" xfId="0" applyFont="1" applyBorder="1" applyAlignment="1">
      <alignment wrapText="1"/>
    </xf>
    <xf numFmtId="0" fontId="29" fillId="6" borderId="32" xfId="0" applyFont="1" applyFill="1" applyBorder="1" applyAlignment="1">
      <alignment horizontal="center" vertical="top" wrapText="1"/>
    </xf>
    <xf numFmtId="0" fontId="16" fillId="0" borderId="9" xfId="0" applyFont="1" applyBorder="1" applyAlignment="1">
      <alignment horizontal="center" wrapText="1"/>
    </xf>
    <xf numFmtId="0" fontId="21" fillId="5" borderId="17" xfId="0" applyFont="1" applyFill="1" applyBorder="1" applyAlignment="1">
      <alignment wrapText="1"/>
    </xf>
    <xf numFmtId="49" fontId="18" fillId="2" borderId="21" xfId="0" applyNumberFormat="1" applyFont="1" applyFill="1" applyBorder="1" applyAlignment="1">
      <alignment vertical="top"/>
    </xf>
    <xf numFmtId="14" fontId="14" fillId="0" borderId="7" xfId="0" applyNumberFormat="1" applyFont="1" applyBorder="1" applyAlignment="1">
      <alignment horizontal="left" wrapText="1"/>
    </xf>
    <xf numFmtId="49" fontId="18" fillId="2" borderId="9" xfId="0" applyNumberFormat="1" applyFont="1" applyFill="1" applyBorder="1" applyAlignment="1">
      <alignment vertical="top"/>
    </xf>
    <xf numFmtId="49" fontId="18" fillId="2" borderId="16" xfId="0" applyNumberFormat="1" applyFont="1" applyFill="1" applyBorder="1" applyAlignment="1">
      <alignment vertical="top"/>
    </xf>
    <xf numFmtId="49" fontId="13" fillId="2" borderId="17" xfId="0" applyNumberFormat="1" applyFont="1" applyFill="1" applyBorder="1" applyAlignment="1">
      <alignment vertical="top"/>
    </xf>
    <xf numFmtId="49" fontId="18" fillId="2" borderId="33" xfId="0" applyNumberFormat="1" applyFont="1" applyFill="1" applyBorder="1" applyAlignment="1">
      <alignment vertical="top"/>
    </xf>
    <xf numFmtId="49" fontId="14" fillId="2" borderId="7" xfId="0" applyNumberFormat="1" applyFont="1" applyFill="1" applyBorder="1" applyAlignment="1">
      <alignment vertical="top"/>
    </xf>
    <xf numFmtId="0" fontId="40" fillId="0" borderId="7" xfId="0" applyFont="1" applyBorder="1" applyAlignment="1">
      <alignment wrapText="1"/>
    </xf>
    <xf numFmtId="49" fontId="14" fillId="2" borderId="9" xfId="0" applyNumberFormat="1" applyFont="1" applyFill="1" applyBorder="1" applyAlignment="1">
      <alignment vertical="top"/>
    </xf>
    <xf numFmtId="0" fontId="40" fillId="0" borderId="9" xfId="0" applyFont="1" applyBorder="1" applyAlignment="1">
      <alignment wrapText="1"/>
    </xf>
    <xf numFmtId="168" fontId="16" fillId="0" borderId="7" xfId="0" applyNumberFormat="1" applyFont="1" applyBorder="1" applyAlignment="1">
      <alignment horizontal="center" vertical="center"/>
    </xf>
    <xf numFmtId="0" fontId="32" fillId="0" borderId="9" xfId="0" applyFont="1" applyBorder="1" applyAlignment="1">
      <alignment wrapText="1"/>
    </xf>
    <xf numFmtId="0" fontId="32" fillId="0" borderId="7" xfId="0" applyFont="1" applyBorder="1" applyAlignment="1">
      <alignment wrapText="1"/>
    </xf>
    <xf numFmtId="49" fontId="13" fillId="2" borderId="32" xfId="0" applyNumberFormat="1" applyFont="1" applyFill="1" applyBorder="1" applyAlignment="1">
      <alignment vertical="top"/>
    </xf>
    <xf numFmtId="168" fontId="16" fillId="0" borderId="9" xfId="0" applyNumberFormat="1" applyFont="1" applyBorder="1" applyAlignment="1">
      <alignment horizontal="center" vertical="center"/>
    </xf>
    <xf numFmtId="49" fontId="18" fillId="2" borderId="32" xfId="0" applyNumberFormat="1" applyFont="1" applyFill="1" applyBorder="1" applyAlignment="1">
      <alignment vertical="top" wrapText="1"/>
    </xf>
    <xf numFmtId="49" fontId="18" fillId="2" borderId="33" xfId="0" applyNumberFormat="1" applyFont="1" applyFill="1" applyBorder="1" applyAlignment="1">
      <alignment vertical="top" wrapText="1"/>
    </xf>
    <xf numFmtId="49" fontId="36" fillId="2" borderId="17" xfId="0" applyNumberFormat="1" applyFont="1" applyFill="1" applyBorder="1" applyAlignment="1">
      <alignment vertical="top" wrapText="1"/>
    </xf>
    <xf numFmtId="14" fontId="14" fillId="0" borderId="18" xfId="0" applyNumberFormat="1" applyFont="1" applyBorder="1" applyAlignment="1">
      <alignment horizontal="left" wrapText="1"/>
    </xf>
    <xf numFmtId="0" fontId="40" fillId="0" borderId="18" xfId="0" applyFont="1" applyBorder="1" applyAlignment="1">
      <alignment wrapText="1"/>
    </xf>
    <xf numFmtId="0" fontId="32" fillId="0" borderId="23" xfId="0" applyFont="1" applyBorder="1" applyAlignment="1">
      <alignment horizontal="center" vertical="center" wrapText="1"/>
    </xf>
    <xf numFmtId="49" fontId="21" fillId="2" borderId="18" xfId="0" applyNumberFormat="1" applyFont="1" applyFill="1" applyBorder="1" applyAlignment="1">
      <alignment vertical="top" wrapText="1"/>
    </xf>
    <xf numFmtId="0" fontId="14" fillId="0" borderId="18" xfId="0" applyFont="1" applyBorder="1" applyAlignment="1">
      <alignment horizontal="center" vertical="center" wrapText="1"/>
    </xf>
    <xf numFmtId="49" fontId="21" fillId="0" borderId="18" xfId="0" applyNumberFormat="1" applyFont="1" applyBorder="1" applyAlignment="1">
      <alignment vertical="top" wrapText="1"/>
    </xf>
    <xf numFmtId="0" fontId="16" fillId="0" borderId="18" xfId="0" applyFont="1" applyBorder="1" applyAlignment="1">
      <alignment horizontal="center" wrapText="1"/>
    </xf>
    <xf numFmtId="0" fontId="14" fillId="0" borderId="18" xfId="0" applyFont="1" applyBorder="1" applyAlignment="1">
      <alignment horizontal="center" wrapText="1"/>
    </xf>
    <xf numFmtId="0" fontId="32" fillId="0" borderId="18" xfId="0" applyFont="1" applyBorder="1" applyAlignment="1">
      <alignment horizontal="center" wrapText="1"/>
    </xf>
    <xf numFmtId="0" fontId="32" fillId="0" borderId="23" xfId="0" applyFont="1" applyBorder="1" applyAlignment="1">
      <alignment horizontal="center" wrapText="1"/>
    </xf>
    <xf numFmtId="0" fontId="32" fillId="0" borderId="45" xfId="0" applyFont="1" applyBorder="1" applyAlignment="1">
      <alignment horizontal="center" wrapText="1"/>
    </xf>
    <xf numFmtId="0" fontId="32" fillId="0" borderId="46" xfId="0" applyFont="1" applyBorder="1" applyAlignment="1">
      <alignment horizontal="center" wrapText="1"/>
    </xf>
    <xf numFmtId="0" fontId="32" fillId="0" borderId="45" xfId="0" applyFont="1" applyBorder="1" applyAlignment="1">
      <alignment horizontal="center" vertical="center" wrapText="1"/>
    </xf>
    <xf numFmtId="0" fontId="32" fillId="0" borderId="47" xfId="0" applyFont="1" applyBorder="1" applyAlignment="1">
      <alignment horizontal="center" vertical="center" wrapText="1"/>
    </xf>
    <xf numFmtId="0" fontId="32" fillId="0" borderId="46" xfId="0" applyFont="1" applyBorder="1" applyAlignment="1">
      <alignment horizontal="center" vertical="center" wrapText="1"/>
    </xf>
    <xf numFmtId="0" fontId="32" fillId="0" borderId="47" xfId="0" applyFont="1" applyBorder="1" applyAlignment="1">
      <alignment horizontal="center" wrapText="1"/>
    </xf>
    <xf numFmtId="0" fontId="32" fillId="0" borderId="48" xfId="0" applyFont="1" applyBorder="1" applyAlignment="1">
      <alignment horizontal="center" wrapText="1"/>
    </xf>
    <xf numFmtId="0" fontId="32" fillId="0" borderId="49" xfId="0" applyFont="1" applyBorder="1" applyAlignment="1">
      <alignment horizontal="center" wrapText="1"/>
    </xf>
    <xf numFmtId="49" fontId="13" fillId="2" borderId="19" xfId="0" applyNumberFormat="1" applyFont="1" applyFill="1" applyBorder="1" applyAlignment="1">
      <alignment vertical="top"/>
    </xf>
    <xf numFmtId="9" fontId="34" fillId="0" borderId="14" xfId="0" applyNumberFormat="1" applyFont="1" applyBorder="1" applyAlignment="1">
      <alignment horizontal="center" wrapText="1"/>
    </xf>
    <xf numFmtId="1" fontId="32" fillId="0" borderId="14" xfId="0" applyNumberFormat="1" applyFont="1" applyBorder="1" applyAlignment="1">
      <alignment horizontal="center" vertical="center" wrapText="1"/>
    </xf>
    <xf numFmtId="1" fontId="32" fillId="9" borderId="14" xfId="0" applyNumberFormat="1" applyFont="1" applyFill="1" applyBorder="1" applyAlignment="1">
      <alignment horizontal="center" vertical="center" wrapText="1"/>
    </xf>
    <xf numFmtId="0" fontId="20" fillId="0" borderId="14" xfId="0" applyFont="1" applyBorder="1" applyAlignment="1">
      <alignment horizontal="center" wrapText="1"/>
    </xf>
    <xf numFmtId="0" fontId="28" fillId="0" borderId="14" xfId="0" applyFont="1" applyBorder="1" applyAlignment="1">
      <alignment horizontal="center" vertical="center" wrapText="1"/>
    </xf>
    <xf numFmtId="0" fontId="33" fillId="0" borderId="14" xfId="0" applyFont="1" applyBorder="1" applyAlignment="1">
      <alignment horizontal="center" wrapText="1"/>
    </xf>
    <xf numFmtId="0" fontId="27" fillId="0" borderId="14" xfId="0" applyFont="1" applyBorder="1" applyAlignment="1">
      <alignment horizontal="center" vertical="center" wrapText="1"/>
    </xf>
    <xf numFmtId="0" fontId="34" fillId="0" borderId="14" xfId="0" applyFont="1" applyBorder="1" applyAlignment="1">
      <alignment horizontal="center" vertical="center" wrapText="1"/>
    </xf>
    <xf numFmtId="0" fontId="25" fillId="7" borderId="14" xfId="0" applyFont="1" applyFill="1" applyBorder="1" applyAlignment="1">
      <alignment vertical="top" wrapText="1"/>
    </xf>
    <xf numFmtId="0" fontId="25" fillId="0" borderId="50" xfId="0" applyFont="1" applyBorder="1" applyAlignment="1">
      <alignment horizontal="center" wrapText="1"/>
    </xf>
    <xf numFmtId="0" fontId="25" fillId="0" borderId="0" xfId="0" applyFont="1" applyAlignment="1">
      <alignment horizontal="center" wrapText="1"/>
    </xf>
    <xf numFmtId="0" fontId="25" fillId="0" borderId="51" xfId="0" applyFont="1" applyBorder="1" applyAlignment="1">
      <alignment horizontal="center" wrapText="1"/>
    </xf>
    <xf numFmtId="49" fontId="14" fillId="2" borderId="22" xfId="0" applyNumberFormat="1" applyFont="1" applyFill="1" applyBorder="1" applyAlignment="1">
      <alignment vertical="top" wrapText="1"/>
    </xf>
    <xf numFmtId="49" fontId="14" fillId="2" borderId="10" xfId="0" applyNumberFormat="1" applyFont="1" applyFill="1" applyBorder="1" applyAlignment="1">
      <alignment vertical="top" wrapText="1"/>
    </xf>
    <xf numFmtId="49" fontId="32" fillId="2" borderId="10" xfId="0" applyNumberFormat="1" applyFont="1" applyFill="1" applyBorder="1" applyAlignment="1">
      <alignment vertical="top" wrapText="1"/>
    </xf>
    <xf numFmtId="49" fontId="14" fillId="2" borderId="52" xfId="0" applyNumberFormat="1" applyFont="1" applyFill="1" applyBorder="1" applyAlignment="1">
      <alignment vertical="top" wrapText="1"/>
    </xf>
    <xf numFmtId="0" fontId="25" fillId="0" borderId="14" xfId="0" applyFont="1" applyBorder="1" applyAlignment="1">
      <alignment horizontal="center" wrapText="1"/>
    </xf>
    <xf numFmtId="0" fontId="14" fillId="0" borderId="14" xfId="0" applyFont="1" applyBorder="1" applyAlignment="1">
      <alignment wrapText="1"/>
    </xf>
    <xf numFmtId="0" fontId="65" fillId="0" borderId="14" xfId="0" applyFont="1" applyBorder="1" applyAlignment="1">
      <alignment wrapText="1"/>
    </xf>
    <xf numFmtId="0" fontId="25" fillId="0" borderId="53" xfId="0" applyFont="1" applyBorder="1" applyAlignment="1">
      <alignment horizontal="center" wrapText="1"/>
    </xf>
    <xf numFmtId="0" fontId="34" fillId="0" borderId="54" xfId="0" applyFont="1" applyBorder="1" applyAlignment="1">
      <alignment horizontal="center" wrapText="1"/>
    </xf>
    <xf numFmtId="0" fontId="26" fillId="0" borderId="14" xfId="0" applyFont="1" applyBorder="1" applyAlignment="1">
      <alignment horizontal="center" wrapText="1"/>
    </xf>
    <xf numFmtId="0" fontId="25" fillId="0" borderId="55" xfId="0" applyFont="1" applyBorder="1" applyAlignment="1">
      <alignment horizontal="center" wrapText="1"/>
    </xf>
    <xf numFmtId="0" fontId="25" fillId="0" borderId="56" xfId="0" applyFont="1" applyBorder="1" applyAlignment="1">
      <alignment horizontal="center" wrapText="1"/>
    </xf>
    <xf numFmtId="49" fontId="36" fillId="2" borderId="33" xfId="0" applyNumberFormat="1" applyFont="1" applyFill="1" applyBorder="1" applyAlignment="1">
      <alignment vertical="top" wrapText="1"/>
    </xf>
    <xf numFmtId="0" fontId="14" fillId="0" borderId="15" xfId="0" applyFont="1" applyBorder="1" applyAlignment="1">
      <alignment wrapText="1"/>
    </xf>
    <xf numFmtId="0" fontId="14" fillId="0" borderId="35" xfId="0" applyFont="1" applyBorder="1" applyAlignment="1">
      <alignment wrapText="1"/>
    </xf>
    <xf numFmtId="0" fontId="32" fillId="0" borderId="30" xfId="0" applyFont="1" applyBorder="1" applyAlignment="1">
      <alignment horizontal="center" wrapText="1"/>
    </xf>
    <xf numFmtId="0" fontId="26" fillId="0" borderId="14" xfId="0" applyFont="1" applyBorder="1" applyAlignment="1">
      <alignment horizontal="center" vertical="top" wrapText="1"/>
    </xf>
    <xf numFmtId="0" fontId="21" fillId="5" borderId="57" xfId="0" applyFont="1" applyFill="1" applyBorder="1" applyAlignment="1">
      <alignment wrapText="1"/>
    </xf>
    <xf numFmtId="0" fontId="14" fillId="0" borderId="0" xfId="0" applyFont="1"/>
    <xf numFmtId="0" fontId="13" fillId="0" borderId="0" xfId="0" applyFont="1" applyAlignment="1">
      <alignment horizontal="center" vertical="center" wrapText="1"/>
    </xf>
    <xf numFmtId="0" fontId="14" fillId="0" borderId="68" xfId="0" applyFont="1" applyBorder="1"/>
    <xf numFmtId="0" fontId="13" fillId="0" borderId="68" xfId="0" applyFont="1" applyBorder="1" applyAlignment="1">
      <alignment horizontal="center" vertical="center" wrapText="1"/>
    </xf>
    <xf numFmtId="0" fontId="14" fillId="0" borderId="69" xfId="0" applyFont="1" applyBorder="1" applyAlignment="1">
      <alignment vertical="center" wrapText="1"/>
    </xf>
    <xf numFmtId="0" fontId="14" fillId="0" borderId="71" xfId="0" applyFont="1" applyBorder="1" applyAlignment="1">
      <alignment vertical="center" wrapText="1"/>
    </xf>
    <xf numFmtId="0" fontId="16" fillId="0" borderId="71" xfId="0" applyFont="1" applyBorder="1" applyAlignment="1">
      <alignment vertical="center" wrapText="1"/>
    </xf>
    <xf numFmtId="0" fontId="14" fillId="0" borderId="68" xfId="0" applyFont="1" applyBorder="1" applyAlignment="1">
      <alignment vertical="center" wrapText="1"/>
    </xf>
    <xf numFmtId="0" fontId="14" fillId="14" borderId="69" xfId="0" applyFont="1" applyFill="1" applyBorder="1" applyAlignment="1">
      <alignment vertical="center"/>
    </xf>
    <xf numFmtId="0" fontId="68" fillId="14" borderId="69" xfId="0" applyFont="1" applyFill="1" applyBorder="1" applyAlignment="1">
      <alignment vertical="center" wrapText="1"/>
    </xf>
    <xf numFmtId="0" fontId="14" fillId="14" borderId="69" xfId="0" applyFont="1" applyFill="1" applyBorder="1" applyAlignment="1">
      <alignment vertical="center" wrapText="1"/>
    </xf>
    <xf numFmtId="0" fontId="16" fillId="0" borderId="71" xfId="0" applyFont="1" applyBorder="1" applyAlignment="1">
      <alignment vertical="center"/>
    </xf>
    <xf numFmtId="0" fontId="14" fillId="14" borderId="70" xfId="0" applyFont="1" applyFill="1" applyBorder="1" applyAlignment="1">
      <alignment vertical="center" wrapText="1"/>
    </xf>
    <xf numFmtId="0" fontId="15" fillId="0" borderId="68" xfId="0" applyFont="1" applyBorder="1" applyAlignment="1">
      <alignment vertical="center" wrapText="1"/>
    </xf>
    <xf numFmtId="0" fontId="16" fillId="0" borderId="68" xfId="0" applyFont="1" applyBorder="1" applyAlignment="1">
      <alignment vertical="center" wrapText="1"/>
    </xf>
    <xf numFmtId="0" fontId="68" fillId="0" borderId="71" xfId="0" applyFont="1" applyBorder="1" applyAlignment="1">
      <alignment vertical="center" wrapText="1"/>
    </xf>
    <xf numFmtId="0" fontId="68" fillId="0" borderId="72" xfId="0" applyFont="1" applyBorder="1" applyAlignment="1">
      <alignment vertical="center" wrapText="1"/>
    </xf>
    <xf numFmtId="0" fontId="14" fillId="0" borderId="71" xfId="0" applyFont="1" applyBorder="1" applyAlignment="1">
      <alignment wrapText="1"/>
    </xf>
    <xf numFmtId="0" fontId="14" fillId="0" borderId="68" xfId="0" applyFont="1" applyBorder="1" applyAlignment="1">
      <alignment wrapText="1"/>
    </xf>
    <xf numFmtId="0" fontId="68" fillId="0" borderId="68" xfId="0" applyFont="1" applyBorder="1" applyAlignment="1">
      <alignment vertical="center" wrapText="1"/>
    </xf>
    <xf numFmtId="0" fontId="69" fillId="0" borderId="71" xfId="0" applyFont="1" applyBorder="1" applyAlignment="1">
      <alignment vertical="center" wrapText="1"/>
    </xf>
    <xf numFmtId="3" fontId="14" fillId="0" borderId="68" xfId="0" applyNumberFormat="1" applyFont="1" applyBorder="1" applyAlignment="1">
      <alignment vertical="center" wrapText="1"/>
    </xf>
    <xf numFmtId="0" fontId="20" fillId="0" borderId="68" xfId="0" applyFont="1" applyBorder="1" applyAlignment="1">
      <alignment vertical="center" wrapText="1"/>
    </xf>
    <xf numFmtId="0" fontId="14" fillId="0" borderId="72" xfId="0" applyFont="1" applyBorder="1" applyAlignment="1">
      <alignment horizontal="justify" vertical="center" wrapText="1"/>
    </xf>
    <xf numFmtId="0" fontId="14" fillId="0" borderId="71" xfId="0" applyFont="1" applyBorder="1" applyAlignment="1">
      <alignment horizontal="justify" vertical="center" wrapText="1"/>
    </xf>
    <xf numFmtId="0" fontId="14" fillId="14" borderId="69" xfId="0" applyFont="1" applyFill="1" applyBorder="1" applyAlignment="1">
      <alignment horizontal="justify" vertical="center" wrapText="1"/>
    </xf>
    <xf numFmtId="0" fontId="14" fillId="15" borderId="68" xfId="0" applyFont="1" applyFill="1" applyBorder="1" applyAlignment="1">
      <alignment vertical="center" wrapText="1"/>
    </xf>
    <xf numFmtId="0" fontId="14" fillId="14" borderId="77" xfId="0" applyFont="1" applyFill="1" applyBorder="1" applyAlignment="1">
      <alignment vertical="top"/>
    </xf>
    <xf numFmtId="0" fontId="14" fillId="0" borderId="73" xfId="0" applyFont="1" applyBorder="1" applyAlignment="1">
      <alignment vertical="center" wrapText="1"/>
    </xf>
    <xf numFmtId="0" fontId="14" fillId="0" borderId="75" xfId="0" applyFont="1" applyBorder="1" applyAlignment="1">
      <alignment vertical="center" wrapText="1"/>
    </xf>
    <xf numFmtId="0" fontId="68" fillId="0" borderId="73" xfId="0" applyFont="1" applyBorder="1" applyAlignment="1">
      <alignment vertical="center" wrapText="1"/>
    </xf>
    <xf numFmtId="0" fontId="68" fillId="0" borderId="74" xfId="0" applyFont="1" applyBorder="1" applyAlignment="1">
      <alignment vertical="center" wrapText="1"/>
    </xf>
    <xf numFmtId="0" fontId="68" fillId="14" borderId="73" xfId="0" applyFont="1" applyFill="1" applyBorder="1" applyAlignment="1">
      <alignment vertical="center" wrapText="1"/>
    </xf>
    <xf numFmtId="0" fontId="67" fillId="14" borderId="76" xfId="0" applyFont="1" applyFill="1" applyBorder="1" applyAlignment="1">
      <alignment vertical="center"/>
    </xf>
    <xf numFmtId="0" fontId="67" fillId="14" borderId="77" xfId="0" applyFont="1" applyFill="1" applyBorder="1" applyAlignment="1">
      <alignment vertical="center"/>
    </xf>
    <xf numFmtId="0" fontId="69" fillId="0" borderId="73" xfId="0" applyFont="1" applyBorder="1" applyAlignment="1">
      <alignment horizontal="center" vertical="center" wrapText="1"/>
    </xf>
    <xf numFmtId="0" fontId="14" fillId="0" borderId="74" xfId="0" applyFont="1" applyBorder="1" applyAlignment="1">
      <alignment horizontal="center" vertical="center" wrapText="1"/>
    </xf>
    <xf numFmtId="0" fontId="14" fillId="0" borderId="73" xfId="0" applyFont="1" applyBorder="1" applyAlignment="1">
      <alignment horizontal="center" vertical="center" wrapText="1"/>
    </xf>
    <xf numFmtId="0" fontId="16" fillId="0" borderId="73" xfId="0" applyFont="1" applyBorder="1" applyAlignment="1">
      <alignment horizontal="center" vertical="center" wrapText="1"/>
    </xf>
    <xf numFmtId="0" fontId="29" fillId="0" borderId="0" xfId="0" applyFont="1" applyAlignment="1">
      <alignment vertical="center"/>
    </xf>
    <xf numFmtId="0" fontId="13" fillId="0" borderId="14" xfId="0" applyFont="1" applyBorder="1" applyAlignment="1">
      <alignment horizontal="center" vertical="center" wrapText="1"/>
    </xf>
    <xf numFmtId="0" fontId="21" fillId="12" borderId="14" xfId="0" applyFont="1" applyFill="1" applyBorder="1" applyAlignment="1">
      <alignment vertical="center" wrapText="1"/>
    </xf>
    <xf numFmtId="0" fontId="14" fillId="0" borderId="14" xfId="0" applyFont="1" applyBorder="1" applyAlignment="1">
      <alignment vertical="center" wrapText="1"/>
    </xf>
    <xf numFmtId="0" fontId="14" fillId="11" borderId="14" xfId="0" applyFont="1" applyFill="1" applyBorder="1" applyAlignment="1">
      <alignment vertical="top" wrapText="1"/>
    </xf>
    <xf numFmtId="0" fontId="14" fillId="13" borderId="14" xfId="0" applyFont="1" applyFill="1" applyBorder="1" applyAlignment="1">
      <alignment wrapText="1"/>
    </xf>
    <xf numFmtId="0" fontId="14" fillId="14" borderId="14" xfId="0" applyFont="1" applyFill="1" applyBorder="1" applyAlignment="1">
      <alignment vertical="top"/>
    </xf>
    <xf numFmtId="0" fontId="14" fillId="14" borderId="14" xfId="0" applyFont="1" applyFill="1" applyBorder="1" applyAlignment="1">
      <alignment vertical="top" wrapText="1"/>
    </xf>
    <xf numFmtId="0" fontId="14" fillId="12" borderId="14" xfId="0" applyFont="1" applyFill="1" applyBorder="1" applyAlignment="1">
      <alignment vertical="top" wrapText="1"/>
    </xf>
    <xf numFmtId="0" fontId="15" fillId="0" borderId="14" xfId="0" applyFont="1" applyBorder="1" applyAlignment="1">
      <alignment vertical="center" wrapText="1"/>
    </xf>
    <xf numFmtId="0" fontId="16" fillId="0" borderId="14" xfId="0" applyFont="1" applyBorder="1" applyAlignment="1">
      <alignment vertical="center" wrapText="1"/>
    </xf>
    <xf numFmtId="0" fontId="67" fillId="14" borderId="14" xfId="0" applyFont="1" applyFill="1" applyBorder="1" applyAlignment="1">
      <alignment horizontal="left" vertical="center" wrapText="1"/>
    </xf>
    <xf numFmtId="0" fontId="68" fillId="0" borderId="14" xfId="0" applyFont="1" applyBorder="1" applyAlignment="1">
      <alignment vertical="center" wrapText="1"/>
    </xf>
    <xf numFmtId="3" fontId="14" fillId="0" borderId="14" xfId="0" applyNumberFormat="1" applyFont="1" applyBorder="1" applyAlignment="1">
      <alignment vertical="center" wrapText="1"/>
    </xf>
    <xf numFmtId="0" fontId="14" fillId="0" borderId="14" xfId="0" applyFont="1" applyBorder="1" applyAlignment="1">
      <alignment horizontal="center" vertical="center" wrapText="1"/>
    </xf>
    <xf numFmtId="0" fontId="20" fillId="0" borderId="14" xfId="0" applyFont="1" applyBorder="1" applyAlignment="1">
      <alignment vertical="center" wrapText="1"/>
    </xf>
    <xf numFmtId="0" fontId="67" fillId="14" borderId="14" xfId="0" applyFont="1" applyFill="1" applyBorder="1" applyAlignment="1">
      <alignment horizontal="justify" vertical="center" wrapText="1"/>
    </xf>
    <xf numFmtId="0" fontId="21" fillId="13" borderId="14" xfId="0" applyFont="1" applyFill="1" applyBorder="1" applyAlignment="1">
      <alignment vertical="center" wrapText="1"/>
    </xf>
    <xf numFmtId="0" fontId="13" fillId="14" borderId="14" xfId="0" applyFont="1" applyFill="1" applyBorder="1" applyAlignment="1">
      <alignment vertical="center"/>
    </xf>
    <xf numFmtId="0" fontId="67" fillId="14" borderId="14" xfId="0" applyFont="1" applyFill="1" applyBorder="1" applyAlignment="1">
      <alignment vertical="center" wrapText="1"/>
    </xf>
    <xf numFmtId="0" fontId="14" fillId="15" borderId="14" xfId="0" applyFont="1" applyFill="1" applyBorder="1" applyAlignment="1">
      <alignment vertical="center" wrapText="1"/>
    </xf>
    <xf numFmtId="0" fontId="0" fillId="0" borderId="83" xfId="0" applyBorder="1"/>
    <xf numFmtId="0" fontId="0" fillId="0" borderId="84" xfId="0" applyBorder="1"/>
    <xf numFmtId="0" fontId="0" fillId="0" borderId="86" xfId="0" applyBorder="1"/>
    <xf numFmtId="0" fontId="0" fillId="0" borderId="87" xfId="0" applyBorder="1"/>
    <xf numFmtId="0" fontId="0" fillId="0" borderId="88" xfId="0" applyBorder="1"/>
    <xf numFmtId="0" fontId="0" fillId="0" borderId="89" xfId="0" applyBorder="1"/>
    <xf numFmtId="0" fontId="0" fillId="0" borderId="90" xfId="0" applyBorder="1"/>
    <xf numFmtId="0" fontId="0" fillId="0" borderId="85" xfId="0" applyBorder="1"/>
    <xf numFmtId="0" fontId="14" fillId="0" borderId="0" xfId="0" applyFont="1" applyAlignment="1">
      <alignment vertical="center"/>
    </xf>
    <xf numFmtId="0" fontId="14" fillId="0" borderId="84" xfId="0" applyFont="1" applyBorder="1" applyAlignment="1">
      <alignment vertical="center"/>
    </xf>
    <xf numFmtId="0" fontId="77" fillId="0" borderId="0" xfId="0" applyFont="1" applyAlignment="1">
      <alignment horizontal="justify" vertical="center"/>
    </xf>
    <xf numFmtId="0" fontId="0" fillId="16" borderId="80" xfId="0" applyFill="1" applyBorder="1" applyAlignment="1">
      <alignment horizontal="left" vertical="center" wrapText="1"/>
    </xf>
    <xf numFmtId="0" fontId="0" fillId="0" borderId="80" xfId="0" applyBorder="1" applyAlignment="1">
      <alignment horizontal="left" vertical="center"/>
    </xf>
    <xf numFmtId="0" fontId="0" fillId="0" borderId="80" xfId="0" applyBorder="1" applyAlignment="1">
      <alignment horizontal="left" vertical="center" wrapText="1"/>
    </xf>
    <xf numFmtId="0" fontId="79" fillId="0" borderId="86" xfId="0" applyFont="1" applyBorder="1"/>
    <xf numFmtId="0" fontId="0" fillId="0" borderId="82" xfId="0" applyBorder="1"/>
    <xf numFmtId="0" fontId="0" fillId="0" borderId="81" xfId="0" applyBorder="1"/>
    <xf numFmtId="0" fontId="80" fillId="17" borderId="80" xfId="0" applyFont="1" applyFill="1" applyBorder="1" applyAlignment="1">
      <alignment horizontal="left" vertical="center"/>
    </xf>
    <xf numFmtId="0" fontId="80" fillId="17" borderId="80" xfId="0" applyFont="1" applyFill="1" applyBorder="1" applyAlignment="1">
      <alignment horizontal="left" vertical="center" wrapText="1"/>
    </xf>
    <xf numFmtId="0" fontId="72" fillId="0" borderId="0" xfId="0" applyFont="1" applyAlignment="1">
      <alignment horizontal="left" vertical="top" wrapText="1"/>
    </xf>
    <xf numFmtId="0" fontId="82" fillId="0" borderId="0" xfId="0" applyFont="1" applyAlignment="1">
      <alignment vertical="top"/>
    </xf>
    <xf numFmtId="0" fontId="76" fillId="0" borderId="0" xfId="0" applyFont="1"/>
    <xf numFmtId="0" fontId="85" fillId="0" borderId="14" xfId="0" applyFont="1" applyBorder="1" applyAlignment="1">
      <alignment horizontal="center" vertical="center" wrapText="1"/>
    </xf>
    <xf numFmtId="0" fontId="76" fillId="0" borderId="14" xfId="0" applyFont="1" applyBorder="1"/>
    <xf numFmtId="0" fontId="76" fillId="20" borderId="0" xfId="0" applyFont="1" applyFill="1"/>
    <xf numFmtId="0" fontId="82" fillId="0" borderId="0" xfId="0" applyFont="1"/>
    <xf numFmtId="0" fontId="89" fillId="0" borderId="0" xfId="0" applyFont="1"/>
    <xf numFmtId="0" fontId="90" fillId="0" borderId="0" xfId="0" applyFont="1" applyAlignment="1">
      <alignment horizontal="left" vertical="top" wrapText="1"/>
    </xf>
    <xf numFmtId="0" fontId="91" fillId="0" borderId="0" xfId="0" applyFont="1"/>
    <xf numFmtId="0" fontId="91" fillId="20" borderId="0" xfId="0" applyFont="1" applyFill="1"/>
    <xf numFmtId="0" fontId="94" fillId="0" borderId="0" xfId="0" applyFont="1"/>
    <xf numFmtId="0" fontId="76" fillId="0" borderId="14" xfId="0" applyFont="1" applyBorder="1" applyAlignment="1">
      <alignment vertical="center" wrapText="1"/>
    </xf>
    <xf numFmtId="0" fontId="72" fillId="21" borderId="14" xfId="0" applyFont="1" applyFill="1" applyBorder="1" applyAlignment="1">
      <alignment vertical="center" wrapText="1"/>
    </xf>
    <xf numFmtId="0" fontId="72" fillId="21" borderId="14" xfId="0" applyFont="1" applyFill="1" applyBorder="1" applyAlignment="1">
      <alignment horizontal="left" vertical="center" wrapText="1"/>
    </xf>
    <xf numFmtId="169" fontId="76" fillId="0" borderId="14" xfId="0" applyNumberFormat="1" applyFont="1" applyBorder="1" applyAlignment="1">
      <alignment horizontal="left" vertical="center" wrapText="1"/>
    </xf>
    <xf numFmtId="2" fontId="76" fillId="0" borderId="14" xfId="0" applyNumberFormat="1" applyFont="1" applyBorder="1" applyAlignment="1">
      <alignment horizontal="left" vertical="center" wrapText="1"/>
    </xf>
    <xf numFmtId="14" fontId="76" fillId="0" borderId="14" xfId="0" applyNumberFormat="1" applyFont="1" applyBorder="1" applyAlignment="1">
      <alignment vertical="center" wrapText="1"/>
    </xf>
    <xf numFmtId="166" fontId="83" fillId="0" borderId="0" xfId="0" applyNumberFormat="1" applyFont="1" applyAlignment="1">
      <alignment horizontal="center" vertical="center" wrapText="1"/>
    </xf>
    <xf numFmtId="0" fontId="76" fillId="0" borderId="0" xfId="0" applyFont="1" applyAlignment="1">
      <alignment vertical="top"/>
    </xf>
    <xf numFmtId="0" fontId="81" fillId="0" borderId="0" xfId="0" applyFont="1" applyAlignment="1">
      <alignment horizontal="left" vertical="top" wrapText="1"/>
    </xf>
    <xf numFmtId="0" fontId="81" fillId="0" borderId="0" xfId="0" applyFont="1" applyAlignment="1">
      <alignment vertical="top" wrapText="1"/>
    </xf>
    <xf numFmtId="0" fontId="93" fillId="0" borderId="0" xfId="0" applyFont="1" applyAlignment="1">
      <alignment horizontal="left" vertical="top" wrapText="1"/>
    </xf>
    <xf numFmtId="0" fontId="82" fillId="20" borderId="0" xfId="0" applyFont="1" applyFill="1"/>
    <xf numFmtId="166" fontId="81" fillId="0" borderId="0" xfId="0" applyNumberFormat="1" applyFont="1" applyAlignment="1">
      <alignment horizontal="center" vertical="center" wrapText="1"/>
    </xf>
    <xf numFmtId="0" fontId="95" fillId="0" borderId="0" xfId="0" applyFont="1"/>
    <xf numFmtId="0" fontId="76" fillId="0" borderId="0" xfId="0" applyFont="1" applyAlignment="1">
      <alignment vertical="center"/>
    </xf>
    <xf numFmtId="0" fontId="76" fillId="21" borderId="0" xfId="0" applyFont="1" applyFill="1" applyAlignment="1">
      <alignment vertical="center"/>
    </xf>
    <xf numFmtId="0" fontId="76" fillId="0" borderId="0" xfId="0" applyFont="1" applyAlignment="1">
      <alignment horizontal="left" vertical="center"/>
    </xf>
    <xf numFmtId="0" fontId="76" fillId="0" borderId="14" xfId="0" applyFont="1" applyBorder="1" applyAlignment="1">
      <alignment vertical="center"/>
    </xf>
    <xf numFmtId="0" fontId="96" fillId="0" borderId="14" xfId="0" applyFont="1" applyBorder="1" applyAlignment="1">
      <alignment horizontal="center" vertical="center" wrapText="1"/>
    </xf>
    <xf numFmtId="0" fontId="95" fillId="0" borderId="14" xfId="0" applyFont="1" applyBorder="1" applyAlignment="1">
      <alignment horizontal="center" vertical="center" wrapText="1"/>
    </xf>
    <xf numFmtId="0" fontId="95" fillId="0" borderId="14" xfId="0" applyFont="1" applyBorder="1" applyAlignment="1">
      <alignment horizontal="justify" vertical="center" wrapText="1"/>
    </xf>
    <xf numFmtId="0" fontId="95" fillId="25" borderId="14" xfId="0" applyFont="1" applyFill="1" applyBorder="1"/>
    <xf numFmtId="0" fontId="95" fillId="0" borderId="14" xfId="0" applyFont="1" applyBorder="1" applyAlignment="1">
      <alignment vertical="center" wrapText="1"/>
    </xf>
    <xf numFmtId="0" fontId="98" fillId="25" borderId="14" xfId="0" applyFont="1" applyFill="1" applyBorder="1" applyAlignment="1">
      <alignment horizontal="center" vertical="center"/>
    </xf>
    <xf numFmtId="0" fontId="96" fillId="21" borderId="14" xfId="0" applyFont="1" applyFill="1" applyBorder="1" applyAlignment="1">
      <alignment horizontal="center" vertical="center" wrapText="1"/>
    </xf>
    <xf numFmtId="0" fontId="95" fillId="21" borderId="14" xfId="0" applyFont="1" applyFill="1" applyBorder="1" applyAlignment="1">
      <alignment horizontal="center" vertical="center" wrapText="1"/>
    </xf>
    <xf numFmtId="0" fontId="76" fillId="0" borderId="0" xfId="0" applyFont="1" applyAlignment="1">
      <alignment horizontal="left" vertical="top" wrapText="1"/>
    </xf>
    <xf numFmtId="0" fontId="76" fillId="0" borderId="83" xfId="0" applyFont="1" applyBorder="1"/>
    <xf numFmtId="0" fontId="76" fillId="0" borderId="86" xfId="0" applyFont="1" applyBorder="1"/>
    <xf numFmtId="0" fontId="76" fillId="0" borderId="79" xfId="0" applyFont="1" applyBorder="1"/>
    <xf numFmtId="0" fontId="76" fillId="0" borderId="88" xfId="0" applyFont="1" applyBorder="1"/>
    <xf numFmtId="0" fontId="76" fillId="0" borderId="89" xfId="0" applyFont="1" applyBorder="1"/>
    <xf numFmtId="0" fontId="101" fillId="0" borderId="0" xfId="0" applyFont="1" applyAlignment="1">
      <alignment vertical="center"/>
    </xf>
    <xf numFmtId="166" fontId="76" fillId="0" borderId="0" xfId="0" applyNumberFormat="1" applyFont="1"/>
    <xf numFmtId="0" fontId="72" fillId="0" borderId="0" xfId="0" applyFont="1" applyAlignment="1">
      <alignment vertical="top" wrapText="1"/>
    </xf>
    <xf numFmtId="166" fontId="76" fillId="0" borderId="0" xfId="0" applyNumberFormat="1" applyFont="1" applyAlignment="1">
      <alignment vertical="top"/>
    </xf>
    <xf numFmtId="0" fontId="76" fillId="20" borderId="0" xfId="0" applyFont="1" applyFill="1" applyAlignment="1">
      <alignment vertical="top"/>
    </xf>
    <xf numFmtId="0" fontId="0" fillId="0" borderId="0" xfId="0" applyAlignment="1">
      <alignment vertical="top"/>
    </xf>
    <xf numFmtId="166" fontId="82" fillId="0" borderId="0" xfId="0" applyNumberFormat="1" applyFont="1"/>
    <xf numFmtId="166" fontId="91" fillId="0" borderId="0" xfId="0" applyNumberFormat="1" applyFont="1"/>
    <xf numFmtId="0" fontId="84" fillId="0" borderId="21" xfId="0" applyFont="1" applyBorder="1" applyAlignment="1">
      <alignment horizontal="center" vertical="center" wrapText="1"/>
    </xf>
    <xf numFmtId="0" fontId="103" fillId="0" borderId="87" xfId="0" applyFont="1" applyBorder="1"/>
    <xf numFmtId="0" fontId="0" fillId="0" borderId="86" xfId="0" applyBorder="1" applyAlignment="1">
      <alignment horizontal="left"/>
    </xf>
    <xf numFmtId="0" fontId="0" fillId="0" borderId="0" xfId="0" applyAlignment="1">
      <alignment horizontal="left"/>
    </xf>
    <xf numFmtId="0" fontId="81" fillId="0" borderId="0" xfId="0" applyFont="1"/>
    <xf numFmtId="49" fontId="82" fillId="0" borderId="0" xfId="0" applyNumberFormat="1" applyFont="1"/>
    <xf numFmtId="0" fontId="92" fillId="0" borderId="0" xfId="0" applyFont="1" applyAlignment="1">
      <alignment vertical="center"/>
    </xf>
    <xf numFmtId="0" fontId="92" fillId="0" borderId="0" xfId="0" applyFont="1" applyAlignment="1">
      <alignment horizontal="center" vertical="center"/>
    </xf>
    <xf numFmtId="0" fontId="82" fillId="0" borderId="0" xfId="0" applyFont="1" applyAlignment="1">
      <alignment horizontal="center"/>
    </xf>
    <xf numFmtId="0" fontId="86" fillId="0" borderId="0" xfId="0" applyFont="1" applyAlignment="1">
      <alignment vertical="center"/>
    </xf>
    <xf numFmtId="0" fontId="82" fillId="0" borderId="0" xfId="0" applyFont="1" applyAlignment="1">
      <alignment horizontal="left" vertical="top" wrapText="1"/>
    </xf>
    <xf numFmtId="49" fontId="93" fillId="0" borderId="0" xfId="0" applyNumberFormat="1" applyFont="1" applyAlignment="1">
      <alignment horizontal="left" vertical="top" wrapText="1"/>
    </xf>
    <xf numFmtId="49" fontId="93" fillId="0" borderId="0" xfId="0" applyNumberFormat="1" applyFont="1" applyAlignment="1">
      <alignment horizontal="center" vertical="top" wrapText="1"/>
    </xf>
    <xf numFmtId="0" fontId="91" fillId="0" borderId="14" xfId="0" applyFont="1" applyBorder="1"/>
    <xf numFmtId="0" fontId="76" fillId="0" borderId="17" xfId="0" applyFont="1" applyBorder="1"/>
    <xf numFmtId="0" fontId="72" fillId="0" borderId="0" xfId="0" applyFont="1" applyAlignment="1">
      <alignment vertical="top"/>
    </xf>
    <xf numFmtId="0" fontId="80" fillId="0" borderId="0" xfId="0" applyFont="1"/>
    <xf numFmtId="0" fontId="91" fillId="31" borderId="14" xfId="0" applyFont="1" applyFill="1" applyBorder="1"/>
    <xf numFmtId="0" fontId="91" fillId="31" borderId="14" xfId="0" applyFont="1" applyFill="1" applyBorder="1" applyAlignment="1">
      <alignment horizontal="center"/>
    </xf>
    <xf numFmtId="0" fontId="84" fillId="0" borderId="0" xfId="0" applyFont="1" applyAlignment="1">
      <alignment vertical="top" wrapText="1"/>
    </xf>
    <xf numFmtId="0" fontId="88" fillId="0" borderId="0" xfId="0" applyFont="1"/>
    <xf numFmtId="0" fontId="104" fillId="0" borderId="0" xfId="0" applyFont="1"/>
    <xf numFmtId="0" fontId="95" fillId="0" borderId="19" xfId="0" applyFont="1" applyBorder="1" applyAlignment="1">
      <alignment horizontal="center" vertical="center" wrapText="1"/>
    </xf>
    <xf numFmtId="0" fontId="82" fillId="0" borderId="14" xfId="0" applyFont="1" applyBorder="1"/>
    <xf numFmtId="0" fontId="95" fillId="25" borderId="21" xfId="0" applyFont="1" applyFill="1" applyBorder="1"/>
    <xf numFmtId="0" fontId="111" fillId="0" borderId="14" xfId="0" applyFont="1" applyBorder="1" applyAlignment="1">
      <alignment horizontal="center" vertical="center" wrapText="1"/>
    </xf>
    <xf numFmtId="0" fontId="73" fillId="0" borderId="14" xfId="0" applyFont="1" applyBorder="1" applyAlignment="1">
      <alignment wrapText="1"/>
    </xf>
    <xf numFmtId="0" fontId="95" fillId="0" borderId="19" xfId="0" applyFont="1" applyBorder="1" applyAlignment="1">
      <alignment horizontal="left" vertical="center" wrapText="1"/>
    </xf>
    <xf numFmtId="0" fontId="107" fillId="0" borderId="0" xfId="0" applyFont="1" applyAlignment="1">
      <alignment vertical="center"/>
    </xf>
    <xf numFmtId="0" fontId="106" fillId="0" borderId="0" xfId="0" applyFont="1" applyAlignment="1">
      <alignment vertical="center" wrapText="1"/>
    </xf>
    <xf numFmtId="0" fontId="108" fillId="0" borderId="0" xfId="0" applyFont="1" applyAlignment="1">
      <alignment vertical="center" wrapText="1"/>
    </xf>
    <xf numFmtId="0" fontId="106" fillId="0" borderId="0" xfId="0" applyFont="1" applyAlignment="1">
      <alignment vertical="center"/>
    </xf>
    <xf numFmtId="0" fontId="107" fillId="0" borderId="14" xfId="0" applyFont="1" applyBorder="1" applyAlignment="1">
      <alignment vertical="center"/>
    </xf>
    <xf numFmtId="0" fontId="107" fillId="0" borderId="21" xfId="0" applyFont="1" applyBorder="1" applyAlignment="1">
      <alignment vertical="center"/>
    </xf>
    <xf numFmtId="0" fontId="110" fillId="11" borderId="0" xfId="0" applyFont="1" applyFill="1" applyAlignment="1">
      <alignment vertical="center"/>
    </xf>
    <xf numFmtId="166" fontId="109" fillId="0" borderId="0" xfId="0" applyNumberFormat="1" applyFont="1" applyAlignment="1">
      <alignment vertical="center"/>
    </xf>
    <xf numFmtId="49" fontId="107" fillId="0" borderId="0" xfId="0" applyNumberFormat="1" applyFont="1" applyAlignment="1">
      <alignment vertical="center"/>
    </xf>
    <xf numFmtId="0" fontId="107" fillId="20" borderId="0" xfId="0" applyFont="1" applyFill="1" applyAlignment="1">
      <alignment vertical="center"/>
    </xf>
    <xf numFmtId="0" fontId="109" fillId="0" borderId="0" xfId="0" applyFont="1" applyAlignment="1">
      <alignment vertical="center"/>
    </xf>
    <xf numFmtId="166" fontId="82" fillId="0" borderId="14" xfId="0" applyNumberFormat="1" applyFont="1" applyBorder="1" applyAlignment="1">
      <alignment horizontal="left" vertical="center" wrapText="1"/>
    </xf>
    <xf numFmtId="0" fontId="114" fillId="0" borderId="86" xfId="0" applyFont="1" applyBorder="1" applyAlignment="1">
      <alignment vertical="center"/>
    </xf>
    <xf numFmtId="0" fontId="0" fillId="0" borderId="0" xfId="0" applyAlignment="1">
      <alignment vertical="center"/>
    </xf>
    <xf numFmtId="0" fontId="0" fillId="0" borderId="87" xfId="0" applyBorder="1" applyAlignment="1">
      <alignment vertical="center"/>
    </xf>
    <xf numFmtId="0" fontId="74" fillId="0" borderId="86" xfId="0" applyFont="1" applyBorder="1" applyAlignment="1">
      <alignment vertical="center" wrapText="1"/>
    </xf>
    <xf numFmtId="0" fontId="74" fillId="0" borderId="87" xfId="0" applyFont="1" applyBorder="1" applyAlignment="1">
      <alignment vertical="center"/>
    </xf>
    <xf numFmtId="0" fontId="89" fillId="0" borderId="0" xfId="0" applyFont="1" applyAlignment="1">
      <alignment vertical="center"/>
    </xf>
    <xf numFmtId="0" fontId="113" fillId="0" borderId="86" xfId="0" applyFont="1" applyBorder="1" applyAlignment="1">
      <alignment vertical="center" wrapText="1"/>
    </xf>
    <xf numFmtId="0" fontId="89" fillId="0" borderId="86" xfId="0" applyFont="1" applyBorder="1" applyAlignment="1">
      <alignment vertical="center"/>
    </xf>
    <xf numFmtId="0" fontId="89" fillId="0" borderId="88" xfId="0" applyFont="1" applyBorder="1" applyAlignment="1">
      <alignment vertical="center"/>
    </xf>
    <xf numFmtId="0" fontId="89" fillId="0" borderId="89" xfId="0" applyFont="1" applyBorder="1" applyAlignment="1">
      <alignment vertical="center"/>
    </xf>
    <xf numFmtId="0" fontId="0" fillId="0" borderId="90" xfId="0" applyBorder="1" applyAlignment="1">
      <alignment vertical="center"/>
    </xf>
    <xf numFmtId="0" fontId="84" fillId="16" borderId="78" xfId="0" applyFont="1" applyFill="1" applyBorder="1" applyAlignment="1">
      <alignment horizontal="center" vertical="center" wrapText="1"/>
    </xf>
    <xf numFmtId="0" fontId="82" fillId="0" borderId="86" xfId="0" applyFont="1" applyBorder="1"/>
    <xf numFmtId="0" fontId="84" fillId="16" borderId="25" xfId="0" applyFont="1" applyFill="1" applyBorder="1" applyAlignment="1">
      <alignment horizontal="center" vertical="center" wrapText="1"/>
    </xf>
    <xf numFmtId="0" fontId="83" fillId="11" borderId="78" xfId="0" applyFont="1" applyFill="1" applyBorder="1" applyAlignment="1">
      <alignment horizontal="center" vertical="center" wrapText="1"/>
    </xf>
    <xf numFmtId="0" fontId="85" fillId="16" borderId="78" xfId="0" applyFont="1" applyFill="1" applyBorder="1" applyAlignment="1">
      <alignment horizontal="center" vertical="center" wrapText="1"/>
    </xf>
    <xf numFmtId="0" fontId="82" fillId="0" borderId="14" xfId="0" applyFont="1" applyBorder="1" applyAlignment="1">
      <alignment horizontal="center"/>
    </xf>
    <xf numFmtId="0" fontId="82" fillId="0" borderId="14" xfId="0" applyFont="1" applyBorder="1" applyAlignment="1">
      <alignment wrapText="1"/>
    </xf>
    <xf numFmtId="0" fontId="82" fillId="11" borderId="14" xfId="0" applyFont="1" applyFill="1" applyBorder="1"/>
    <xf numFmtId="9" fontId="82" fillId="11" borderId="14" xfId="22" applyFont="1" applyFill="1" applyBorder="1"/>
    <xf numFmtId="0" fontId="82" fillId="0" borderId="14" xfId="0" applyFont="1" applyBorder="1" applyAlignment="1">
      <alignment horizontal="left" wrapText="1"/>
    </xf>
    <xf numFmtId="166" fontId="82" fillId="11" borderId="14" xfId="0" applyNumberFormat="1" applyFont="1" applyFill="1" applyBorder="1"/>
    <xf numFmtId="0" fontId="82" fillId="11" borderId="19" xfId="0" applyFont="1" applyFill="1" applyBorder="1"/>
    <xf numFmtId="0" fontId="82" fillId="0" borderId="15" xfId="0" applyFont="1" applyBorder="1" applyAlignment="1">
      <alignment horizontal="left" vertical="center" wrapText="1"/>
    </xf>
    <xf numFmtId="0" fontId="82" fillId="0" borderId="14" xfId="0" applyFont="1" applyBorder="1" applyAlignment="1">
      <alignment horizontal="left" vertical="center" wrapText="1"/>
    </xf>
    <xf numFmtId="2" fontId="82" fillId="0" borderId="14" xfId="0" quotePrefix="1" applyNumberFormat="1" applyFont="1" applyBorder="1" applyAlignment="1">
      <alignment horizontal="left" vertical="center" wrapText="1"/>
    </xf>
    <xf numFmtId="9" fontId="82" fillId="0" borderId="14" xfId="22" quotePrefix="1" applyFont="1" applyBorder="1" applyAlignment="1">
      <alignment horizontal="left" vertical="center" wrapText="1"/>
    </xf>
    <xf numFmtId="0" fontId="117" fillId="0" borderId="0" xfId="0" applyFont="1" applyAlignment="1">
      <alignment vertical="center"/>
    </xf>
    <xf numFmtId="0" fontId="118" fillId="0" borderId="0" xfId="0" applyFont="1" applyAlignment="1">
      <alignment vertical="center" wrapText="1"/>
    </xf>
    <xf numFmtId="0" fontId="122" fillId="0" borderId="0" xfId="0" applyFont="1" applyAlignment="1">
      <alignment vertical="center"/>
    </xf>
    <xf numFmtId="0" fontId="122" fillId="0" borderId="0" xfId="0" applyFont="1" applyAlignment="1">
      <alignment vertical="center" wrapText="1"/>
    </xf>
    <xf numFmtId="0" fontId="121" fillId="0" borderId="0" xfId="0" applyFont="1" applyAlignment="1">
      <alignment vertical="center"/>
    </xf>
    <xf numFmtId="0" fontId="122" fillId="0" borderId="0" xfId="0" applyFont="1" applyAlignment="1">
      <alignment horizontal="center" vertical="center" wrapText="1"/>
    </xf>
    <xf numFmtId="0" fontId="121" fillId="0" borderId="0" xfId="0" applyFont="1" applyAlignment="1">
      <alignment vertical="center" textRotation="90" wrapText="1"/>
    </xf>
    <xf numFmtId="0" fontId="119" fillId="0" borderId="0" xfId="0" applyFont="1" applyAlignment="1">
      <alignment horizontal="center" vertical="center" wrapText="1"/>
    </xf>
    <xf numFmtId="0" fontId="73" fillId="0" borderId="0" xfId="0" applyFont="1" applyAlignment="1">
      <alignment vertical="center" wrapText="1"/>
    </xf>
    <xf numFmtId="0" fontId="111" fillId="0" borderId="0" xfId="0" applyFont="1" applyAlignment="1">
      <alignment horizontal="center" vertical="center"/>
    </xf>
    <xf numFmtId="0" fontId="111" fillId="0" borderId="0" xfId="0" applyFont="1" applyAlignment="1">
      <alignment vertical="center"/>
    </xf>
    <xf numFmtId="0" fontId="111" fillId="0" borderId="0" xfId="0" applyFont="1" applyAlignment="1">
      <alignment vertical="center" wrapText="1"/>
    </xf>
    <xf numFmtId="0" fontId="120" fillId="0" borderId="0" xfId="0" applyFont="1" applyAlignment="1">
      <alignment vertical="center" wrapText="1"/>
    </xf>
    <xf numFmtId="0" fontId="119" fillId="0" borderId="0" xfId="0" applyFont="1" applyAlignment="1">
      <alignment vertical="center" wrapText="1"/>
    </xf>
    <xf numFmtId="0" fontId="119" fillId="0" borderId="0" xfId="0" applyFont="1" applyAlignment="1">
      <alignment vertical="center"/>
    </xf>
    <xf numFmtId="0" fontId="76" fillId="0" borderId="14" xfId="0" applyFont="1" applyBorder="1" applyAlignment="1">
      <alignment horizontal="center" vertical="center" wrapText="1"/>
    </xf>
    <xf numFmtId="0" fontId="95" fillId="0" borderId="21" xfId="0" applyFont="1" applyBorder="1" applyAlignment="1">
      <alignment horizontal="center" vertical="center" wrapText="1"/>
    </xf>
    <xf numFmtId="0" fontId="95" fillId="0" borderId="19" xfId="0" applyFont="1" applyBorder="1" applyAlignment="1">
      <alignment horizontal="justify" vertical="center" wrapText="1"/>
    </xf>
    <xf numFmtId="0" fontId="120" fillId="0" borderId="71" xfId="0" applyFont="1" applyBorder="1" applyAlignment="1">
      <alignment horizontal="center" vertical="center" wrapText="1"/>
    </xf>
    <xf numFmtId="9" fontId="120" fillId="0" borderId="14" xfId="0" applyNumberFormat="1" applyFont="1" applyBorder="1" applyAlignment="1">
      <alignment horizontal="center" vertical="center" wrapText="1"/>
    </xf>
    <xf numFmtId="0" fontId="95" fillId="0" borderId="24" xfId="0" applyFont="1" applyBorder="1" applyAlignment="1">
      <alignment horizontal="justify" vertical="center" wrapText="1"/>
    </xf>
    <xf numFmtId="0" fontId="95" fillId="0" borderId="31" xfId="0" applyFont="1" applyBorder="1" applyAlignment="1">
      <alignment horizontal="center" vertical="center" wrapText="1"/>
    </xf>
    <xf numFmtId="0" fontId="95" fillId="0" borderId="15" xfId="0" applyFont="1" applyBorder="1" applyAlignment="1">
      <alignment horizontal="center" vertical="center" wrapText="1"/>
    </xf>
    <xf numFmtId="0" fontId="97" fillId="0" borderId="15" xfId="0" applyFont="1" applyBorder="1" applyAlignment="1">
      <alignment horizontal="justify" vertical="center" wrapText="1"/>
    </xf>
    <xf numFmtId="0" fontId="95" fillId="0" borderId="31" xfId="0" applyFont="1" applyBorder="1" applyAlignment="1">
      <alignment horizontal="justify" vertical="center" wrapText="1"/>
    </xf>
    <xf numFmtId="0" fontId="95" fillId="0" borderId="15" xfId="0" applyFont="1" applyBorder="1" applyAlignment="1">
      <alignment horizontal="justify" vertical="center" wrapText="1"/>
    </xf>
    <xf numFmtId="0" fontId="102" fillId="0" borderId="14" xfId="0" applyFont="1" applyBorder="1" applyAlignment="1">
      <alignment horizontal="center" vertical="center" wrapText="1"/>
    </xf>
    <xf numFmtId="9" fontId="102" fillId="0" borderId="14" xfId="0" applyNumberFormat="1" applyFont="1" applyBorder="1" applyAlignment="1">
      <alignment horizontal="center" vertical="center" wrapText="1"/>
    </xf>
    <xf numFmtId="0" fontId="76" fillId="37" borderId="0" xfId="0" applyFont="1" applyFill="1"/>
    <xf numFmtId="0" fontId="123" fillId="0" borderId="88" xfId="0" applyFont="1" applyBorder="1"/>
    <xf numFmtId="0" fontId="123" fillId="0" borderId="89" xfId="0" applyFont="1" applyBorder="1"/>
    <xf numFmtId="0" fontId="123" fillId="0" borderId="90" xfId="0" applyFont="1" applyBorder="1"/>
    <xf numFmtId="0" fontId="86" fillId="21" borderId="76" xfId="0" applyFont="1" applyFill="1" applyBorder="1" applyAlignment="1">
      <alignment vertical="center"/>
    </xf>
    <xf numFmtId="0" fontId="81" fillId="21" borderId="76" xfId="0" applyFont="1" applyFill="1" applyBorder="1" applyAlignment="1">
      <alignment vertical="center"/>
    </xf>
    <xf numFmtId="0" fontId="82" fillId="0" borderId="0" xfId="0" applyFont="1" applyAlignment="1">
      <alignment wrapText="1"/>
    </xf>
    <xf numFmtId="0" fontId="88" fillId="11" borderId="0" xfId="0" applyFont="1" applyFill="1"/>
    <xf numFmtId="166" fontId="107" fillId="0" borderId="0" xfId="0" applyNumberFormat="1" applyFont="1" applyAlignment="1">
      <alignment vertical="center"/>
    </xf>
    <xf numFmtId="166" fontId="0" fillId="0" borderId="0" xfId="0" applyNumberFormat="1"/>
    <xf numFmtId="2" fontId="0" fillId="0" borderId="0" xfId="0" applyNumberFormat="1"/>
    <xf numFmtId="166" fontId="103" fillId="0" borderId="0" xfId="0" applyNumberFormat="1" applyFont="1"/>
    <xf numFmtId="166" fontId="92" fillId="0" borderId="0" xfId="0" applyNumberFormat="1" applyFont="1" applyAlignment="1">
      <alignment vertical="center"/>
    </xf>
    <xf numFmtId="0" fontId="72" fillId="0" borderId="0" xfId="0" applyFont="1"/>
    <xf numFmtId="166" fontId="72" fillId="0" borderId="0" xfId="0" applyNumberFormat="1" applyFont="1"/>
    <xf numFmtId="0" fontId="76" fillId="11" borderId="0" xfId="0" applyFont="1" applyFill="1"/>
    <xf numFmtId="0" fontId="94" fillId="11" borderId="0" xfId="0" applyFont="1" applyFill="1"/>
    <xf numFmtId="0" fontId="82" fillId="0" borderId="0" xfId="0" applyFont="1" applyAlignment="1">
      <alignment horizontal="left"/>
    </xf>
    <xf numFmtId="0" fontId="87" fillId="0" borderId="0" xfId="0" applyFont="1" applyAlignment="1">
      <alignment horizontal="left" vertical="top" wrapText="1"/>
    </xf>
    <xf numFmtId="0" fontId="124" fillId="0" borderId="0" xfId="0" applyFont="1"/>
    <xf numFmtId="166" fontId="124" fillId="0" borderId="0" xfId="0" applyNumberFormat="1" applyFont="1"/>
    <xf numFmtId="0" fontId="87" fillId="0" borderId="0" xfId="0" applyFont="1"/>
    <xf numFmtId="0" fontId="82" fillId="0" borderId="0" xfId="0" applyFont="1" applyAlignment="1">
      <alignment horizontal="center" vertical="top" wrapText="1"/>
    </xf>
    <xf numFmtId="0" fontId="76" fillId="11" borderId="0" xfId="0" applyFont="1" applyFill="1" applyAlignment="1">
      <alignment wrapText="1"/>
    </xf>
    <xf numFmtId="0" fontId="94" fillId="0" borderId="0" xfId="0" applyFont="1" applyAlignment="1">
      <alignment wrapText="1"/>
    </xf>
    <xf numFmtId="0" fontId="107" fillId="11" borderId="0" xfId="0" applyFont="1" applyFill="1" applyAlignment="1">
      <alignment vertical="center"/>
    </xf>
    <xf numFmtId="0" fontId="106" fillId="11" borderId="0" xfId="0" applyFont="1" applyFill="1" applyAlignment="1">
      <alignment vertical="center"/>
    </xf>
    <xf numFmtId="0" fontId="107" fillId="11" borderId="0" xfId="0" applyFont="1" applyFill="1" applyAlignment="1">
      <alignment vertical="center" wrapText="1"/>
    </xf>
    <xf numFmtId="0" fontId="72" fillId="0" borderId="0" xfId="0" applyFont="1" applyAlignment="1">
      <alignment vertical="center"/>
    </xf>
    <xf numFmtId="0" fontId="124" fillId="0" borderId="0" xfId="0" applyFont="1" applyAlignment="1">
      <alignment vertical="center"/>
    </xf>
    <xf numFmtId="0" fontId="75" fillId="0" borderId="0" xfId="0" applyFont="1" applyAlignment="1">
      <alignment vertical="center" wrapText="1"/>
    </xf>
    <xf numFmtId="0" fontId="82" fillId="0" borderId="0" xfId="0" applyFont="1" applyAlignment="1">
      <alignment horizontal="left" wrapText="1"/>
    </xf>
    <xf numFmtId="0" fontId="104" fillId="11" borderId="0" xfId="0" applyFont="1" applyFill="1"/>
    <xf numFmtId="166" fontId="125" fillId="0" borderId="0" xfId="0" applyNumberFormat="1" applyFont="1"/>
    <xf numFmtId="0" fontId="0" fillId="0" borderId="14" xfId="0" applyBorder="1"/>
    <xf numFmtId="166" fontId="0" fillId="0" borderId="14" xfId="0" applyNumberFormat="1" applyBorder="1"/>
    <xf numFmtId="0" fontId="72" fillId="0" borderId="14" xfId="0" applyFont="1" applyBorder="1"/>
    <xf numFmtId="166" fontId="72" fillId="0" borderId="14" xfId="0" applyNumberFormat="1" applyFont="1" applyBorder="1"/>
    <xf numFmtId="166" fontId="125" fillId="0" borderId="14" xfId="0" applyNumberFormat="1" applyFont="1" applyBorder="1"/>
    <xf numFmtId="0" fontId="80" fillId="21" borderId="14" xfId="0" applyFont="1" applyFill="1" applyBorder="1" applyAlignment="1">
      <alignment vertical="center"/>
    </xf>
    <xf numFmtId="0" fontId="80" fillId="21" borderId="14" xfId="0" applyFont="1" applyFill="1" applyBorder="1" applyAlignment="1">
      <alignment vertical="center" wrapText="1"/>
    </xf>
    <xf numFmtId="0" fontId="72" fillId="26" borderId="14" xfId="0" applyFont="1" applyFill="1" applyBorder="1"/>
    <xf numFmtId="166" fontId="72" fillId="26" borderId="14" xfId="0" applyNumberFormat="1" applyFont="1" applyFill="1" applyBorder="1"/>
    <xf numFmtId="0" fontId="72" fillId="0" borderId="14" xfId="0" applyFont="1" applyBorder="1" applyAlignment="1">
      <alignment horizontal="left" wrapText="1"/>
    </xf>
    <xf numFmtId="0" fontId="72" fillId="0" borderId="14" xfId="0" applyFont="1" applyBorder="1" applyAlignment="1">
      <alignment wrapText="1"/>
    </xf>
    <xf numFmtId="0" fontId="94" fillId="11" borderId="0" xfId="0" applyFont="1" applyFill="1" applyAlignment="1">
      <alignment vertical="top"/>
    </xf>
    <xf numFmtId="2" fontId="127" fillId="31" borderId="15" xfId="0" quotePrefix="1" applyNumberFormat="1" applyFont="1" applyFill="1" applyBorder="1" applyAlignment="1">
      <alignment horizontal="left" vertical="center" wrapText="1"/>
    </xf>
    <xf numFmtId="9" fontId="127" fillId="31" borderId="14" xfId="22" quotePrefix="1" applyFont="1" applyFill="1" applyBorder="1" applyAlignment="1">
      <alignment horizontal="left" vertical="center" wrapText="1"/>
    </xf>
    <xf numFmtId="166" fontId="72" fillId="35" borderId="14" xfId="0" applyNumberFormat="1" applyFont="1" applyFill="1" applyBorder="1"/>
    <xf numFmtId="166" fontId="0" fillId="0" borderId="14" xfId="0" applyNumberFormat="1" applyBorder="1" applyAlignment="1">
      <alignment horizontal="right"/>
    </xf>
    <xf numFmtId="0" fontId="82" fillId="0" borderId="0" xfId="0" applyFont="1" applyAlignment="1">
      <alignment horizontal="left" vertical="center" wrapText="1"/>
    </xf>
    <xf numFmtId="0" fontId="97" fillId="0" borderId="14" xfId="0" applyFont="1" applyBorder="1" applyAlignment="1">
      <alignment horizontal="center" vertical="center" wrapText="1"/>
    </xf>
    <xf numFmtId="0" fontId="97" fillId="0" borderId="14" xfId="0" applyFont="1" applyBorder="1" applyAlignment="1">
      <alignment horizontal="left" vertical="center" wrapText="1"/>
    </xf>
    <xf numFmtId="0" fontId="80" fillId="0" borderId="14" xfId="0" applyFont="1" applyBorder="1" applyAlignment="1">
      <alignment horizontal="right"/>
    </xf>
    <xf numFmtId="166" fontId="80" fillId="0" borderId="14" xfId="0" applyNumberFormat="1" applyFont="1" applyBorder="1"/>
    <xf numFmtId="0" fontId="80" fillId="0" borderId="14" xfId="0" applyFont="1" applyBorder="1"/>
    <xf numFmtId="0" fontId="72" fillId="0" borderId="14" xfId="0" applyFont="1" applyBorder="1" applyAlignment="1">
      <alignment horizontal="right" wrapText="1"/>
    </xf>
    <xf numFmtId="166" fontId="76" fillId="0" borderId="14" xfId="0" applyNumberFormat="1" applyFont="1" applyBorder="1" applyAlignment="1">
      <alignment vertical="center"/>
    </xf>
    <xf numFmtId="2" fontId="76" fillId="0" borderId="14" xfId="0" applyNumberFormat="1" applyFont="1" applyBorder="1" applyAlignment="1">
      <alignment horizontal="center" vertical="center"/>
    </xf>
    <xf numFmtId="0" fontId="107" fillId="0" borderId="0" xfId="0" applyFont="1" applyAlignment="1">
      <alignment horizontal="center" vertical="center"/>
    </xf>
    <xf numFmtId="0" fontId="91" fillId="17" borderId="35" xfId="0" applyFont="1" applyFill="1" applyBorder="1" applyAlignment="1">
      <alignment horizontal="center"/>
    </xf>
    <xf numFmtId="0" fontId="91" fillId="0" borderId="14" xfId="0" applyFont="1" applyBorder="1" applyAlignment="1">
      <alignment horizontal="center"/>
    </xf>
    <xf numFmtId="166" fontId="82" fillId="0" borderId="19" xfId="0" applyNumberFormat="1" applyFont="1" applyBorder="1" applyAlignment="1">
      <alignment horizontal="left" vertical="center" wrapText="1"/>
    </xf>
    <xf numFmtId="0" fontId="76" fillId="0" borderId="0" xfId="0" applyFont="1" applyAlignment="1">
      <alignment vertical="top" wrapText="1"/>
    </xf>
    <xf numFmtId="0" fontId="95" fillId="0" borderId="24" xfId="0" applyFont="1" applyBorder="1" applyAlignment="1">
      <alignment horizontal="center" vertical="center" wrapText="1"/>
    </xf>
    <xf numFmtId="0" fontId="107" fillId="0" borderId="0" xfId="0" applyFont="1"/>
    <xf numFmtId="0" fontId="91" fillId="31" borderId="0" xfId="0" applyFont="1" applyFill="1" applyAlignment="1">
      <alignment horizontal="center"/>
    </xf>
    <xf numFmtId="0" fontId="91" fillId="31" borderId="19" xfId="0" applyFont="1" applyFill="1" applyBorder="1" applyAlignment="1">
      <alignment horizontal="center"/>
    </xf>
    <xf numFmtId="166" fontId="107" fillId="0" borderId="0" xfId="0" applyNumberFormat="1" applyFont="1"/>
    <xf numFmtId="0" fontId="76" fillId="0" borderId="0" xfId="0" applyFont="1" applyAlignment="1">
      <alignment vertical="center" wrapText="1"/>
    </xf>
    <xf numFmtId="0" fontId="129" fillId="0" borderId="85" xfId="0" applyFont="1" applyBorder="1"/>
    <xf numFmtId="0" fontId="129" fillId="0" borderId="87" xfId="0" applyFont="1" applyBorder="1"/>
    <xf numFmtId="167" fontId="130" fillId="0" borderId="87" xfId="0" applyNumberFormat="1" applyFont="1" applyBorder="1"/>
    <xf numFmtId="166" fontId="130" fillId="0" borderId="87" xfId="0" applyNumberFormat="1" applyFont="1" applyBorder="1"/>
    <xf numFmtId="2" fontId="129" fillId="0" borderId="87" xfId="0" applyNumberFormat="1" applyFont="1" applyBorder="1"/>
    <xf numFmtId="166" fontId="129" fillId="0" borderId="87" xfId="0" applyNumberFormat="1" applyFont="1" applyBorder="1"/>
    <xf numFmtId="0" fontId="129" fillId="0" borderId="90" xfId="0" applyFont="1" applyBorder="1"/>
    <xf numFmtId="0" fontId="131" fillId="0" borderId="0" xfId="0" applyFont="1"/>
    <xf numFmtId="0" fontId="129" fillId="0" borderId="0" xfId="0" applyFont="1"/>
    <xf numFmtId="166" fontId="82" fillId="0" borderId="14" xfId="0" applyNumberFormat="1" applyFont="1" applyBorder="1" applyAlignment="1">
      <alignment horizontal="center"/>
    </xf>
    <xf numFmtId="0" fontId="82" fillId="0" borderId="19" xfId="0" applyFont="1" applyBorder="1" applyAlignment="1">
      <alignment horizontal="center"/>
    </xf>
    <xf numFmtId="0" fontId="81" fillId="42" borderId="19" xfId="0" applyFont="1" applyFill="1" applyBorder="1" applyAlignment="1">
      <alignment horizontal="center"/>
    </xf>
    <xf numFmtId="166" fontId="81" fillId="42" borderId="19" xfId="0" applyNumberFormat="1" applyFont="1" applyFill="1" applyBorder="1" applyAlignment="1">
      <alignment horizontal="center"/>
    </xf>
    <xf numFmtId="2" fontId="82" fillId="0" borderId="14" xfId="0" quotePrefix="1" applyNumberFormat="1" applyFont="1" applyBorder="1" applyAlignment="1">
      <alignment horizontal="center" vertical="center" wrapText="1"/>
    </xf>
    <xf numFmtId="166" fontId="126" fillId="31" borderId="15" xfId="0" quotePrefix="1" applyNumberFormat="1" applyFont="1" applyFill="1" applyBorder="1" applyAlignment="1">
      <alignment horizontal="center" vertical="center" wrapText="1"/>
    </xf>
    <xf numFmtId="2" fontId="127" fillId="31" borderId="15" xfId="0" quotePrefix="1" applyNumberFormat="1" applyFont="1" applyFill="1" applyBorder="1" applyAlignment="1">
      <alignment horizontal="center" vertical="center" wrapText="1"/>
    </xf>
    <xf numFmtId="0" fontId="82" fillId="0" borderId="15" xfId="0" applyFont="1" applyBorder="1" applyAlignment="1">
      <alignment horizontal="center" vertical="center" wrapText="1"/>
    </xf>
    <xf numFmtId="166" fontId="82" fillId="0" borderId="15" xfId="0" applyNumberFormat="1" applyFont="1" applyBorder="1" applyAlignment="1">
      <alignment horizontal="center" vertical="center" wrapText="1"/>
    </xf>
    <xf numFmtId="166" fontId="82" fillId="0" borderId="14" xfId="0" applyNumberFormat="1" applyFont="1" applyBorder="1" applyAlignment="1">
      <alignment horizontal="center" vertical="center" wrapText="1"/>
    </xf>
    <xf numFmtId="0" fontId="82" fillId="0" borderId="111" xfId="0" applyFont="1" applyBorder="1" applyAlignment="1">
      <alignment horizontal="center"/>
    </xf>
    <xf numFmtId="0" fontId="82" fillId="0" borderId="112" xfId="0" applyFont="1" applyBorder="1" applyAlignment="1">
      <alignment horizontal="center"/>
    </xf>
    <xf numFmtId="166" fontId="82" fillId="0" borderId="112" xfId="0" applyNumberFormat="1" applyFont="1" applyBorder="1" applyAlignment="1">
      <alignment horizontal="center"/>
    </xf>
    <xf numFmtId="0" fontId="82" fillId="0" borderId="113" xfId="0" applyFont="1" applyBorder="1" applyAlignment="1">
      <alignment horizontal="center"/>
    </xf>
    <xf numFmtId="166" fontId="81" fillId="42" borderId="113" xfId="0" applyNumberFormat="1" applyFont="1" applyFill="1" applyBorder="1" applyAlignment="1">
      <alignment horizontal="center"/>
    </xf>
    <xf numFmtId="2" fontId="82" fillId="0" borderId="112" xfId="0" quotePrefix="1" applyNumberFormat="1" applyFont="1" applyBorder="1" applyAlignment="1">
      <alignment horizontal="center" vertical="center" wrapText="1"/>
    </xf>
    <xf numFmtId="2" fontId="127" fillId="31" borderId="112" xfId="0" quotePrefix="1" applyNumberFormat="1" applyFont="1" applyFill="1" applyBorder="1" applyAlignment="1">
      <alignment horizontal="center" vertical="center" wrapText="1"/>
    </xf>
    <xf numFmtId="0" fontId="82" fillId="0" borderId="112" xfId="0" applyFont="1" applyBorder="1" applyAlignment="1">
      <alignment horizontal="center" vertical="center" wrapText="1"/>
    </xf>
    <xf numFmtId="166" fontId="82" fillId="0" borderId="112" xfId="0" applyNumberFormat="1" applyFont="1" applyBorder="1" applyAlignment="1">
      <alignment horizontal="center" vertical="center" wrapText="1"/>
    </xf>
    <xf numFmtId="9" fontId="82" fillId="0" borderId="19" xfId="22" applyFont="1" applyFill="1" applyBorder="1" applyAlignment="1">
      <alignment horizontal="left" vertical="center" wrapText="1"/>
    </xf>
    <xf numFmtId="0" fontId="82" fillId="0" borderId="117" xfId="0" applyFont="1" applyBorder="1" applyAlignment="1">
      <alignment horizontal="left" vertical="center" wrapText="1"/>
    </xf>
    <xf numFmtId="9" fontId="82" fillId="0" borderId="26" xfId="22" applyFont="1" applyFill="1" applyBorder="1" applyAlignment="1">
      <alignment horizontal="left" vertical="center" wrapText="1"/>
    </xf>
    <xf numFmtId="0" fontId="82" fillId="0" borderId="26" xfId="0" applyFont="1" applyBorder="1" applyAlignment="1">
      <alignment horizontal="left" vertical="center" wrapText="1"/>
    </xf>
    <xf numFmtId="9" fontId="84" fillId="0" borderId="78" xfId="22" applyFont="1" applyFill="1" applyBorder="1" applyAlignment="1">
      <alignment horizontal="center" vertical="center" wrapText="1"/>
    </xf>
    <xf numFmtId="166" fontId="82" fillId="0" borderId="19" xfId="0" applyNumberFormat="1" applyFont="1" applyBorder="1" applyAlignment="1">
      <alignment horizontal="center" vertical="center" wrapText="1"/>
    </xf>
    <xf numFmtId="166" fontId="82" fillId="0" borderId="113" xfId="0" applyNumberFormat="1" applyFont="1" applyBorder="1" applyAlignment="1">
      <alignment horizontal="center" vertical="center" wrapText="1"/>
    </xf>
    <xf numFmtId="166" fontId="81" fillId="0" borderId="24" xfId="0" applyNumberFormat="1" applyFont="1" applyBorder="1" applyAlignment="1">
      <alignment horizontal="left"/>
    </xf>
    <xf numFmtId="9" fontId="82" fillId="0" borderId="24" xfId="22" applyFont="1" applyFill="1" applyBorder="1" applyAlignment="1">
      <alignment horizontal="left" vertical="center" wrapText="1"/>
    </xf>
    <xf numFmtId="166" fontId="81" fillId="0" borderId="24" xfId="0" applyNumberFormat="1" applyFont="1" applyBorder="1" applyAlignment="1">
      <alignment horizontal="center"/>
    </xf>
    <xf numFmtId="166" fontId="81" fillId="0" borderId="118" xfId="0" applyNumberFormat="1" applyFont="1" applyBorder="1" applyAlignment="1">
      <alignment horizontal="center"/>
    </xf>
    <xf numFmtId="166" fontId="81" fillId="0" borderId="26" xfId="0" applyNumberFormat="1" applyFont="1" applyBorder="1" applyAlignment="1">
      <alignment horizontal="left"/>
    </xf>
    <xf numFmtId="166" fontId="81" fillId="0" borderId="26" xfId="0" applyNumberFormat="1" applyFont="1" applyBorder="1" applyAlignment="1">
      <alignment horizontal="center"/>
    </xf>
    <xf numFmtId="166" fontId="81" fillId="0" borderId="27" xfId="0" applyNumberFormat="1" applyFont="1" applyBorder="1" applyAlignment="1">
      <alignment horizontal="center"/>
    </xf>
    <xf numFmtId="0" fontId="82" fillId="0" borderId="115" xfId="0" applyFont="1" applyBorder="1" applyAlignment="1">
      <alignment horizontal="center"/>
    </xf>
    <xf numFmtId="0" fontId="82" fillId="0" borderId="19" xfId="0" applyFont="1" applyBorder="1" applyAlignment="1">
      <alignment wrapText="1"/>
    </xf>
    <xf numFmtId="9" fontId="82" fillId="11" borderId="19" xfId="22" applyFont="1" applyFill="1" applyBorder="1"/>
    <xf numFmtId="0" fontId="82" fillId="0" borderId="33" xfId="0" applyFont="1" applyBorder="1" applyAlignment="1">
      <alignment horizontal="left" vertical="center" wrapText="1"/>
    </xf>
    <xf numFmtId="166" fontId="82" fillId="0" borderId="33" xfId="0" applyNumberFormat="1" applyFont="1" applyBorder="1" applyAlignment="1">
      <alignment horizontal="left" vertical="center" wrapText="1"/>
    </xf>
    <xf numFmtId="0" fontId="84" fillId="0" borderId="21" xfId="0" applyFont="1" applyBorder="1" applyAlignment="1">
      <alignment vertical="center" wrapText="1"/>
    </xf>
    <xf numFmtId="0" fontId="84" fillId="0" borderId="120" xfId="0" applyFont="1" applyBorder="1" applyAlignment="1">
      <alignment vertical="center" wrapText="1"/>
    </xf>
    <xf numFmtId="166" fontId="81" fillId="17" borderId="26" xfId="0" applyNumberFormat="1" applyFont="1" applyFill="1" applyBorder="1" applyAlignment="1">
      <alignment horizontal="left" vertical="center" wrapText="1"/>
    </xf>
    <xf numFmtId="9" fontId="82" fillId="17" borderId="26" xfId="22" applyFont="1" applyFill="1" applyBorder="1" applyAlignment="1">
      <alignment vertical="center"/>
    </xf>
    <xf numFmtId="166" fontId="81" fillId="17" borderId="26" xfId="0" applyNumberFormat="1" applyFont="1" applyFill="1" applyBorder="1" applyAlignment="1">
      <alignment horizontal="center" vertical="center" wrapText="1"/>
    </xf>
    <xf numFmtId="166" fontId="81" fillId="17" borderId="27" xfId="0" applyNumberFormat="1" applyFont="1" applyFill="1" applyBorder="1" applyAlignment="1">
      <alignment horizontal="center" vertical="center" wrapText="1"/>
    </xf>
    <xf numFmtId="0" fontId="82" fillId="0" borderId="121" xfId="0" applyFont="1" applyBorder="1" applyAlignment="1">
      <alignment horizontal="center"/>
    </xf>
    <xf numFmtId="0" fontId="82" fillId="0" borderId="21" xfId="0" applyFont="1" applyBorder="1" applyAlignment="1">
      <alignment wrapText="1"/>
    </xf>
    <xf numFmtId="0" fontId="82" fillId="11" borderId="21" xfId="0" applyFont="1" applyFill="1" applyBorder="1"/>
    <xf numFmtId="9" fontId="82" fillId="11" borderId="21" xfId="22" applyFont="1" applyFill="1" applyBorder="1"/>
    <xf numFmtId="0" fontId="82" fillId="0" borderId="21" xfId="0" applyFont="1" applyBorder="1" applyAlignment="1">
      <alignment horizontal="center"/>
    </xf>
    <xf numFmtId="0" fontId="82" fillId="0" borderId="120" xfId="0" applyFont="1" applyBorder="1" applyAlignment="1">
      <alignment horizontal="center"/>
    </xf>
    <xf numFmtId="0" fontId="116" fillId="16" borderId="25" xfId="0" applyFont="1" applyFill="1" applyBorder="1" applyAlignment="1">
      <alignment horizontal="center" vertical="center" wrapText="1"/>
    </xf>
    <xf numFmtId="0" fontId="116" fillId="16" borderId="78" xfId="0" applyFont="1" applyFill="1" applyBorder="1" applyAlignment="1">
      <alignment horizontal="center" vertical="center" wrapText="1"/>
    </xf>
    <xf numFmtId="0" fontId="91" fillId="0" borderId="0" xfId="0" applyFont="1" applyAlignment="1">
      <alignment vertical="center"/>
    </xf>
    <xf numFmtId="49" fontId="91" fillId="0" borderId="0" xfId="0" applyNumberFormat="1" applyFont="1" applyAlignment="1">
      <alignment vertical="center"/>
    </xf>
    <xf numFmtId="0" fontId="90" fillId="0" borderId="0" xfId="0" applyFont="1" applyAlignment="1">
      <alignment vertical="center"/>
    </xf>
    <xf numFmtId="0" fontId="132" fillId="0" borderId="0" xfId="0" applyFont="1" applyAlignment="1">
      <alignment vertical="center" wrapText="1"/>
    </xf>
    <xf numFmtId="0" fontId="91" fillId="0" borderId="38" xfId="0" applyFont="1" applyBorder="1" applyAlignment="1">
      <alignment vertical="center"/>
    </xf>
    <xf numFmtId="0" fontId="90" fillId="30" borderId="14" xfId="0" applyFont="1" applyFill="1" applyBorder="1" applyAlignment="1">
      <alignment vertical="center" wrapText="1"/>
    </xf>
    <xf numFmtId="0" fontId="91" fillId="0" borderId="14" xfId="0" applyFont="1" applyBorder="1" applyAlignment="1">
      <alignment vertical="center"/>
    </xf>
    <xf numFmtId="49" fontId="91" fillId="0" borderId="14" xfId="0" applyNumberFormat="1" applyFont="1" applyBorder="1" applyAlignment="1">
      <alignment vertical="center"/>
    </xf>
    <xf numFmtId="166" fontId="90" fillId="0" borderId="14" xfId="0" applyNumberFormat="1" applyFont="1" applyBorder="1" applyAlignment="1">
      <alignment vertical="center"/>
    </xf>
    <xf numFmtId="166" fontId="90" fillId="0" borderId="14" xfId="0" applyNumberFormat="1" applyFont="1" applyBorder="1" applyAlignment="1">
      <alignment horizontal="center" vertical="center" wrapText="1"/>
    </xf>
    <xf numFmtId="0" fontId="132" fillId="0" borderId="0" xfId="0" applyFont="1" applyAlignment="1">
      <alignment vertical="center"/>
    </xf>
    <xf numFmtId="0" fontId="90" fillId="21" borderId="14" xfId="0" applyFont="1" applyFill="1" applyBorder="1" applyAlignment="1">
      <alignment vertical="center"/>
    </xf>
    <xf numFmtId="166" fontId="90" fillId="21" borderId="14" xfId="0" applyNumberFormat="1" applyFont="1" applyFill="1" applyBorder="1" applyAlignment="1">
      <alignment vertical="center"/>
    </xf>
    <xf numFmtId="0" fontId="91" fillId="0" borderId="54" xfId="0" applyFont="1" applyBorder="1" applyAlignment="1">
      <alignment vertical="center"/>
    </xf>
    <xf numFmtId="49" fontId="91" fillId="31" borderId="18" xfId="0" applyNumberFormat="1" applyFont="1" applyFill="1" applyBorder="1" applyAlignment="1">
      <alignment vertical="center"/>
    </xf>
    <xf numFmtId="0" fontId="91" fillId="31" borderId="21" xfId="0" applyFont="1" applyFill="1" applyBorder="1" applyAlignment="1">
      <alignment vertical="center"/>
    </xf>
    <xf numFmtId="49" fontId="91" fillId="31" borderId="58" xfId="0" applyNumberFormat="1" applyFont="1" applyFill="1" applyBorder="1" applyAlignment="1">
      <alignment vertical="center"/>
    </xf>
    <xf numFmtId="0" fontId="91" fillId="31" borderId="14" xfId="0" applyFont="1" applyFill="1" applyBorder="1" applyAlignment="1">
      <alignment vertical="center"/>
    </xf>
    <xf numFmtId="0" fontId="91" fillId="0" borderId="19" xfId="0" applyFont="1" applyBorder="1" applyAlignment="1">
      <alignment vertical="center"/>
    </xf>
    <xf numFmtId="0" fontId="91" fillId="0" borderId="6" xfId="0" applyFont="1" applyBorder="1" applyAlignment="1">
      <alignment vertical="center"/>
    </xf>
    <xf numFmtId="166" fontId="90" fillId="0" borderId="8" xfId="0" applyNumberFormat="1" applyFont="1" applyBorder="1" applyAlignment="1">
      <alignment vertical="center"/>
    </xf>
    <xf numFmtId="166" fontId="90" fillId="0" borderId="15" xfId="0" applyNumberFormat="1" applyFont="1" applyBorder="1" applyAlignment="1">
      <alignment vertical="center"/>
    </xf>
    <xf numFmtId="0" fontId="91" fillId="0" borderId="0" xfId="0" applyFont="1" applyAlignment="1">
      <alignment horizontal="center" vertical="center"/>
    </xf>
    <xf numFmtId="0" fontId="90" fillId="21" borderId="6" xfId="0" applyFont="1" applyFill="1" applyBorder="1" applyAlignment="1">
      <alignment vertical="center"/>
    </xf>
    <xf numFmtId="166" fontId="90" fillId="21" borderId="15" xfId="0" applyNumberFormat="1" applyFont="1" applyFill="1" applyBorder="1" applyAlignment="1">
      <alignment vertical="center"/>
    </xf>
    <xf numFmtId="166" fontId="90" fillId="0" borderId="21" xfId="0" applyNumberFormat="1" applyFont="1" applyBorder="1" applyAlignment="1">
      <alignment horizontal="center" vertical="center" wrapText="1"/>
    </xf>
    <xf numFmtId="0" fontId="90" fillId="21" borderId="7" xfId="0" applyFont="1" applyFill="1" applyBorder="1" applyAlignment="1">
      <alignment vertical="center"/>
    </xf>
    <xf numFmtId="166" fontId="90" fillId="21" borderId="19" xfId="0" applyNumberFormat="1" applyFont="1" applyFill="1" applyBorder="1" applyAlignment="1">
      <alignment vertical="center"/>
    </xf>
    <xf numFmtId="0" fontId="91" fillId="0" borderId="9" xfId="0" applyFont="1" applyBorder="1" applyAlignment="1">
      <alignment vertical="center"/>
    </xf>
    <xf numFmtId="166" fontId="90" fillId="0" borderId="21" xfId="0" applyNumberFormat="1" applyFont="1" applyBorder="1" applyAlignment="1">
      <alignment vertical="center"/>
    </xf>
    <xf numFmtId="0" fontId="91" fillId="0" borderId="103" xfId="0" applyFont="1" applyBorder="1" applyAlignment="1">
      <alignment vertical="center" textRotation="90" wrapText="1"/>
    </xf>
    <xf numFmtId="166" fontId="90" fillId="0" borderId="24" xfId="0" applyNumberFormat="1" applyFont="1" applyBorder="1" applyAlignment="1">
      <alignment horizontal="center" vertical="center" wrapText="1"/>
    </xf>
    <xf numFmtId="0" fontId="91" fillId="21" borderId="6" xfId="0" applyFont="1" applyFill="1" applyBorder="1" applyAlignment="1">
      <alignment vertical="center"/>
    </xf>
    <xf numFmtId="166" fontId="135" fillId="0" borderId="14" xfId="0" applyNumberFormat="1" applyFont="1" applyBorder="1" applyAlignment="1">
      <alignment vertical="center"/>
    </xf>
    <xf numFmtId="166" fontId="91" fillId="0" borderId="14" xfId="0" applyNumberFormat="1" applyFont="1" applyBorder="1" applyAlignment="1">
      <alignment vertical="center"/>
    </xf>
    <xf numFmtId="166" fontId="90" fillId="0" borderId="6" xfId="0" applyNumberFormat="1" applyFont="1" applyBorder="1" applyAlignment="1">
      <alignment vertical="center"/>
    </xf>
    <xf numFmtId="166" fontId="91" fillId="0" borderId="8" xfId="0" applyNumberFormat="1" applyFont="1" applyBorder="1" applyAlignment="1">
      <alignment vertical="center"/>
    </xf>
    <xf numFmtId="0" fontId="91" fillId="0" borderId="96" xfId="0" applyFont="1" applyBorder="1" applyAlignment="1">
      <alignment vertical="center"/>
    </xf>
    <xf numFmtId="166" fontId="135" fillId="0" borderId="8" xfId="0" applyNumberFormat="1" applyFont="1" applyBorder="1" applyAlignment="1">
      <alignment vertical="center"/>
    </xf>
    <xf numFmtId="166" fontId="135" fillId="0" borderId="15" xfId="0" applyNumberFormat="1" applyFont="1" applyBorder="1" applyAlignment="1">
      <alignment vertical="center"/>
    </xf>
    <xf numFmtId="166" fontId="90" fillId="0" borderId="37" xfId="0" applyNumberFormat="1" applyFont="1" applyBorder="1" applyAlignment="1">
      <alignment vertical="center"/>
    </xf>
    <xf numFmtId="0" fontId="91" fillId="0" borderId="0" xfId="0" applyFont="1" applyAlignment="1">
      <alignment vertical="center" wrapText="1"/>
    </xf>
    <xf numFmtId="0" fontId="91" fillId="31" borderId="24" xfId="0" applyFont="1" applyFill="1" applyBorder="1" applyAlignment="1">
      <alignment vertical="center"/>
    </xf>
    <xf numFmtId="0" fontId="91" fillId="31" borderId="103" xfId="0" applyFont="1" applyFill="1" applyBorder="1" applyAlignment="1">
      <alignment vertical="center" textRotation="90" wrapText="1"/>
    </xf>
    <xf numFmtId="0" fontId="90" fillId="31" borderId="6" xfId="0" applyFont="1" applyFill="1" applyBorder="1" applyAlignment="1">
      <alignment vertical="center"/>
    </xf>
    <xf numFmtId="166" fontId="90" fillId="31" borderId="14" xfId="0" applyNumberFormat="1" applyFont="1" applyFill="1" applyBorder="1" applyAlignment="1">
      <alignment vertical="center"/>
    </xf>
    <xf numFmtId="166" fontId="90" fillId="31" borderId="15" xfId="0" applyNumberFormat="1" applyFont="1" applyFill="1" applyBorder="1" applyAlignment="1">
      <alignment vertical="center"/>
    </xf>
    <xf numFmtId="166" fontId="91" fillId="31" borderId="14" xfId="0" applyNumberFormat="1" applyFont="1" applyFill="1" applyBorder="1" applyAlignment="1">
      <alignment vertical="center" wrapText="1"/>
    </xf>
    <xf numFmtId="166" fontId="91" fillId="31" borderId="19" xfId="0" applyNumberFormat="1" applyFont="1" applyFill="1" applyBorder="1" applyAlignment="1">
      <alignment vertical="center" wrapText="1"/>
    </xf>
    <xf numFmtId="166" fontId="90" fillId="0" borderId="16" xfId="0" applyNumberFormat="1" applyFont="1" applyBorder="1" applyAlignment="1">
      <alignment vertical="center"/>
    </xf>
    <xf numFmtId="0" fontId="90" fillId="21" borderId="19" xfId="0" applyFont="1" applyFill="1" applyBorder="1" applyAlignment="1">
      <alignment vertical="center"/>
    </xf>
    <xf numFmtId="0" fontId="91" fillId="30" borderId="21" xfId="0" applyFont="1" applyFill="1" applyBorder="1" applyAlignment="1">
      <alignment vertical="center"/>
    </xf>
    <xf numFmtId="0" fontId="91" fillId="0" borderId="30" xfId="0" applyFont="1" applyBorder="1" applyAlignment="1">
      <alignment vertical="center"/>
    </xf>
    <xf numFmtId="166" fontId="90" fillId="0" borderId="9" xfId="0" applyNumberFormat="1" applyFont="1" applyBorder="1" applyAlignment="1">
      <alignment vertical="center"/>
    </xf>
    <xf numFmtId="0" fontId="91" fillId="0" borderId="11" xfId="0" applyFont="1" applyBorder="1" applyAlignment="1">
      <alignment vertical="center"/>
    </xf>
    <xf numFmtId="0" fontId="90" fillId="21" borderId="34" xfId="0" applyFont="1" applyFill="1" applyBorder="1" applyAlignment="1">
      <alignment vertical="center"/>
    </xf>
    <xf numFmtId="166" fontId="90" fillId="0" borderId="33" xfId="0" applyNumberFormat="1" applyFont="1" applyBorder="1" applyAlignment="1">
      <alignment horizontal="center" vertical="center" wrapText="1"/>
    </xf>
    <xf numFmtId="0" fontId="91" fillId="31" borderId="17" xfId="0" applyFont="1" applyFill="1" applyBorder="1" applyAlignment="1">
      <alignment vertical="center" textRotation="90" wrapText="1"/>
    </xf>
    <xf numFmtId="0" fontId="90" fillId="34" borderId="14" xfId="0" applyFont="1" applyFill="1" applyBorder="1" applyAlignment="1">
      <alignment vertical="center"/>
    </xf>
    <xf numFmtId="166" fontId="91" fillId="34" borderId="14" xfId="0" applyNumberFormat="1" applyFont="1" applyFill="1" applyBorder="1" applyAlignment="1">
      <alignment vertical="center"/>
    </xf>
    <xf numFmtId="166" fontId="90" fillId="34" borderId="14" xfId="0" applyNumberFormat="1" applyFont="1" applyFill="1" applyBorder="1" applyAlignment="1">
      <alignment vertical="center"/>
    </xf>
    <xf numFmtId="166" fontId="90" fillId="34" borderId="14" xfId="0" applyNumberFormat="1" applyFont="1" applyFill="1" applyBorder="1" applyAlignment="1">
      <alignment horizontal="center" vertical="center"/>
    </xf>
    <xf numFmtId="166" fontId="132" fillId="40" borderId="14" xfId="0" applyNumberFormat="1" applyFont="1" applyFill="1" applyBorder="1" applyAlignment="1">
      <alignment vertical="center" wrapText="1"/>
    </xf>
    <xf numFmtId="166" fontId="91" fillId="34" borderId="14" xfId="0" applyNumberFormat="1" applyFont="1" applyFill="1" applyBorder="1" applyAlignment="1">
      <alignment vertical="center" wrapText="1"/>
    </xf>
    <xf numFmtId="0" fontId="91" fillId="31" borderId="32" xfId="0" applyFont="1" applyFill="1" applyBorder="1" applyAlignment="1">
      <alignment vertical="center" textRotation="90" wrapText="1"/>
    </xf>
    <xf numFmtId="0" fontId="90" fillId="34" borderId="0" xfId="0" applyFont="1" applyFill="1" applyAlignment="1">
      <alignment vertical="center"/>
    </xf>
    <xf numFmtId="166" fontId="91" fillId="34" borderId="21" xfId="0" applyNumberFormat="1" applyFont="1" applyFill="1" applyBorder="1" applyAlignment="1">
      <alignment vertical="center"/>
    </xf>
    <xf numFmtId="166" fontId="90" fillId="34" borderId="19" xfId="0" applyNumberFormat="1" applyFont="1" applyFill="1" applyBorder="1" applyAlignment="1">
      <alignment horizontal="center" vertical="center"/>
    </xf>
    <xf numFmtId="166" fontId="91" fillId="34" borderId="19" xfId="0" applyNumberFormat="1" applyFont="1" applyFill="1" applyBorder="1" applyAlignment="1">
      <alignment vertical="center" wrapText="1"/>
    </xf>
    <xf numFmtId="0" fontId="91" fillId="31" borderId="19" xfId="0" applyFont="1" applyFill="1" applyBorder="1" applyAlignment="1">
      <alignment vertical="center"/>
    </xf>
    <xf numFmtId="0" fontId="90" fillId="21" borderId="11" xfId="0" applyFont="1" applyFill="1" applyBorder="1" applyAlignment="1">
      <alignment vertical="center"/>
    </xf>
    <xf numFmtId="0" fontId="91" fillId="27" borderId="14" xfId="0" applyFont="1" applyFill="1" applyBorder="1" applyAlignment="1">
      <alignment vertical="center"/>
    </xf>
    <xf numFmtId="0" fontId="91" fillId="27" borderId="103" xfId="0" applyFont="1" applyFill="1" applyBorder="1" applyAlignment="1">
      <alignment vertical="center" textRotation="90" wrapText="1"/>
    </xf>
    <xf numFmtId="0" fontId="90" fillId="27" borderId="8" xfId="0" applyFont="1" applyFill="1" applyBorder="1" applyAlignment="1">
      <alignment vertical="center"/>
    </xf>
    <xf numFmtId="166" fontId="90" fillId="27" borderId="14" xfId="0" applyNumberFormat="1" applyFont="1" applyFill="1" applyBorder="1" applyAlignment="1">
      <alignment vertical="center"/>
    </xf>
    <xf numFmtId="166" fontId="91" fillId="27" borderId="14" xfId="0" applyNumberFormat="1" applyFont="1" applyFill="1" applyBorder="1" applyAlignment="1">
      <alignment vertical="center"/>
    </xf>
    <xf numFmtId="166" fontId="90" fillId="27" borderId="24" xfId="0" applyNumberFormat="1" applyFont="1" applyFill="1" applyBorder="1" applyAlignment="1">
      <alignment horizontal="center" vertical="center" wrapText="1"/>
    </xf>
    <xf numFmtId="166" fontId="132" fillId="27" borderId="24" xfId="0" applyNumberFormat="1" applyFont="1" applyFill="1" applyBorder="1" applyAlignment="1">
      <alignment vertical="center" wrapText="1"/>
    </xf>
    <xf numFmtId="0" fontId="132" fillId="11" borderId="0" xfId="0" applyFont="1" applyFill="1" applyAlignment="1">
      <alignment vertical="center"/>
    </xf>
    <xf numFmtId="0" fontId="91" fillId="30" borderId="14" xfId="0" applyFont="1" applyFill="1" applyBorder="1" applyAlignment="1">
      <alignment vertical="center"/>
    </xf>
    <xf numFmtId="0" fontId="91" fillId="30" borderId="14" xfId="0" applyFont="1" applyFill="1" applyBorder="1" applyAlignment="1">
      <alignment vertical="center" textRotation="90" wrapText="1"/>
    </xf>
    <xf numFmtId="0" fontId="90" fillId="30" borderId="14" xfId="0" applyFont="1" applyFill="1" applyBorder="1" applyAlignment="1">
      <alignment vertical="center"/>
    </xf>
    <xf numFmtId="166" fontId="90" fillId="30" borderId="14" xfId="0" applyNumberFormat="1" applyFont="1" applyFill="1" applyBorder="1" applyAlignment="1">
      <alignment vertical="center"/>
    </xf>
    <xf numFmtId="166" fontId="133" fillId="30" borderId="14" xfId="0" applyNumberFormat="1" applyFont="1" applyFill="1" applyBorder="1" applyAlignment="1">
      <alignment horizontal="center" vertical="center"/>
    </xf>
    <xf numFmtId="166" fontId="132" fillId="30" borderId="14" xfId="0" applyNumberFormat="1" applyFont="1" applyFill="1" applyBorder="1" applyAlignment="1">
      <alignment vertical="center" wrapText="1"/>
    </xf>
    <xf numFmtId="43" fontId="91" fillId="0" borderId="14" xfId="21" applyFont="1" applyFill="1" applyBorder="1" applyAlignment="1">
      <alignment vertical="center"/>
    </xf>
    <xf numFmtId="166" fontId="90" fillId="0" borderId="21" xfId="0" applyNumberFormat="1" applyFont="1" applyBorder="1" applyAlignment="1">
      <alignment horizontal="center" vertical="center"/>
    </xf>
    <xf numFmtId="0" fontId="91" fillId="31" borderId="11" xfId="0" applyFont="1" applyFill="1" applyBorder="1" applyAlignment="1">
      <alignment vertical="center" textRotation="90" wrapText="1"/>
    </xf>
    <xf numFmtId="0" fontId="91" fillId="31" borderId="34" xfId="0" applyFont="1" applyFill="1" applyBorder="1" applyAlignment="1">
      <alignment vertical="center" textRotation="90" wrapText="1"/>
    </xf>
    <xf numFmtId="166" fontId="91" fillId="0" borderId="15" xfId="0" applyNumberFormat="1" applyFont="1" applyBorder="1" applyAlignment="1">
      <alignment vertical="center"/>
    </xf>
    <xf numFmtId="166" fontId="90" fillId="0" borderId="14" xfId="0" applyNumberFormat="1" applyFont="1" applyBorder="1" applyAlignment="1">
      <alignment horizontal="center" vertical="center"/>
    </xf>
    <xf numFmtId="0" fontId="90" fillId="18" borderId="14" xfId="0" applyFont="1" applyFill="1" applyBorder="1" applyAlignment="1">
      <alignment vertical="center" wrapText="1"/>
    </xf>
    <xf numFmtId="0" fontId="90" fillId="17" borderId="14" xfId="0" applyFont="1" applyFill="1" applyBorder="1" applyAlignment="1">
      <alignment vertical="center" wrapText="1"/>
    </xf>
    <xf numFmtId="0" fontId="90" fillId="0" borderId="0" xfId="0" applyFont="1" applyAlignment="1">
      <alignment vertical="center" wrapText="1"/>
    </xf>
    <xf numFmtId="0" fontId="90" fillId="0" borderId="0" xfId="0" applyFont="1" applyAlignment="1">
      <alignment wrapText="1"/>
    </xf>
    <xf numFmtId="166" fontId="90" fillId="0" borderId="14" xfId="0" applyNumberFormat="1" applyFont="1" applyBorder="1" applyAlignment="1">
      <alignment vertical="center" wrapText="1"/>
    </xf>
    <xf numFmtId="166" fontId="90" fillId="0" borderId="0" xfId="0" applyNumberFormat="1" applyFont="1" applyAlignment="1">
      <alignment vertical="center" wrapText="1"/>
    </xf>
    <xf numFmtId="166" fontId="133" fillId="0" borderId="0" xfId="0" applyNumberFormat="1" applyFont="1" applyAlignment="1">
      <alignment vertical="center" wrapText="1"/>
    </xf>
    <xf numFmtId="166" fontId="90" fillId="0" borderId="0" xfId="0" applyNumberFormat="1" applyFont="1" applyAlignment="1">
      <alignment vertical="center"/>
    </xf>
    <xf numFmtId="9" fontId="90" fillId="0" borderId="14" xfId="22" applyFont="1" applyBorder="1" applyAlignment="1">
      <alignment vertical="center" wrapText="1"/>
    </xf>
    <xf numFmtId="49" fontId="90" fillId="30" borderId="14" xfId="0" applyNumberFormat="1" applyFont="1" applyFill="1" applyBorder="1" applyAlignment="1">
      <alignment vertical="center" wrapText="1"/>
    </xf>
    <xf numFmtId="9" fontId="90" fillId="30" borderId="14" xfId="22" applyFont="1" applyFill="1" applyBorder="1" applyAlignment="1">
      <alignment vertical="center" wrapText="1"/>
    </xf>
    <xf numFmtId="166" fontId="90" fillId="30" borderId="14" xfId="0" applyNumberFormat="1" applyFont="1" applyFill="1" applyBorder="1" applyAlignment="1">
      <alignment vertical="center" wrapText="1"/>
    </xf>
    <xf numFmtId="0" fontId="90" fillId="30" borderId="14" xfId="0" applyFont="1" applyFill="1" applyBorder="1" applyAlignment="1">
      <alignment horizontal="center" vertical="center" wrapText="1"/>
    </xf>
    <xf numFmtId="0" fontId="134" fillId="30" borderId="14" xfId="0" applyFont="1" applyFill="1" applyBorder="1" applyAlignment="1">
      <alignment vertical="center" wrapText="1"/>
    </xf>
    <xf numFmtId="49" fontId="90" fillId="0" borderId="14" xfId="0" applyNumberFormat="1" applyFont="1" applyBorder="1" applyAlignment="1">
      <alignment vertical="center" wrapText="1"/>
    </xf>
    <xf numFmtId="9" fontId="90" fillId="0" borderId="14" xfId="22" applyFont="1" applyFill="1" applyBorder="1" applyAlignment="1">
      <alignment vertical="center" wrapText="1"/>
    </xf>
    <xf numFmtId="49" fontId="91" fillId="0" borderId="14" xfId="0" applyNumberFormat="1" applyFont="1" applyBorder="1" applyAlignment="1">
      <alignment vertical="center" wrapText="1"/>
    </xf>
    <xf numFmtId="9" fontId="90" fillId="21" borderId="14" xfId="22" applyFont="1" applyFill="1" applyBorder="1" applyAlignment="1">
      <alignment vertical="center" wrapText="1"/>
    </xf>
    <xf numFmtId="0" fontId="91" fillId="32" borderId="9" xfId="0" applyFont="1" applyFill="1" applyBorder="1" applyAlignment="1">
      <alignment vertical="center" wrapText="1"/>
    </xf>
    <xf numFmtId="0" fontId="91" fillId="31" borderId="9" xfId="0" applyFont="1" applyFill="1" applyBorder="1" applyAlignment="1">
      <alignment vertical="center"/>
    </xf>
    <xf numFmtId="166" fontId="91" fillId="33" borderId="21" xfId="0" applyNumberFormat="1" applyFont="1" applyFill="1" applyBorder="1" applyAlignment="1">
      <alignment vertical="center"/>
    </xf>
    <xf numFmtId="9" fontId="90" fillId="31" borderId="14" xfId="22" applyFont="1" applyFill="1" applyBorder="1" applyAlignment="1">
      <alignment vertical="center" wrapText="1"/>
    </xf>
    <xf numFmtId="166" fontId="91" fillId="31" borderId="21" xfId="0" applyNumberFormat="1" applyFont="1" applyFill="1" applyBorder="1" applyAlignment="1">
      <alignment vertical="center"/>
    </xf>
    <xf numFmtId="166" fontId="91" fillId="31" borderId="16" xfId="0" applyNumberFormat="1" applyFont="1" applyFill="1" applyBorder="1" applyAlignment="1">
      <alignment vertical="center"/>
    </xf>
    <xf numFmtId="166" fontId="90" fillId="31" borderId="21" xfId="0" applyNumberFormat="1" applyFont="1" applyFill="1" applyBorder="1" applyAlignment="1">
      <alignment horizontal="center" vertical="center"/>
    </xf>
    <xf numFmtId="49" fontId="90" fillId="31" borderId="21" xfId="0" applyNumberFormat="1" applyFont="1" applyFill="1" applyBorder="1" applyAlignment="1">
      <alignment vertical="center" wrapText="1"/>
    </xf>
    <xf numFmtId="0" fontId="91" fillId="32" borderId="6" xfId="0" applyFont="1" applyFill="1" applyBorder="1" applyAlignment="1">
      <alignment vertical="center" wrapText="1"/>
    </xf>
    <xf numFmtId="0" fontId="91" fillId="31" borderId="6" xfId="0" applyFont="1" applyFill="1" applyBorder="1" applyAlignment="1">
      <alignment vertical="center"/>
    </xf>
    <xf numFmtId="166" fontId="91" fillId="33" borderId="14" xfId="0" applyNumberFormat="1" applyFont="1" applyFill="1" applyBorder="1" applyAlignment="1">
      <alignment vertical="center"/>
    </xf>
    <xf numFmtId="166" fontId="91" fillId="31" borderId="14" xfId="0" applyNumberFormat="1" applyFont="1" applyFill="1" applyBorder="1" applyAlignment="1">
      <alignment vertical="center"/>
    </xf>
    <xf numFmtId="166" fontId="91" fillId="31" borderId="8" xfId="0" applyNumberFormat="1" applyFont="1" applyFill="1" applyBorder="1" applyAlignment="1">
      <alignment vertical="center"/>
    </xf>
    <xf numFmtId="166" fontId="90" fillId="31" borderId="14" xfId="0" applyNumberFormat="1" applyFont="1" applyFill="1" applyBorder="1" applyAlignment="1">
      <alignment horizontal="center" vertical="center"/>
    </xf>
    <xf numFmtId="49" fontId="90" fillId="31" borderId="14" xfId="0" applyNumberFormat="1" applyFont="1" applyFill="1" applyBorder="1" applyAlignment="1">
      <alignment vertical="center" wrapText="1"/>
    </xf>
    <xf numFmtId="49" fontId="90" fillId="0" borderId="19" xfId="0" applyNumberFormat="1" applyFont="1" applyBorder="1" applyAlignment="1">
      <alignment vertical="center" wrapText="1"/>
    </xf>
    <xf numFmtId="0" fontId="90" fillId="30" borderId="21" xfId="0" applyFont="1" applyFill="1" applyBorder="1" applyAlignment="1">
      <alignment vertical="center"/>
    </xf>
    <xf numFmtId="0" fontId="90" fillId="29" borderId="21" xfId="0" applyFont="1" applyFill="1" applyBorder="1" applyAlignment="1">
      <alignment vertical="center" wrapText="1"/>
    </xf>
    <xf numFmtId="0" fontId="91" fillId="29" borderId="33" xfId="0" applyFont="1" applyFill="1" applyBorder="1" applyAlignment="1">
      <alignment vertical="center" textRotation="90" wrapText="1"/>
    </xf>
    <xf numFmtId="166" fontId="90" fillId="30" borderId="21" xfId="0" applyNumberFormat="1" applyFont="1" applyFill="1" applyBorder="1" applyAlignment="1">
      <alignment horizontal="center" vertical="center"/>
    </xf>
    <xf numFmtId="166" fontId="91" fillId="30" borderId="21" xfId="0" applyNumberFormat="1" applyFont="1" applyFill="1" applyBorder="1" applyAlignment="1">
      <alignment vertical="center" wrapText="1"/>
    </xf>
    <xf numFmtId="49" fontId="90" fillId="30" borderId="19" xfId="0" applyNumberFormat="1" applyFont="1" applyFill="1" applyBorder="1" applyAlignment="1">
      <alignment vertical="center" wrapText="1"/>
    </xf>
    <xf numFmtId="0" fontId="91" fillId="31" borderId="19" xfId="0" applyFont="1" applyFill="1" applyBorder="1" applyAlignment="1">
      <alignment vertical="center" wrapText="1"/>
    </xf>
    <xf numFmtId="49" fontId="91" fillId="31" borderId="14" xfId="0" applyNumberFormat="1" applyFont="1" applyFill="1" applyBorder="1" applyAlignment="1">
      <alignment vertical="center" wrapText="1"/>
    </xf>
    <xf numFmtId="166" fontId="90" fillId="31" borderId="8" xfId="0" applyNumberFormat="1" applyFont="1" applyFill="1" applyBorder="1" applyAlignment="1">
      <alignment vertical="center"/>
    </xf>
    <xf numFmtId="166" fontId="132" fillId="31" borderId="14" xfId="0" applyNumberFormat="1" applyFont="1" applyFill="1" applyBorder="1" applyAlignment="1">
      <alignment vertical="center"/>
    </xf>
    <xf numFmtId="166" fontId="132" fillId="31" borderId="8" xfId="0" applyNumberFormat="1" applyFont="1" applyFill="1" applyBorder="1" applyAlignment="1">
      <alignment vertical="center"/>
    </xf>
    <xf numFmtId="166" fontId="90" fillId="30" borderId="14" xfId="0" applyNumberFormat="1" applyFont="1" applyFill="1" applyBorder="1" applyAlignment="1">
      <alignment horizontal="center" vertical="center"/>
    </xf>
    <xf numFmtId="49" fontId="90" fillId="30" borderId="21" xfId="0" applyNumberFormat="1" applyFont="1" applyFill="1" applyBorder="1" applyAlignment="1">
      <alignment vertical="center" wrapText="1"/>
    </xf>
    <xf numFmtId="49" fontId="91" fillId="30" borderId="21" xfId="0" applyNumberFormat="1" applyFont="1" applyFill="1" applyBorder="1" applyAlignment="1">
      <alignment vertical="center" wrapText="1"/>
    </xf>
    <xf numFmtId="0" fontId="91" fillId="31" borderId="14" xfId="0" applyFont="1" applyFill="1" applyBorder="1" applyAlignment="1">
      <alignment vertical="center" wrapText="1"/>
    </xf>
    <xf numFmtId="49" fontId="132" fillId="31" borderId="14" xfId="0" applyNumberFormat="1" applyFont="1" applyFill="1" applyBorder="1" applyAlignment="1">
      <alignment vertical="center" wrapText="1"/>
    </xf>
    <xf numFmtId="166" fontId="91" fillId="25" borderId="14" xfId="0" applyNumberFormat="1" applyFont="1" applyFill="1" applyBorder="1" applyAlignment="1">
      <alignment vertical="center"/>
    </xf>
    <xf numFmtId="49" fontId="90" fillId="31" borderId="19" xfId="0" applyNumberFormat="1" applyFont="1" applyFill="1" applyBorder="1" applyAlignment="1">
      <alignment vertical="center" wrapText="1"/>
    </xf>
    <xf numFmtId="49" fontId="132" fillId="31" borderId="19" xfId="0" applyNumberFormat="1" applyFont="1" applyFill="1" applyBorder="1" applyAlignment="1">
      <alignment vertical="center" wrapText="1"/>
    </xf>
    <xf numFmtId="49" fontId="91" fillId="31" borderId="19" xfId="0" applyNumberFormat="1" applyFont="1" applyFill="1" applyBorder="1" applyAlignment="1">
      <alignment vertical="center" wrapText="1"/>
    </xf>
    <xf numFmtId="49" fontId="91" fillId="30" borderId="14" xfId="0" applyNumberFormat="1" applyFont="1" applyFill="1" applyBorder="1" applyAlignment="1">
      <alignment vertical="center" wrapText="1"/>
    </xf>
    <xf numFmtId="166" fontId="91" fillId="30" borderId="14" xfId="0" applyNumberFormat="1" applyFont="1" applyFill="1" applyBorder="1" applyAlignment="1">
      <alignment vertical="center" wrapText="1"/>
    </xf>
    <xf numFmtId="0" fontId="91" fillId="30" borderId="14" xfId="0" applyFont="1" applyFill="1" applyBorder="1" applyAlignment="1">
      <alignment vertical="center" wrapText="1"/>
    </xf>
    <xf numFmtId="166" fontId="91" fillId="34" borderId="37" xfId="0" applyNumberFormat="1" applyFont="1" applyFill="1" applyBorder="1" applyAlignment="1">
      <alignment vertical="center"/>
    </xf>
    <xf numFmtId="166" fontId="91" fillId="34" borderId="0" xfId="0" applyNumberFormat="1" applyFont="1" applyFill="1" applyAlignment="1">
      <alignment vertical="center"/>
    </xf>
    <xf numFmtId="0" fontId="91" fillId="27" borderId="14" xfId="0" applyFont="1" applyFill="1" applyBorder="1" applyAlignment="1">
      <alignment vertical="center" wrapText="1"/>
    </xf>
    <xf numFmtId="9" fontId="90" fillId="27" borderId="14" xfId="22" applyFont="1" applyFill="1" applyBorder="1" applyAlignment="1">
      <alignment vertical="center" wrapText="1"/>
    </xf>
    <xf numFmtId="49" fontId="90" fillId="27" borderId="24" xfId="0" applyNumberFormat="1" applyFont="1" applyFill="1" applyBorder="1" applyAlignment="1">
      <alignment vertical="center" wrapText="1"/>
    </xf>
    <xf numFmtId="49" fontId="91" fillId="27" borderId="24" xfId="0" applyNumberFormat="1" applyFont="1" applyFill="1" applyBorder="1" applyAlignment="1">
      <alignment vertical="center" wrapText="1"/>
    </xf>
    <xf numFmtId="9" fontId="90" fillId="0" borderId="21" xfId="22" applyFont="1" applyFill="1" applyBorder="1" applyAlignment="1">
      <alignment vertical="center" wrapText="1"/>
    </xf>
    <xf numFmtId="49" fontId="91" fillId="0" borderId="21" xfId="0" applyNumberFormat="1" applyFont="1" applyBorder="1" applyAlignment="1">
      <alignment horizontal="left" vertical="center" wrapText="1"/>
    </xf>
    <xf numFmtId="49" fontId="90" fillId="29" borderId="21" xfId="0" applyNumberFormat="1" applyFont="1" applyFill="1" applyBorder="1" applyAlignment="1">
      <alignment vertical="center" wrapText="1"/>
    </xf>
    <xf numFmtId="166" fontId="90" fillId="30" borderId="24" xfId="0" applyNumberFormat="1" applyFont="1" applyFill="1" applyBorder="1" applyAlignment="1">
      <alignment horizontal="center" vertical="center"/>
    </xf>
    <xf numFmtId="0" fontId="91" fillId="32" borderId="14" xfId="0" applyFont="1" applyFill="1" applyBorder="1" applyAlignment="1">
      <alignment vertical="center" wrapText="1"/>
    </xf>
    <xf numFmtId="0" fontId="91" fillId="32" borderId="30" xfId="0" applyFont="1" applyFill="1" applyBorder="1" applyAlignment="1">
      <alignment vertical="center" textRotation="90" wrapText="1"/>
    </xf>
    <xf numFmtId="0" fontId="91" fillId="31" borderId="16" xfId="0" applyFont="1" applyFill="1" applyBorder="1" applyAlignment="1">
      <alignment vertical="center"/>
    </xf>
    <xf numFmtId="0" fontId="91" fillId="31" borderId="8" xfId="0" applyFont="1" applyFill="1" applyBorder="1" applyAlignment="1">
      <alignment vertical="center"/>
    </xf>
    <xf numFmtId="166" fontId="91" fillId="31" borderId="37" xfId="0" applyNumberFormat="1" applyFont="1" applyFill="1" applyBorder="1" applyAlignment="1">
      <alignment vertical="center"/>
    </xf>
    <xf numFmtId="166" fontId="90" fillId="31" borderId="19" xfId="0" applyNumberFormat="1" applyFont="1" applyFill="1" applyBorder="1" applyAlignment="1">
      <alignment horizontal="center" vertical="center"/>
    </xf>
    <xf numFmtId="166" fontId="91" fillId="31" borderId="19" xfId="0" applyNumberFormat="1" applyFont="1" applyFill="1" applyBorder="1" applyAlignment="1">
      <alignment vertical="center"/>
    </xf>
    <xf numFmtId="49" fontId="91" fillId="0" borderId="14" xfId="0" applyNumberFormat="1" applyFont="1" applyBorder="1" applyAlignment="1">
      <alignment horizontal="center" vertical="center" wrapText="1"/>
    </xf>
    <xf numFmtId="0" fontId="91" fillId="31" borderId="15" xfId="0" applyFont="1" applyFill="1" applyBorder="1" applyAlignment="1">
      <alignment vertical="center" wrapText="1"/>
    </xf>
    <xf numFmtId="0" fontId="91" fillId="31" borderId="35" xfId="0" applyFont="1" applyFill="1" applyBorder="1" applyAlignment="1">
      <alignment vertical="center" wrapText="1"/>
    </xf>
    <xf numFmtId="0" fontId="91" fillId="31" borderId="17" xfId="0" applyFont="1" applyFill="1" applyBorder="1" applyAlignment="1">
      <alignment vertical="center" wrapText="1"/>
    </xf>
    <xf numFmtId="0" fontId="136" fillId="0" borderId="0" xfId="0" applyFont="1" applyAlignment="1">
      <alignment vertical="center"/>
    </xf>
    <xf numFmtId="0" fontId="76" fillId="0" borderId="0" xfId="0" applyFont="1" applyAlignment="1">
      <alignment horizontal="center" vertical="center"/>
    </xf>
    <xf numFmtId="49" fontId="90" fillId="0" borderId="21" xfId="0" applyNumberFormat="1" applyFont="1" applyBorder="1" applyAlignment="1">
      <alignment vertical="center"/>
    </xf>
    <xf numFmtId="49" fontId="90" fillId="0" borderId="14" xfId="0" applyNumberFormat="1" applyFont="1" applyBorder="1" applyAlignment="1">
      <alignment vertical="center"/>
    </xf>
    <xf numFmtId="49" fontId="90" fillId="21" borderId="14" xfId="0" applyNumberFormat="1" applyFont="1" applyFill="1" applyBorder="1" applyAlignment="1">
      <alignment vertical="center"/>
    </xf>
    <xf numFmtId="49" fontId="90" fillId="31" borderId="14" xfId="0" applyNumberFormat="1" applyFont="1" applyFill="1" applyBorder="1" applyAlignment="1">
      <alignment vertical="center"/>
    </xf>
    <xf numFmtId="166" fontId="90" fillId="31" borderId="16" xfId="0" applyNumberFormat="1" applyFont="1" applyFill="1" applyBorder="1" applyAlignment="1" applyProtection="1">
      <alignment vertical="center"/>
      <protection locked="0"/>
    </xf>
    <xf numFmtId="166" fontId="90" fillId="31" borderId="8" xfId="0" applyNumberFormat="1" applyFont="1" applyFill="1" applyBorder="1" applyAlignment="1" applyProtection="1">
      <alignment vertical="center"/>
      <protection locked="0"/>
    </xf>
    <xf numFmtId="166" fontId="90" fillId="31" borderId="6" xfId="0" applyNumberFormat="1" applyFont="1" applyFill="1" applyBorder="1" applyAlignment="1">
      <alignment vertical="center"/>
    </xf>
    <xf numFmtId="166" fontId="90" fillId="31" borderId="6" xfId="0" applyNumberFormat="1" applyFont="1" applyFill="1" applyBorder="1" applyAlignment="1" applyProtection="1">
      <alignment vertical="center"/>
      <protection locked="0"/>
    </xf>
    <xf numFmtId="0" fontId="91" fillId="0" borderId="34" xfId="0" applyFont="1" applyBorder="1" applyAlignment="1">
      <alignment vertical="center"/>
    </xf>
    <xf numFmtId="166" fontId="90" fillId="0" borderId="19" xfId="0" applyNumberFormat="1" applyFont="1" applyBorder="1" applyAlignment="1">
      <alignment vertical="center"/>
    </xf>
    <xf numFmtId="166" fontId="90" fillId="0" borderId="31" xfId="0" applyNumberFormat="1" applyFont="1" applyBorder="1" applyAlignment="1">
      <alignment vertical="center"/>
    </xf>
    <xf numFmtId="0" fontId="91" fillId="31" borderId="14" xfId="0" applyFont="1" applyFill="1" applyBorder="1" applyAlignment="1">
      <alignment vertical="center" textRotation="90" wrapText="1"/>
    </xf>
    <xf numFmtId="0" fontId="91" fillId="31" borderId="11" xfId="0" applyFont="1" applyFill="1" applyBorder="1" applyAlignment="1">
      <alignment vertical="center"/>
    </xf>
    <xf numFmtId="0" fontId="91" fillId="31" borderId="0" xfId="0" applyFont="1" applyFill="1" applyAlignment="1">
      <alignment vertical="center"/>
    </xf>
    <xf numFmtId="0" fontId="91" fillId="31" borderId="34" xfId="0" applyFont="1" applyFill="1" applyBorder="1" applyAlignment="1">
      <alignment vertical="center"/>
    </xf>
    <xf numFmtId="49" fontId="90" fillId="31" borderId="17" xfId="0" applyNumberFormat="1" applyFont="1" applyFill="1" applyBorder="1" applyAlignment="1">
      <alignment vertical="center"/>
    </xf>
    <xf numFmtId="0" fontId="90" fillId="31" borderId="14" xfId="0" applyFont="1" applyFill="1" applyBorder="1" applyAlignment="1">
      <alignment vertical="center" textRotation="90" wrapText="1"/>
    </xf>
    <xf numFmtId="0" fontId="90" fillId="30" borderId="14" xfId="0" applyFont="1" applyFill="1" applyBorder="1" applyAlignment="1">
      <alignment vertical="center" textRotation="90" wrapText="1"/>
    </xf>
    <xf numFmtId="166" fontId="90" fillId="21" borderId="21" xfId="0" applyNumberFormat="1" applyFont="1" applyFill="1" applyBorder="1" applyAlignment="1">
      <alignment vertical="center"/>
    </xf>
    <xf numFmtId="49" fontId="90" fillId="31" borderId="9" xfId="0" applyNumberFormat="1" applyFont="1" applyFill="1" applyBorder="1" applyAlignment="1">
      <alignment vertical="center"/>
    </xf>
    <xf numFmtId="0" fontId="91" fillId="31" borderId="9" xfId="0" applyFont="1" applyFill="1" applyBorder="1" applyAlignment="1">
      <alignment vertical="center" textRotation="90" wrapText="1"/>
    </xf>
    <xf numFmtId="0" fontId="90" fillId="0" borderId="14" xfId="0" applyFont="1" applyBorder="1" applyAlignment="1">
      <alignment horizontal="center" vertical="center" wrapText="1"/>
    </xf>
    <xf numFmtId="49" fontId="90" fillId="31" borderId="6" xfId="0" applyNumberFormat="1" applyFont="1" applyFill="1" applyBorder="1" applyAlignment="1">
      <alignment vertical="center"/>
    </xf>
    <xf numFmtId="0" fontId="91" fillId="31" borderId="8" xfId="0" applyFont="1" applyFill="1" applyBorder="1" applyAlignment="1">
      <alignment vertical="center" textRotation="90" wrapText="1"/>
    </xf>
    <xf numFmtId="166" fontId="90" fillId="31" borderId="19" xfId="0" applyNumberFormat="1" applyFont="1" applyFill="1" applyBorder="1" applyAlignment="1">
      <alignment vertical="center"/>
    </xf>
    <xf numFmtId="0" fontId="132" fillId="31" borderId="19" xfId="0" applyFont="1" applyFill="1" applyBorder="1" applyAlignment="1">
      <alignment vertical="center" textRotation="90" wrapText="1"/>
    </xf>
    <xf numFmtId="166" fontId="133" fillId="31" borderId="14" xfId="0" applyNumberFormat="1" applyFont="1" applyFill="1" applyBorder="1" applyAlignment="1">
      <alignment vertical="center"/>
    </xf>
    <xf numFmtId="166" fontId="133" fillId="31" borderId="19" xfId="0" applyNumberFormat="1" applyFont="1" applyFill="1" applyBorder="1" applyAlignment="1">
      <alignment vertical="center"/>
    </xf>
    <xf numFmtId="0" fontId="132" fillId="31" borderId="14" xfId="0" applyFont="1" applyFill="1" applyBorder="1" applyAlignment="1">
      <alignment vertical="center" textRotation="90" wrapText="1"/>
    </xf>
    <xf numFmtId="166" fontId="133" fillId="31" borderId="15" xfId="0" applyNumberFormat="1" applyFont="1" applyFill="1" applyBorder="1" applyAlignment="1">
      <alignment vertical="center"/>
    </xf>
    <xf numFmtId="0" fontId="91" fillId="0" borderId="16" xfId="0" applyFont="1" applyBorder="1" applyAlignment="1">
      <alignment vertical="center"/>
    </xf>
    <xf numFmtId="0" fontId="91" fillId="0" borderId="8" xfId="0" applyFont="1" applyBorder="1" applyAlignment="1">
      <alignment vertical="center"/>
    </xf>
    <xf numFmtId="0" fontId="91" fillId="31" borderId="6" xfId="0" applyFont="1" applyFill="1" applyBorder="1" applyAlignment="1">
      <alignment vertical="center" textRotation="90" wrapText="1"/>
    </xf>
    <xf numFmtId="0" fontId="91" fillId="37" borderId="14" xfId="0" applyFont="1" applyFill="1" applyBorder="1" applyAlignment="1">
      <alignment vertical="center"/>
    </xf>
    <xf numFmtId="166" fontId="90" fillId="37" borderId="14" xfId="0" applyNumberFormat="1" applyFont="1" applyFill="1" applyBorder="1" applyAlignment="1">
      <alignment vertical="center"/>
    </xf>
    <xf numFmtId="166" fontId="90" fillId="37" borderId="16" xfId="0" applyNumberFormat="1" applyFont="1" applyFill="1" applyBorder="1" applyAlignment="1">
      <alignment vertical="center"/>
    </xf>
    <xf numFmtId="166" fontId="90" fillId="37" borderId="15" xfId="0" applyNumberFormat="1" applyFont="1" applyFill="1" applyBorder="1" applyAlignment="1">
      <alignment vertical="center"/>
    </xf>
    <xf numFmtId="166" fontId="91" fillId="37" borderId="14" xfId="0" applyNumberFormat="1" applyFont="1" applyFill="1" applyBorder="1" applyAlignment="1">
      <alignment vertical="center"/>
    </xf>
    <xf numFmtId="166" fontId="90" fillId="37" borderId="8" xfId="0" applyNumberFormat="1" applyFont="1" applyFill="1" applyBorder="1" applyAlignment="1">
      <alignment vertical="center"/>
    </xf>
    <xf numFmtId="166" fontId="90" fillId="21" borderId="31" xfId="0" applyNumberFormat="1" applyFont="1" applyFill="1" applyBorder="1" applyAlignment="1">
      <alignment vertical="center"/>
    </xf>
    <xf numFmtId="49" fontId="90" fillId="30" borderId="14" xfId="0" applyNumberFormat="1" applyFont="1" applyFill="1" applyBorder="1" applyAlignment="1">
      <alignment vertical="center"/>
    </xf>
    <xf numFmtId="0" fontId="90" fillId="30" borderId="14" xfId="0" applyFont="1" applyFill="1" applyBorder="1" applyAlignment="1">
      <alignment horizontal="center" vertical="center"/>
    </xf>
    <xf numFmtId="166" fontId="91" fillId="30" borderId="14" xfId="0" applyNumberFormat="1" applyFont="1" applyFill="1" applyBorder="1" applyAlignment="1">
      <alignment vertical="center"/>
    </xf>
    <xf numFmtId="0" fontId="91" fillId="0" borderId="21" xfId="0" applyFont="1" applyBorder="1" applyAlignment="1" applyProtection="1">
      <alignment vertical="center" wrapText="1"/>
      <protection locked="0"/>
    </xf>
    <xf numFmtId="0" fontId="91" fillId="0" borderId="21" xfId="0" applyFont="1" applyBorder="1" applyAlignment="1">
      <alignment vertical="center" wrapText="1"/>
    </xf>
    <xf numFmtId="9" fontId="90" fillId="21" borderId="19" xfId="22" applyFont="1" applyFill="1" applyBorder="1" applyAlignment="1">
      <alignment vertical="center"/>
    </xf>
    <xf numFmtId="9" fontId="90" fillId="21" borderId="21" xfId="22" applyFont="1" applyFill="1" applyBorder="1" applyAlignment="1">
      <alignment vertical="center"/>
    </xf>
    <xf numFmtId="166" fontId="90" fillId="0" borderId="29" xfId="0" applyNumberFormat="1" applyFont="1" applyBorder="1" applyAlignment="1">
      <alignment vertical="center"/>
    </xf>
    <xf numFmtId="0" fontId="137" fillId="30" borderId="15" xfId="0" applyFont="1" applyFill="1" applyBorder="1" applyAlignment="1">
      <alignment vertical="center" textRotation="90" wrapText="1"/>
    </xf>
    <xf numFmtId="0" fontId="90" fillId="30" borderId="14" xfId="0" applyFont="1" applyFill="1" applyBorder="1" applyAlignment="1">
      <alignment horizontal="left" vertical="center"/>
    </xf>
    <xf numFmtId="166" fontId="90" fillId="31" borderId="21" xfId="0" applyNumberFormat="1" applyFont="1" applyFill="1" applyBorder="1" applyAlignment="1">
      <alignment vertical="center"/>
    </xf>
    <xf numFmtId="166" fontId="90" fillId="31" borderId="37" xfId="0" applyNumberFormat="1" applyFont="1" applyFill="1" applyBorder="1" applyAlignment="1">
      <alignment vertical="center"/>
    </xf>
    <xf numFmtId="0" fontId="90" fillId="31" borderId="0" xfId="0" applyFont="1" applyFill="1" applyAlignment="1">
      <alignment vertical="center" wrapText="1"/>
    </xf>
    <xf numFmtId="49" fontId="90" fillId="31" borderId="19" xfId="0" applyNumberFormat="1" applyFont="1" applyFill="1" applyBorder="1" applyAlignment="1">
      <alignment vertical="center"/>
    </xf>
    <xf numFmtId="0" fontId="90" fillId="31" borderId="38" xfId="0" applyFont="1" applyFill="1" applyBorder="1" applyAlignment="1">
      <alignment vertical="center" wrapText="1"/>
    </xf>
    <xf numFmtId="0" fontId="90" fillId="18" borderId="21" xfId="0" applyFont="1" applyFill="1" applyBorder="1" applyAlignment="1">
      <alignment vertical="center" wrapText="1"/>
    </xf>
    <xf numFmtId="0" fontId="90" fillId="17" borderId="37" xfId="0" applyFont="1" applyFill="1" applyBorder="1" applyAlignment="1">
      <alignment vertical="center" wrapText="1"/>
    </xf>
    <xf numFmtId="166" fontId="90" fillId="0" borderId="21" xfId="0" applyNumberFormat="1" applyFont="1" applyBorder="1" applyAlignment="1">
      <alignment vertical="center" wrapText="1"/>
    </xf>
    <xf numFmtId="166" fontId="90" fillId="0" borderId="37" xfId="0" applyNumberFormat="1" applyFont="1" applyBorder="1" applyAlignment="1">
      <alignment vertical="center" wrapText="1"/>
    </xf>
    <xf numFmtId="166" fontId="90" fillId="0" borderId="7" xfId="0" applyNumberFormat="1" applyFont="1" applyBorder="1" applyAlignment="1">
      <alignment vertical="center"/>
    </xf>
    <xf numFmtId="9" fontId="90" fillId="0" borderId="21" xfId="22" applyFont="1" applyBorder="1" applyAlignment="1">
      <alignment vertical="center" wrapText="1"/>
    </xf>
    <xf numFmtId="9" fontId="90" fillId="0" borderId="37" xfId="22" applyFont="1" applyBorder="1" applyAlignment="1">
      <alignment vertical="center" wrapText="1"/>
    </xf>
    <xf numFmtId="166" fontId="91" fillId="31" borderId="15" xfId="0" applyNumberFormat="1" applyFont="1" applyFill="1" applyBorder="1" applyAlignment="1">
      <alignment vertical="center"/>
    </xf>
    <xf numFmtId="49" fontId="133" fillId="31" borderId="14" xfId="0" applyNumberFormat="1" applyFont="1" applyFill="1" applyBorder="1" applyAlignment="1">
      <alignment vertical="center" wrapText="1"/>
    </xf>
    <xf numFmtId="0" fontId="90" fillId="22" borderId="17" xfId="0" applyFont="1" applyFill="1" applyBorder="1" applyAlignment="1">
      <alignment vertical="center" wrapText="1"/>
    </xf>
    <xf numFmtId="166" fontId="90" fillId="22" borderId="14" xfId="0" applyNumberFormat="1" applyFont="1" applyFill="1" applyBorder="1" applyAlignment="1">
      <alignment vertical="center" wrapText="1"/>
    </xf>
    <xf numFmtId="166" fontId="90" fillId="22" borderId="15" xfId="0" applyNumberFormat="1" applyFont="1" applyFill="1" applyBorder="1" applyAlignment="1">
      <alignment vertical="center" wrapText="1"/>
    </xf>
    <xf numFmtId="0" fontId="90" fillId="31" borderId="17" xfId="0" applyFont="1" applyFill="1" applyBorder="1" applyAlignment="1">
      <alignment vertical="center" wrapText="1"/>
    </xf>
    <xf numFmtId="0" fontId="90" fillId="30" borderId="23" xfId="0" applyFont="1" applyFill="1" applyBorder="1" applyAlignment="1">
      <alignment vertical="center"/>
    </xf>
    <xf numFmtId="0" fontId="90" fillId="30" borderId="21" xfId="0" applyFont="1" applyFill="1" applyBorder="1" applyAlignment="1">
      <alignment vertical="center" wrapText="1"/>
    </xf>
    <xf numFmtId="0" fontId="90" fillId="30" borderId="17" xfId="0" applyFont="1" applyFill="1" applyBorder="1" applyAlignment="1">
      <alignment vertical="center" wrapText="1"/>
    </xf>
    <xf numFmtId="0" fontId="90" fillId="30" borderId="0" xfId="0" applyFont="1" applyFill="1" applyAlignment="1">
      <alignment vertical="center"/>
    </xf>
    <xf numFmtId="0" fontId="90" fillId="22" borderId="21" xfId="0" applyFont="1" applyFill="1" applyBorder="1" applyAlignment="1">
      <alignment vertical="center" wrapText="1"/>
    </xf>
    <xf numFmtId="49" fontId="90" fillId="0" borderId="21" xfId="0" applyNumberFormat="1" applyFont="1" applyBorder="1" applyAlignment="1">
      <alignment horizontal="center" vertical="center" wrapText="1"/>
    </xf>
    <xf numFmtId="0" fontId="91" fillId="31" borderId="9" xfId="0" applyFont="1" applyFill="1" applyBorder="1" applyAlignment="1">
      <alignment vertical="center" wrapText="1"/>
    </xf>
    <xf numFmtId="0" fontId="91" fillId="32" borderId="0" xfId="0" applyFont="1" applyFill="1" applyAlignment="1">
      <alignment vertical="center" wrapText="1"/>
    </xf>
    <xf numFmtId="0" fontId="90" fillId="22" borderId="14" xfId="0" applyFont="1" applyFill="1" applyBorder="1" applyAlignment="1">
      <alignment vertical="center" wrapText="1"/>
    </xf>
    <xf numFmtId="0" fontId="91" fillId="31" borderId="6" xfId="0" applyFont="1" applyFill="1" applyBorder="1" applyAlignment="1">
      <alignment vertical="center" wrapText="1"/>
    </xf>
    <xf numFmtId="9" fontId="91" fillId="31" borderId="14" xfId="22" applyFont="1" applyFill="1" applyBorder="1" applyAlignment="1">
      <alignment vertical="center" wrapText="1"/>
    </xf>
    <xf numFmtId="0" fontId="90" fillId="22" borderId="19" xfId="0" applyFont="1" applyFill="1" applyBorder="1" applyAlignment="1">
      <alignment vertical="center" wrapText="1"/>
    </xf>
    <xf numFmtId="0" fontId="91" fillId="32" borderId="19" xfId="0" applyFont="1" applyFill="1" applyBorder="1" applyAlignment="1">
      <alignment vertical="center" wrapText="1"/>
    </xf>
    <xf numFmtId="166" fontId="90" fillId="31" borderId="31" xfId="0" applyNumberFormat="1" applyFont="1" applyFill="1" applyBorder="1" applyAlignment="1">
      <alignment vertical="center"/>
    </xf>
    <xf numFmtId="166" fontId="133" fillId="31" borderId="16" xfId="0" applyNumberFormat="1" applyFont="1" applyFill="1" applyBorder="1" applyAlignment="1">
      <alignment vertical="center"/>
    </xf>
    <xf numFmtId="166" fontId="133" fillId="31" borderId="8" xfId="0" applyNumberFormat="1" applyFont="1" applyFill="1" applyBorder="1" applyAlignment="1">
      <alignment vertical="center"/>
    </xf>
    <xf numFmtId="0" fontId="90" fillId="32" borderId="14" xfId="0" applyFont="1" applyFill="1" applyBorder="1" applyAlignment="1">
      <alignment vertical="center" wrapText="1"/>
    </xf>
    <xf numFmtId="49" fontId="90" fillId="31" borderId="24" xfId="0" applyNumberFormat="1" applyFont="1" applyFill="1" applyBorder="1" applyAlignment="1">
      <alignment vertical="center" wrapText="1"/>
    </xf>
    <xf numFmtId="0" fontId="91" fillId="31" borderId="7" xfId="0" applyFont="1" applyFill="1" applyBorder="1" applyAlignment="1">
      <alignment vertical="center" wrapText="1"/>
    </xf>
    <xf numFmtId="9" fontId="90" fillId="37" borderId="14" xfId="22" applyFont="1" applyFill="1" applyBorder="1" applyAlignment="1">
      <alignment vertical="center" wrapText="1"/>
    </xf>
    <xf numFmtId="0" fontId="90" fillId="38" borderId="14" xfId="0" applyFont="1" applyFill="1" applyBorder="1" applyAlignment="1">
      <alignment vertical="center" wrapText="1"/>
    </xf>
    <xf numFmtId="0" fontId="90" fillId="29" borderId="14" xfId="0" applyFont="1" applyFill="1" applyBorder="1" applyAlignment="1">
      <alignment vertical="center" wrapText="1"/>
    </xf>
    <xf numFmtId="0" fontId="90" fillId="32" borderId="21" xfId="0" applyFont="1" applyFill="1" applyBorder="1" applyAlignment="1">
      <alignment vertical="center" wrapText="1"/>
    </xf>
    <xf numFmtId="49" fontId="91" fillId="31" borderId="0" xfId="0" applyNumberFormat="1" applyFont="1" applyFill="1" applyAlignment="1">
      <alignment vertical="center" wrapText="1"/>
    </xf>
    <xf numFmtId="49" fontId="90" fillId="31" borderId="0" xfId="0" applyNumberFormat="1" applyFont="1" applyFill="1" applyAlignment="1">
      <alignment vertical="center" wrapText="1"/>
    </xf>
    <xf numFmtId="49" fontId="91" fillId="31" borderId="38" xfId="0" applyNumberFormat="1" applyFont="1" applyFill="1" applyBorder="1" applyAlignment="1">
      <alignment vertical="center" wrapText="1"/>
    </xf>
    <xf numFmtId="49" fontId="90" fillId="31" borderId="38" xfId="0" applyNumberFormat="1" applyFont="1" applyFill="1" applyBorder="1" applyAlignment="1">
      <alignment vertical="center" wrapText="1"/>
    </xf>
    <xf numFmtId="9" fontId="90" fillId="17" borderId="14" xfId="22" applyFont="1" applyFill="1" applyBorder="1" applyAlignment="1">
      <alignment vertical="center" wrapText="1"/>
    </xf>
    <xf numFmtId="0" fontId="91" fillId="31" borderId="29" xfId="0" applyFont="1" applyFill="1" applyBorder="1" applyAlignment="1">
      <alignment vertical="center" textRotation="90" wrapText="1"/>
    </xf>
    <xf numFmtId="0" fontId="138" fillId="0" borderId="0" xfId="0" applyFont="1"/>
    <xf numFmtId="0" fontId="90" fillId="17" borderId="14" xfId="0" applyFont="1" applyFill="1" applyBorder="1" applyAlignment="1">
      <alignment horizontal="center" vertical="center" wrapText="1"/>
    </xf>
    <xf numFmtId="0" fontId="91" fillId="0" borderId="14" xfId="0" applyFont="1" applyBorder="1" applyAlignment="1">
      <alignment horizontal="left" vertical="center" wrapText="1"/>
    </xf>
    <xf numFmtId="0" fontId="90" fillId="17" borderId="14" xfId="0" applyFont="1" applyFill="1" applyBorder="1" applyAlignment="1">
      <alignment horizontal="left" vertical="center" wrapText="1"/>
    </xf>
    <xf numFmtId="0" fontId="90" fillId="0" borderId="14" xfId="0" applyFont="1" applyBorder="1" applyAlignment="1">
      <alignment horizontal="left" vertical="center" wrapText="1"/>
    </xf>
    <xf numFmtId="0" fontId="91" fillId="36" borderId="14" xfId="0" applyFont="1" applyFill="1" applyBorder="1" applyAlignment="1">
      <alignment horizontal="left" vertical="center" wrapText="1"/>
    </xf>
    <xf numFmtId="0" fontId="139" fillId="36" borderId="14" xfId="0" applyFont="1" applyFill="1" applyBorder="1" applyAlignment="1">
      <alignment horizontal="left" vertical="center" wrapText="1"/>
    </xf>
    <xf numFmtId="0" fontId="139" fillId="0" borderId="14" xfId="0" applyFont="1" applyBorder="1" applyAlignment="1">
      <alignment horizontal="left" vertical="center" wrapText="1"/>
    </xf>
    <xf numFmtId="0" fontId="91" fillId="0" borderId="0" xfId="0" applyFont="1" applyAlignment="1">
      <alignment horizontal="left" vertical="top" wrapText="1"/>
    </xf>
    <xf numFmtId="0" fontId="91" fillId="0" borderId="0" xfId="0" applyFont="1" applyAlignment="1">
      <alignment vertical="top"/>
    </xf>
    <xf numFmtId="49" fontId="91" fillId="0" borderId="0" xfId="0" applyNumberFormat="1" applyFont="1" applyAlignment="1">
      <alignment horizontal="left" vertical="top" wrapText="1"/>
    </xf>
    <xf numFmtId="0" fontId="132" fillId="0" borderId="0" xfId="0" applyFont="1" applyAlignment="1">
      <alignment horizontal="left" vertical="top" wrapText="1"/>
    </xf>
    <xf numFmtId="0" fontId="90" fillId="0" borderId="0" xfId="0" applyFont="1" applyAlignment="1">
      <alignment horizontal="center" vertical="top" wrapText="1"/>
    </xf>
    <xf numFmtId="0" fontId="81" fillId="0" borderId="0" xfId="0" applyFont="1" applyAlignment="1">
      <alignment horizontal="center" vertical="top" wrapText="1"/>
    </xf>
    <xf numFmtId="0" fontId="90" fillId="0" borderId="19" xfId="0" applyFont="1" applyBorder="1" applyAlignment="1">
      <alignment horizontal="center" vertical="center" wrapText="1"/>
    </xf>
    <xf numFmtId="0" fontId="134" fillId="0" borderId="19" xfId="0" applyFont="1" applyBorder="1" applyAlignment="1">
      <alignment horizontal="center" vertical="center" wrapText="1"/>
    </xf>
    <xf numFmtId="49" fontId="91" fillId="0" borderId="21" xfId="0" applyNumberFormat="1" applyFont="1" applyBorder="1" applyAlignment="1">
      <alignment horizontal="center" vertical="top"/>
    </xf>
    <xf numFmtId="9" fontId="90" fillId="0" borderId="21" xfId="22" applyFont="1" applyBorder="1" applyAlignment="1">
      <alignment horizontal="center" vertical="center"/>
    </xf>
    <xf numFmtId="49" fontId="91" fillId="0" borderId="14" xfId="0" applyNumberFormat="1" applyFont="1" applyBorder="1" applyAlignment="1">
      <alignment horizontal="center" vertical="top"/>
    </xf>
    <xf numFmtId="9" fontId="90" fillId="0" borderId="14" xfId="22" applyFont="1" applyBorder="1" applyAlignment="1">
      <alignment horizontal="center" vertical="center"/>
    </xf>
    <xf numFmtId="166" fontId="90" fillId="0" borderId="14" xfId="0" applyNumberFormat="1" applyFont="1" applyBorder="1" applyAlignment="1">
      <alignment horizontal="center" vertical="top"/>
    </xf>
    <xf numFmtId="0" fontId="90" fillId="21" borderId="19" xfId="0" applyFont="1" applyFill="1" applyBorder="1" applyAlignment="1">
      <alignment horizontal="center" vertical="top"/>
    </xf>
    <xf numFmtId="166" fontId="90" fillId="21" borderId="19" xfId="0" applyNumberFormat="1" applyFont="1" applyFill="1" applyBorder="1" applyAlignment="1">
      <alignment horizontal="center" vertical="top"/>
    </xf>
    <xf numFmtId="9" fontId="90" fillId="21" borderId="19" xfId="22" applyFont="1" applyFill="1" applyBorder="1" applyAlignment="1">
      <alignment horizontal="center" vertical="top"/>
    </xf>
    <xf numFmtId="49" fontId="90" fillId="30" borderId="14" xfId="0" applyNumberFormat="1" applyFont="1" applyFill="1" applyBorder="1" applyAlignment="1">
      <alignment horizontal="center" vertical="top"/>
    </xf>
    <xf numFmtId="49" fontId="91" fillId="30" borderId="14" xfId="0" applyNumberFormat="1" applyFont="1" applyFill="1" applyBorder="1" applyAlignment="1">
      <alignment horizontal="center" vertical="center" textRotation="90"/>
    </xf>
    <xf numFmtId="0" fontId="90" fillId="30" borderId="14" xfId="0" applyFont="1" applyFill="1" applyBorder="1" applyAlignment="1">
      <alignment horizontal="center" vertical="top"/>
    </xf>
    <xf numFmtId="166" fontId="90" fillId="30" borderId="14" xfId="0" applyNumberFormat="1" applyFont="1" applyFill="1" applyBorder="1" applyAlignment="1">
      <alignment horizontal="center" vertical="top"/>
    </xf>
    <xf numFmtId="9" fontId="90" fillId="30" borderId="14" xfId="22" applyFont="1" applyFill="1" applyBorder="1" applyAlignment="1">
      <alignment horizontal="center" vertical="top"/>
    </xf>
    <xf numFmtId="0" fontId="91" fillId="0" borderId="6" xfId="0" applyFont="1" applyBorder="1" applyAlignment="1">
      <alignment horizontal="center" vertical="top"/>
    </xf>
    <xf numFmtId="9" fontId="90" fillId="0" borderId="14" xfId="22" applyFont="1" applyBorder="1" applyAlignment="1">
      <alignment horizontal="center" vertical="top"/>
    </xf>
    <xf numFmtId="166" fontId="90" fillId="0" borderId="8" xfId="0" applyNumberFormat="1" applyFont="1" applyBorder="1" applyAlignment="1">
      <alignment horizontal="center" vertical="top"/>
    </xf>
    <xf numFmtId="166" fontId="90" fillId="0" borderId="15" xfId="0" applyNumberFormat="1" applyFont="1" applyBorder="1" applyAlignment="1">
      <alignment horizontal="center" vertical="top"/>
    </xf>
    <xf numFmtId="166" fontId="90" fillId="0" borderId="19" xfId="0" applyNumberFormat="1" applyFont="1" applyBorder="1" applyAlignment="1">
      <alignment horizontal="center" vertical="top"/>
    </xf>
    <xf numFmtId="0" fontId="90" fillId="21" borderId="6" xfId="0" applyFont="1" applyFill="1" applyBorder="1" applyAlignment="1">
      <alignment horizontal="center" vertical="top"/>
    </xf>
    <xf numFmtId="166" fontId="90" fillId="21" borderId="14" xfId="0" applyNumberFormat="1" applyFont="1" applyFill="1" applyBorder="1" applyAlignment="1">
      <alignment horizontal="center" vertical="top"/>
    </xf>
    <xf numFmtId="9" fontId="90" fillId="21" borderId="14" xfId="22" applyFont="1" applyFill="1" applyBorder="1" applyAlignment="1">
      <alignment horizontal="center" vertical="top"/>
    </xf>
    <xf numFmtId="166" fontId="90" fillId="21" borderId="15" xfId="0" applyNumberFormat="1" applyFont="1" applyFill="1" applyBorder="1" applyAlignment="1">
      <alignment horizontal="center" vertical="top"/>
    </xf>
    <xf numFmtId="166" fontId="90" fillId="0" borderId="21" xfId="0" applyNumberFormat="1" applyFont="1" applyBorder="1" applyAlignment="1">
      <alignment horizontal="center" vertical="top"/>
    </xf>
    <xf numFmtId="0" fontId="90" fillId="21" borderId="7" xfId="0" applyFont="1" applyFill="1" applyBorder="1" applyAlignment="1">
      <alignment horizontal="center" vertical="top"/>
    </xf>
    <xf numFmtId="0" fontId="90" fillId="18" borderId="14" xfId="0" applyFont="1" applyFill="1" applyBorder="1" applyAlignment="1">
      <alignment horizontal="center" vertical="center" wrapText="1"/>
    </xf>
    <xf numFmtId="0" fontId="90" fillId="17" borderId="15" xfId="0" applyFont="1" applyFill="1" applyBorder="1" applyAlignment="1">
      <alignment horizontal="center" vertical="center" wrapText="1"/>
    </xf>
    <xf numFmtId="0" fontId="91" fillId="17" borderId="35" xfId="0" applyFont="1" applyFill="1" applyBorder="1"/>
    <xf numFmtId="0" fontId="91" fillId="17" borderId="17" xfId="0" applyFont="1" applyFill="1" applyBorder="1"/>
    <xf numFmtId="0" fontId="90" fillId="0" borderId="0" xfId="0" applyFont="1" applyAlignment="1">
      <alignment horizontal="right"/>
    </xf>
    <xf numFmtId="9" fontId="90" fillId="0" borderId="21" xfId="22" applyFont="1" applyBorder="1" applyAlignment="1">
      <alignment horizontal="center" vertical="center" wrapText="1"/>
    </xf>
    <xf numFmtId="166" fontId="90" fillId="0" borderId="0" xfId="0" applyNumberFormat="1" applyFont="1" applyAlignment="1">
      <alignment horizontal="center" vertical="center" wrapText="1"/>
    </xf>
    <xf numFmtId="166" fontId="133" fillId="0" borderId="36" xfId="0" applyNumberFormat="1" applyFont="1" applyBorder="1" applyAlignment="1">
      <alignment horizontal="center" vertical="center" wrapText="1"/>
    </xf>
    <xf numFmtId="0" fontId="91" fillId="0" borderId="0" xfId="0" applyFont="1" applyAlignment="1">
      <alignment horizontal="right"/>
    </xf>
    <xf numFmtId="166" fontId="90" fillId="0" borderId="0" xfId="0" applyNumberFormat="1" applyFont="1" applyAlignment="1">
      <alignment horizontal="center" vertical="center"/>
    </xf>
    <xf numFmtId="166" fontId="133" fillId="0" borderId="0" xfId="0" applyNumberFormat="1" applyFont="1" applyAlignment="1">
      <alignment horizontal="center" vertical="center" wrapText="1"/>
    </xf>
    <xf numFmtId="9" fontId="90" fillId="31" borderId="21" xfId="22" applyFont="1" applyFill="1" applyBorder="1" applyAlignment="1">
      <alignment horizontal="center" vertical="center" wrapText="1"/>
    </xf>
    <xf numFmtId="166" fontId="90" fillId="0" borderId="7" xfId="0" applyNumberFormat="1" applyFont="1" applyBorder="1" applyAlignment="1">
      <alignment horizontal="center" vertical="center"/>
    </xf>
    <xf numFmtId="9" fontId="90" fillId="0" borderId="21" xfId="22" applyFont="1" applyFill="1" applyBorder="1" applyAlignment="1">
      <alignment horizontal="center" vertical="center" wrapText="1"/>
    </xf>
    <xf numFmtId="166" fontId="90" fillId="0" borderId="65" xfId="0" applyNumberFormat="1" applyFont="1" applyBorder="1" applyAlignment="1">
      <alignment horizontal="center" vertical="center" wrapText="1"/>
    </xf>
    <xf numFmtId="9" fontId="90" fillId="0" borderId="14" xfId="22" applyFont="1" applyBorder="1" applyAlignment="1">
      <alignment horizontal="center" vertical="center" wrapText="1"/>
    </xf>
    <xf numFmtId="9" fontId="90" fillId="0" borderId="15" xfId="22" applyFont="1" applyBorder="1" applyAlignment="1">
      <alignment horizontal="center" vertical="center" wrapText="1"/>
    </xf>
    <xf numFmtId="0" fontId="90" fillId="30" borderId="14" xfId="0" applyFont="1" applyFill="1" applyBorder="1" applyAlignment="1">
      <alignment horizontal="left" vertical="center" wrapText="1"/>
    </xf>
    <xf numFmtId="0" fontId="90" fillId="30" borderId="14" xfId="0" applyFont="1" applyFill="1" applyBorder="1" applyAlignment="1">
      <alignment horizontal="center" vertical="center" textRotation="90" wrapText="1"/>
    </xf>
    <xf numFmtId="166" fontId="90" fillId="30" borderId="14" xfId="0" applyNumberFormat="1" applyFont="1" applyFill="1" applyBorder="1" applyAlignment="1">
      <alignment horizontal="center" vertical="center" wrapText="1"/>
    </xf>
    <xf numFmtId="9" fontId="90" fillId="30" borderId="14" xfId="22" applyFont="1" applyFill="1" applyBorder="1" applyAlignment="1">
      <alignment horizontal="center" vertical="center" wrapText="1"/>
    </xf>
    <xf numFmtId="49" fontId="90" fillId="30" borderId="14" xfId="0" applyNumberFormat="1" applyFont="1" applyFill="1" applyBorder="1" applyAlignment="1">
      <alignment vertical="top" wrapText="1"/>
    </xf>
    <xf numFmtId="49" fontId="90" fillId="27" borderId="14" xfId="0" applyNumberFormat="1" applyFont="1" applyFill="1" applyBorder="1" applyAlignment="1">
      <alignment horizontal="center" vertical="top"/>
    </xf>
    <xf numFmtId="49" fontId="91" fillId="27" borderId="14" xfId="0" applyNumberFormat="1" applyFont="1" applyFill="1" applyBorder="1" applyAlignment="1">
      <alignment vertical="top" wrapText="1"/>
    </xf>
    <xf numFmtId="49" fontId="91" fillId="27" borderId="14" xfId="0" applyNumberFormat="1" applyFont="1" applyFill="1" applyBorder="1" applyAlignment="1">
      <alignment horizontal="center" vertical="center" textRotation="90"/>
    </xf>
    <xf numFmtId="0" fontId="90" fillId="27" borderId="14" xfId="0" applyFont="1" applyFill="1" applyBorder="1" applyAlignment="1">
      <alignment horizontal="center" vertical="top"/>
    </xf>
    <xf numFmtId="166" fontId="90" fillId="27" borderId="14" xfId="0" applyNumberFormat="1" applyFont="1" applyFill="1" applyBorder="1" applyAlignment="1">
      <alignment horizontal="center" vertical="top"/>
    </xf>
    <xf numFmtId="166" fontId="91" fillId="27" borderId="14" xfId="0" applyNumberFormat="1" applyFont="1" applyFill="1" applyBorder="1" applyAlignment="1">
      <alignment horizontal="center" vertical="top"/>
    </xf>
    <xf numFmtId="166" fontId="91" fillId="27" borderId="14" xfId="0" applyNumberFormat="1" applyFont="1" applyFill="1" applyBorder="1" applyAlignment="1">
      <alignment horizontal="center" vertical="center"/>
    </xf>
    <xf numFmtId="166" fontId="91" fillId="27" borderId="14" xfId="0" applyNumberFormat="1" applyFont="1" applyFill="1" applyBorder="1" applyAlignment="1">
      <alignment horizontal="left" vertical="center" wrapText="1"/>
    </xf>
    <xf numFmtId="49" fontId="91" fillId="27" borderId="14" xfId="0" applyNumberFormat="1" applyFont="1" applyFill="1" applyBorder="1" applyAlignment="1">
      <alignment horizontal="center" vertical="center" wrapText="1"/>
    </xf>
    <xf numFmtId="49" fontId="91" fillId="27" borderId="21" xfId="0" applyNumberFormat="1" applyFont="1" applyFill="1" applyBorder="1" applyAlignment="1">
      <alignment horizontal="center" vertical="top" wrapText="1"/>
    </xf>
    <xf numFmtId="166" fontId="91" fillId="30" borderId="14" xfId="0" applyNumberFormat="1" applyFont="1" applyFill="1" applyBorder="1" applyAlignment="1">
      <alignment horizontal="left" vertical="center"/>
    </xf>
    <xf numFmtId="49" fontId="90" fillId="0" borderId="21" xfId="0" applyNumberFormat="1" applyFont="1" applyBorder="1" applyAlignment="1">
      <alignment vertical="top" wrapText="1"/>
    </xf>
    <xf numFmtId="166" fontId="91" fillId="31" borderId="14" xfId="0" applyNumberFormat="1" applyFont="1" applyFill="1" applyBorder="1" applyAlignment="1">
      <alignment horizontal="center" vertical="center"/>
    </xf>
    <xf numFmtId="49" fontId="91" fillId="0" borderId="0" xfId="0" applyNumberFormat="1" applyFont="1"/>
    <xf numFmtId="0" fontId="76" fillId="0" borderId="0" xfId="0" applyFont="1" applyAlignment="1">
      <alignment horizontal="center" vertical="top"/>
    </xf>
    <xf numFmtId="0" fontId="76" fillId="0" borderId="0" xfId="0" applyFont="1" applyAlignment="1">
      <alignment horizontal="center"/>
    </xf>
    <xf numFmtId="0" fontId="72" fillId="0" borderId="0" xfId="0" applyFont="1" applyAlignment="1">
      <alignment horizontal="center" vertical="top" wrapText="1"/>
    </xf>
    <xf numFmtId="0" fontId="91" fillId="0" borderId="0" xfId="0" applyFont="1" applyAlignment="1">
      <alignment horizontal="center"/>
    </xf>
    <xf numFmtId="0" fontId="134" fillId="0" borderId="14" xfId="0" applyFont="1" applyBorder="1" applyAlignment="1">
      <alignment horizontal="center" vertical="center" wrapText="1"/>
    </xf>
    <xf numFmtId="0" fontId="90" fillId="30" borderId="21" xfId="0" applyFont="1" applyFill="1" applyBorder="1" applyAlignment="1">
      <alignment horizontal="center" vertical="center" wrapText="1"/>
    </xf>
    <xf numFmtId="49" fontId="91" fillId="0" borderId="21" xfId="0" applyNumberFormat="1" applyFont="1" applyBorder="1" applyAlignment="1">
      <alignment vertical="top" wrapText="1"/>
    </xf>
    <xf numFmtId="49" fontId="91" fillId="0" borderId="14" xfId="0" applyNumberFormat="1" applyFont="1" applyBorder="1" applyAlignment="1">
      <alignment vertical="top" wrapText="1"/>
    </xf>
    <xf numFmtId="0" fontId="90" fillId="21" borderId="14" xfId="0" applyFont="1" applyFill="1" applyBorder="1" applyAlignment="1">
      <alignment horizontal="center" vertical="top"/>
    </xf>
    <xf numFmtId="166" fontId="90" fillId="21" borderId="21" xfId="0" applyNumberFormat="1" applyFont="1" applyFill="1" applyBorder="1" applyAlignment="1">
      <alignment horizontal="center" vertical="center"/>
    </xf>
    <xf numFmtId="9" fontId="90" fillId="21" borderId="21" xfId="22" applyFont="1" applyFill="1" applyBorder="1" applyAlignment="1">
      <alignment horizontal="center" vertical="center"/>
    </xf>
    <xf numFmtId="49" fontId="91" fillId="31" borderId="21" xfId="0" applyNumberFormat="1" applyFont="1" applyFill="1" applyBorder="1" applyAlignment="1">
      <alignment vertical="top" wrapText="1"/>
    </xf>
    <xf numFmtId="49" fontId="91" fillId="31" borderId="21" xfId="0" applyNumberFormat="1" applyFont="1" applyFill="1" applyBorder="1" applyAlignment="1">
      <alignment horizontal="center" vertical="top"/>
    </xf>
    <xf numFmtId="9" fontId="91" fillId="31" borderId="14" xfId="22" applyFont="1" applyFill="1" applyBorder="1" applyAlignment="1">
      <alignment horizontal="center" vertical="center"/>
    </xf>
    <xf numFmtId="49" fontId="90" fillId="31" borderId="21" xfId="0" applyNumberFormat="1" applyFont="1" applyFill="1" applyBorder="1" applyAlignment="1">
      <alignment vertical="top" wrapText="1"/>
    </xf>
    <xf numFmtId="0" fontId="134" fillId="31" borderId="14" xfId="0" applyFont="1" applyFill="1" applyBorder="1" applyAlignment="1">
      <alignment vertical="center" wrapText="1"/>
    </xf>
    <xf numFmtId="49" fontId="91" fillId="31" borderId="14" xfId="0" applyNumberFormat="1" applyFont="1" applyFill="1" applyBorder="1" applyAlignment="1">
      <alignment vertical="top" wrapText="1"/>
    </xf>
    <xf numFmtId="49" fontId="90" fillId="31" borderId="14" xfId="0" applyNumberFormat="1" applyFont="1" applyFill="1" applyBorder="1" applyAlignment="1">
      <alignment vertical="top" wrapText="1"/>
    </xf>
    <xf numFmtId="49" fontId="91" fillId="31" borderId="14" xfId="0" applyNumberFormat="1" applyFont="1" applyFill="1" applyBorder="1" applyAlignment="1">
      <alignment horizontal="center" vertical="top"/>
    </xf>
    <xf numFmtId="0" fontId="90" fillId="31" borderId="14" xfId="0" applyFont="1" applyFill="1" applyBorder="1" applyAlignment="1">
      <alignment horizontal="center" vertical="top"/>
    </xf>
    <xf numFmtId="166" fontId="91" fillId="31" borderId="14" xfId="0" applyNumberFormat="1" applyFont="1" applyFill="1" applyBorder="1" applyAlignment="1">
      <alignment horizontal="center" vertical="top"/>
    </xf>
    <xf numFmtId="166" fontId="90" fillId="31" borderId="14" xfId="0" applyNumberFormat="1" applyFont="1" applyFill="1" applyBorder="1" applyAlignment="1">
      <alignment horizontal="center" vertical="top"/>
    </xf>
    <xf numFmtId="9" fontId="90" fillId="31" borderId="14" xfId="22" applyFont="1" applyFill="1" applyBorder="1" applyAlignment="1">
      <alignment horizontal="center" vertical="center"/>
    </xf>
    <xf numFmtId="9" fontId="90" fillId="21" borderId="14" xfId="22" applyFont="1" applyFill="1" applyBorder="1" applyAlignment="1">
      <alignment horizontal="center" vertical="center"/>
    </xf>
    <xf numFmtId="49" fontId="90" fillId="27" borderId="0" xfId="0" applyNumberFormat="1" applyFont="1" applyFill="1" applyAlignment="1">
      <alignment horizontal="center" vertical="top"/>
    </xf>
    <xf numFmtId="49" fontId="90" fillId="27" borderId="19" xfId="0" applyNumberFormat="1" applyFont="1" applyFill="1" applyBorder="1" applyAlignment="1">
      <alignment vertical="top" wrapText="1"/>
    </xf>
    <xf numFmtId="49" fontId="91" fillId="27" borderId="19" xfId="0" applyNumberFormat="1" applyFont="1" applyFill="1" applyBorder="1" applyAlignment="1">
      <alignment horizontal="center" vertical="center" textRotation="90"/>
    </xf>
    <xf numFmtId="0" fontId="90" fillId="27" borderId="19" xfId="0" applyFont="1" applyFill="1" applyBorder="1" applyAlignment="1">
      <alignment horizontal="center" vertical="top"/>
    </xf>
    <xf numFmtId="166" fontId="90" fillId="27" borderId="19" xfId="0" applyNumberFormat="1" applyFont="1" applyFill="1" applyBorder="1" applyAlignment="1">
      <alignment horizontal="center" vertical="top"/>
    </xf>
    <xf numFmtId="9" fontId="90" fillId="27" borderId="24" xfId="22" applyFont="1" applyFill="1" applyBorder="1" applyAlignment="1">
      <alignment horizontal="center" vertical="center"/>
    </xf>
    <xf numFmtId="166" fontId="90" fillId="27" borderId="21" xfId="0" applyNumberFormat="1" applyFont="1" applyFill="1" applyBorder="1" applyAlignment="1">
      <alignment horizontal="center" vertical="top"/>
    </xf>
    <xf numFmtId="0" fontId="90" fillId="27" borderId="21" xfId="0" applyFont="1" applyFill="1" applyBorder="1" applyAlignment="1">
      <alignment horizontal="center" vertical="center"/>
    </xf>
    <xf numFmtId="166" fontId="91" fillId="27" borderId="21" xfId="0" applyNumberFormat="1" applyFont="1" applyFill="1" applyBorder="1" applyAlignment="1">
      <alignment horizontal="left" vertical="center" wrapText="1"/>
    </xf>
    <xf numFmtId="49" fontId="90" fillId="27" borderId="21" xfId="0" applyNumberFormat="1" applyFont="1" applyFill="1" applyBorder="1" applyAlignment="1">
      <alignment vertical="top" wrapText="1"/>
    </xf>
    <xf numFmtId="49" fontId="91" fillId="27" borderId="21" xfId="0" applyNumberFormat="1" applyFont="1" applyFill="1" applyBorder="1" applyAlignment="1">
      <alignment vertical="top" wrapText="1"/>
    </xf>
    <xf numFmtId="0" fontId="134" fillId="27" borderId="24" xfId="0" applyFont="1" applyFill="1" applyBorder="1" applyAlignment="1">
      <alignment horizontal="center" vertical="center" wrapText="1"/>
    </xf>
    <xf numFmtId="166" fontId="90" fillId="30" borderId="21" xfId="0" applyNumberFormat="1" applyFont="1" applyFill="1" applyBorder="1" applyAlignment="1">
      <alignment horizontal="center" vertical="top"/>
    </xf>
    <xf numFmtId="0" fontId="90" fillId="30" borderId="21" xfId="0" applyFont="1" applyFill="1" applyBorder="1" applyAlignment="1">
      <alignment horizontal="center" vertical="center"/>
    </xf>
    <xf numFmtId="166" fontId="90" fillId="30" borderId="21" xfId="0" applyNumberFormat="1" applyFont="1" applyFill="1" applyBorder="1" applyAlignment="1">
      <alignment horizontal="left" vertical="center"/>
    </xf>
    <xf numFmtId="49" fontId="90" fillId="30" borderId="21" xfId="0" applyNumberFormat="1" applyFont="1" applyFill="1" applyBorder="1" applyAlignment="1">
      <alignment vertical="top" wrapText="1"/>
    </xf>
    <xf numFmtId="49" fontId="91" fillId="30" borderId="14" xfId="0" applyNumberFormat="1" applyFont="1" applyFill="1" applyBorder="1" applyAlignment="1">
      <alignment horizontal="center" vertical="center" wrapText="1"/>
    </xf>
    <xf numFmtId="49" fontId="91" fillId="0" borderId="21" xfId="0" applyNumberFormat="1" applyFont="1" applyBorder="1" applyAlignment="1">
      <alignment horizontal="center" vertical="center" wrapText="1"/>
    </xf>
    <xf numFmtId="49" fontId="90" fillId="31" borderId="14" xfId="0" applyNumberFormat="1" applyFont="1" applyFill="1" applyBorder="1" applyAlignment="1">
      <alignment horizontal="center" vertical="top"/>
    </xf>
    <xf numFmtId="0" fontId="91" fillId="32" borderId="11" xfId="0" applyFont="1" applyFill="1" applyBorder="1" applyAlignment="1">
      <alignment vertical="top" wrapText="1"/>
    </xf>
    <xf numFmtId="0" fontId="91" fillId="32" borderId="6" xfId="0" applyFont="1" applyFill="1" applyBorder="1" applyAlignment="1">
      <alignment horizontal="center" vertical="center" textRotation="90" wrapText="1"/>
    </xf>
    <xf numFmtId="0" fontId="90" fillId="31" borderId="6" xfId="0" applyFont="1" applyFill="1" applyBorder="1" applyAlignment="1">
      <alignment horizontal="center" vertical="top"/>
    </xf>
    <xf numFmtId="9" fontId="91" fillId="31" borderId="21" xfId="22" applyFont="1" applyFill="1" applyBorder="1" applyAlignment="1">
      <alignment horizontal="center" vertical="center"/>
    </xf>
    <xf numFmtId="166" fontId="91" fillId="31" borderId="14" xfId="0" applyNumberFormat="1" applyFont="1" applyFill="1" applyBorder="1" applyAlignment="1">
      <alignment horizontal="left" vertical="top"/>
    </xf>
    <xf numFmtId="49" fontId="91" fillId="31" borderId="19" xfId="0" applyNumberFormat="1" applyFont="1" applyFill="1" applyBorder="1" applyAlignment="1">
      <alignment vertical="top" wrapText="1"/>
    </xf>
    <xf numFmtId="166" fontId="91" fillId="31" borderId="14" xfId="0" applyNumberFormat="1" applyFont="1" applyFill="1" applyBorder="1" applyAlignment="1">
      <alignment horizontal="left" vertical="top" wrapText="1"/>
    </xf>
    <xf numFmtId="49" fontId="90" fillId="31" borderId="6" xfId="0" applyNumberFormat="1" applyFont="1" applyFill="1" applyBorder="1" applyAlignment="1">
      <alignment horizontal="center" vertical="top"/>
    </xf>
    <xf numFmtId="0" fontId="91" fillId="32" borderId="34" xfId="0" applyFont="1" applyFill="1" applyBorder="1" applyAlignment="1">
      <alignment vertical="top" wrapText="1"/>
    </xf>
    <xf numFmtId="0" fontId="91" fillId="32" borderId="7" xfId="0" applyFont="1" applyFill="1" applyBorder="1" applyAlignment="1">
      <alignment horizontal="center" vertical="center" textRotation="90" wrapText="1"/>
    </xf>
    <xf numFmtId="0" fontId="91" fillId="31" borderId="7" xfId="0" applyFont="1" applyFill="1" applyBorder="1" applyAlignment="1">
      <alignment horizontal="center" vertical="top"/>
    </xf>
    <xf numFmtId="166" fontId="91" fillId="31" borderId="19" xfId="0" applyNumberFormat="1" applyFont="1" applyFill="1" applyBorder="1" applyAlignment="1">
      <alignment horizontal="center" vertical="top"/>
    </xf>
    <xf numFmtId="166" fontId="91" fillId="31" borderId="29" xfId="0" applyNumberFormat="1" applyFont="1" applyFill="1" applyBorder="1" applyAlignment="1">
      <alignment horizontal="center" vertical="top"/>
    </xf>
    <xf numFmtId="9" fontId="91" fillId="31" borderId="21" xfId="22" applyFont="1" applyFill="1" applyBorder="1" applyAlignment="1">
      <alignment horizontal="center" vertical="top"/>
    </xf>
    <xf numFmtId="0" fontId="91" fillId="32" borderId="14" xfId="0" applyFont="1" applyFill="1" applyBorder="1" applyAlignment="1">
      <alignment vertical="top" wrapText="1"/>
    </xf>
    <xf numFmtId="0" fontId="91" fillId="32" borderId="14" xfId="0" applyFont="1" applyFill="1" applyBorder="1" applyAlignment="1">
      <alignment horizontal="center" vertical="center" textRotation="90" wrapText="1"/>
    </xf>
    <xf numFmtId="166" fontId="90" fillId="31" borderId="19" xfId="0" applyNumberFormat="1" applyFont="1" applyFill="1" applyBorder="1" applyAlignment="1">
      <alignment horizontal="center" vertical="top"/>
    </xf>
    <xf numFmtId="0" fontId="91" fillId="0" borderId="14" xfId="0" applyFont="1" applyBorder="1" applyAlignment="1">
      <alignment horizontal="center" vertical="top"/>
    </xf>
    <xf numFmtId="49" fontId="90" fillId="31" borderId="21" xfId="0" applyNumberFormat="1" applyFont="1" applyFill="1" applyBorder="1" applyAlignment="1">
      <alignment horizontal="center" vertical="center" wrapText="1"/>
    </xf>
    <xf numFmtId="49" fontId="91" fillId="17" borderId="14" xfId="0" applyNumberFormat="1" applyFont="1" applyFill="1" applyBorder="1" applyAlignment="1">
      <alignment vertical="center" wrapText="1"/>
    </xf>
    <xf numFmtId="49" fontId="90" fillId="31" borderId="29" xfId="0" applyNumberFormat="1" applyFont="1" applyFill="1" applyBorder="1" applyAlignment="1">
      <alignment horizontal="center" vertical="top"/>
    </xf>
    <xf numFmtId="0" fontId="91" fillId="32" borderId="19" xfId="0" applyFont="1" applyFill="1" applyBorder="1" applyAlignment="1">
      <alignment vertical="top" wrapText="1"/>
    </xf>
    <xf numFmtId="0" fontId="91" fillId="32" borderId="19" xfId="0" applyFont="1" applyFill="1" applyBorder="1" applyAlignment="1">
      <alignment horizontal="center" vertical="center" textRotation="90" wrapText="1"/>
    </xf>
    <xf numFmtId="0" fontId="91" fillId="31" borderId="19" xfId="0" applyFont="1" applyFill="1" applyBorder="1" applyAlignment="1">
      <alignment horizontal="center" vertical="top"/>
    </xf>
    <xf numFmtId="9" fontId="91" fillId="31" borderId="24" xfId="22" applyFont="1" applyFill="1" applyBorder="1" applyAlignment="1">
      <alignment horizontal="center" vertical="center"/>
    </xf>
    <xf numFmtId="49" fontId="90" fillId="31" borderId="24" xfId="0" applyNumberFormat="1" applyFont="1" applyFill="1" applyBorder="1" applyAlignment="1">
      <alignment vertical="top" wrapText="1"/>
    </xf>
    <xf numFmtId="49" fontId="90" fillId="31" borderId="24" xfId="0" applyNumberFormat="1" applyFont="1" applyFill="1" applyBorder="1" applyAlignment="1">
      <alignment horizontal="center" vertical="center" wrapText="1"/>
    </xf>
    <xf numFmtId="49" fontId="91" fillId="17" borderId="19" xfId="0" applyNumberFormat="1" applyFont="1" applyFill="1" applyBorder="1" applyAlignment="1">
      <alignment vertical="center" wrapText="1"/>
    </xf>
    <xf numFmtId="9" fontId="90" fillId="30" borderId="14" xfId="22" applyFont="1" applyFill="1" applyBorder="1" applyAlignment="1">
      <alignment vertical="center"/>
    </xf>
    <xf numFmtId="166" fontId="90" fillId="0" borderId="0" xfId="0" applyNumberFormat="1" applyFont="1" applyAlignment="1">
      <alignment horizontal="center" vertical="top"/>
    </xf>
    <xf numFmtId="9" fontId="90" fillId="31" borderId="21" xfId="22" applyFont="1" applyFill="1" applyBorder="1" applyAlignment="1">
      <alignment horizontal="center" vertical="center"/>
    </xf>
    <xf numFmtId="166" fontId="90" fillId="31" borderId="0" xfId="0" applyNumberFormat="1" applyFont="1" applyFill="1" applyAlignment="1">
      <alignment horizontal="center" vertical="top"/>
    </xf>
    <xf numFmtId="166" fontId="90" fillId="31" borderId="15" xfId="0" applyNumberFormat="1" applyFont="1" applyFill="1" applyBorder="1" applyAlignment="1">
      <alignment horizontal="center" vertical="top"/>
    </xf>
    <xf numFmtId="166" fontId="91" fillId="31" borderId="24" xfId="0" applyNumberFormat="1" applyFont="1" applyFill="1" applyBorder="1" applyAlignment="1">
      <alignment horizontal="left" vertical="top"/>
    </xf>
    <xf numFmtId="9" fontId="90" fillId="21" borderId="24" xfId="22" applyFont="1" applyFill="1" applyBorder="1" applyAlignment="1">
      <alignment horizontal="center" vertical="center"/>
    </xf>
    <xf numFmtId="0" fontId="91" fillId="31" borderId="14" xfId="0" applyFont="1" applyFill="1" applyBorder="1" applyAlignment="1">
      <alignment horizontal="center" vertical="top"/>
    </xf>
    <xf numFmtId="0" fontId="91" fillId="0" borderId="9" xfId="0" applyFont="1" applyBorder="1" applyAlignment="1">
      <alignment horizontal="center" vertical="top"/>
    </xf>
    <xf numFmtId="166" fontId="90" fillId="31" borderId="29" xfId="0" applyNumberFormat="1" applyFont="1" applyFill="1" applyBorder="1" applyAlignment="1">
      <alignment horizontal="center" vertical="top"/>
    </xf>
    <xf numFmtId="166" fontId="91" fillId="31" borderId="21" xfId="0" applyNumberFormat="1" applyFont="1" applyFill="1" applyBorder="1" applyAlignment="1">
      <alignment horizontal="left" vertical="top" wrapText="1"/>
    </xf>
    <xf numFmtId="166" fontId="91" fillId="31" borderId="31" xfId="0" applyNumberFormat="1" applyFont="1" applyFill="1" applyBorder="1" applyAlignment="1">
      <alignment horizontal="center" vertical="top"/>
    </xf>
    <xf numFmtId="166" fontId="91" fillId="31" borderId="21" xfId="0" applyNumberFormat="1" applyFont="1" applyFill="1" applyBorder="1" applyAlignment="1">
      <alignment horizontal="left" vertical="top"/>
    </xf>
    <xf numFmtId="0" fontId="91" fillId="0" borderId="7" xfId="0" applyFont="1" applyBorder="1" applyAlignment="1">
      <alignment horizontal="center" vertical="top"/>
    </xf>
    <xf numFmtId="49" fontId="91" fillId="17" borderId="14" xfId="0" applyNumberFormat="1" applyFont="1" applyFill="1" applyBorder="1" applyAlignment="1">
      <alignment horizontal="center" vertical="center" wrapText="1"/>
    </xf>
    <xf numFmtId="0" fontId="90" fillId="29" borderId="14" xfId="0" applyFont="1" applyFill="1" applyBorder="1" applyAlignment="1">
      <alignment vertical="top" wrapText="1"/>
    </xf>
    <xf numFmtId="0" fontId="91" fillId="29" borderId="14" xfId="0" applyFont="1" applyFill="1" applyBorder="1" applyAlignment="1">
      <alignment horizontal="center" vertical="center" textRotation="90" wrapText="1"/>
    </xf>
    <xf numFmtId="166" fontId="91" fillId="30" borderId="14" xfId="0" applyNumberFormat="1" applyFont="1" applyFill="1" applyBorder="1" applyAlignment="1">
      <alignment horizontal="left" vertical="top"/>
    </xf>
    <xf numFmtId="0" fontId="90" fillId="31" borderId="7" xfId="0" applyFont="1" applyFill="1" applyBorder="1" applyAlignment="1">
      <alignment horizontal="center" vertical="top"/>
    </xf>
    <xf numFmtId="166" fontId="90" fillId="31" borderId="31" xfId="0" applyNumberFormat="1" applyFont="1" applyFill="1" applyBorder="1" applyAlignment="1">
      <alignment horizontal="center" vertical="top"/>
    </xf>
    <xf numFmtId="0" fontId="90" fillId="31" borderId="24" xfId="0" applyFont="1" applyFill="1" applyBorder="1" applyAlignment="1">
      <alignment horizontal="center" vertical="center"/>
    </xf>
    <xf numFmtId="49" fontId="90" fillId="30" borderId="0" xfId="0" applyNumberFormat="1" applyFont="1" applyFill="1" applyAlignment="1">
      <alignment vertical="center"/>
    </xf>
    <xf numFmtId="0" fontId="90" fillId="29" borderId="14" xfId="0" applyFont="1" applyFill="1" applyBorder="1" applyAlignment="1">
      <alignment vertical="center" textRotation="90" wrapText="1"/>
    </xf>
    <xf numFmtId="166" fontId="90" fillId="30" borderId="19" xfId="0" applyNumberFormat="1" applyFont="1" applyFill="1" applyBorder="1" applyAlignment="1">
      <alignment vertical="center"/>
    </xf>
    <xf numFmtId="49" fontId="90" fillId="31" borderId="14" xfId="0" applyNumberFormat="1" applyFont="1" applyFill="1" applyBorder="1" applyAlignment="1">
      <alignment vertical="top"/>
    </xf>
    <xf numFmtId="49" fontId="91" fillId="31" borderId="14" xfId="0" applyNumberFormat="1" applyFont="1" applyFill="1" applyBorder="1" applyAlignment="1">
      <alignment vertical="top"/>
    </xf>
    <xf numFmtId="166" fontId="91" fillId="31" borderId="19" xfId="0" applyNumberFormat="1" applyFont="1" applyFill="1" applyBorder="1" applyAlignment="1">
      <alignment horizontal="left" vertical="top" wrapText="1"/>
    </xf>
    <xf numFmtId="166" fontId="91" fillId="31" borderId="15" xfId="0" applyNumberFormat="1" applyFont="1" applyFill="1" applyBorder="1" applyAlignment="1">
      <alignment horizontal="center" vertical="top"/>
    </xf>
    <xf numFmtId="0" fontId="91" fillId="31" borderId="6" xfId="0" applyFont="1" applyFill="1" applyBorder="1" applyAlignment="1">
      <alignment horizontal="center" vertical="top"/>
    </xf>
    <xf numFmtId="49" fontId="91" fillId="31" borderId="33" xfId="0" applyNumberFormat="1" applyFont="1" applyFill="1" applyBorder="1" applyAlignment="1">
      <alignment horizontal="center" vertical="center" wrapText="1"/>
    </xf>
    <xf numFmtId="166" fontId="132" fillId="31" borderId="14" xfId="0" applyNumberFormat="1" applyFont="1" applyFill="1" applyBorder="1" applyAlignment="1">
      <alignment horizontal="center" vertical="top"/>
    </xf>
    <xf numFmtId="49" fontId="91" fillId="31" borderId="19" xfId="0" applyNumberFormat="1" applyFont="1" applyFill="1" applyBorder="1" applyAlignment="1">
      <alignment horizontal="center" vertical="top"/>
    </xf>
    <xf numFmtId="166" fontId="91" fillId="0" borderId="17" xfId="0" applyNumberFormat="1" applyFont="1" applyBorder="1" applyAlignment="1">
      <alignment horizontal="center" vertical="center"/>
    </xf>
    <xf numFmtId="9" fontId="91" fillId="0" borderId="21" xfId="22" applyFont="1" applyBorder="1" applyAlignment="1">
      <alignment horizontal="center" vertical="center"/>
    </xf>
    <xf numFmtId="166" fontId="91" fillId="0" borderId="21" xfId="0" applyNumberFormat="1" applyFont="1" applyBorder="1" applyAlignment="1">
      <alignment horizontal="center" vertical="center" wrapText="1"/>
    </xf>
    <xf numFmtId="166" fontId="91" fillId="0" borderId="14" xfId="0" applyNumberFormat="1" applyFont="1" applyBorder="1" applyAlignment="1">
      <alignment horizontal="center" vertical="center"/>
    </xf>
    <xf numFmtId="166" fontId="91" fillId="31" borderId="17" xfId="0" applyNumberFormat="1" applyFont="1" applyFill="1" applyBorder="1" applyAlignment="1">
      <alignment horizontal="center" vertical="center"/>
    </xf>
    <xf numFmtId="166" fontId="91" fillId="31" borderId="15" xfId="0" applyNumberFormat="1" applyFont="1" applyFill="1" applyBorder="1" applyAlignment="1">
      <alignment horizontal="center" vertical="center"/>
    </xf>
    <xf numFmtId="166" fontId="91" fillId="0" borderId="15" xfId="0" applyNumberFormat="1" applyFont="1" applyBorder="1" applyAlignment="1">
      <alignment horizontal="center" vertical="center"/>
    </xf>
    <xf numFmtId="166" fontId="91" fillId="0" borderId="14" xfId="0" applyNumberFormat="1" applyFont="1" applyBorder="1" applyAlignment="1">
      <alignment horizontal="center" vertical="center" wrapText="1"/>
    </xf>
    <xf numFmtId="9" fontId="91" fillId="0" borderId="14" xfId="22" applyFont="1" applyBorder="1" applyAlignment="1">
      <alignment horizontal="center" vertical="center"/>
    </xf>
    <xf numFmtId="9" fontId="91" fillId="0" borderId="14" xfId="22" applyFont="1" applyBorder="1" applyAlignment="1">
      <alignment horizontal="center" vertical="center" wrapText="1"/>
    </xf>
    <xf numFmtId="166" fontId="90" fillId="30" borderId="14" xfId="0" applyNumberFormat="1" applyFont="1" applyFill="1" applyBorder="1" applyAlignment="1">
      <alignment horizontal="left" vertical="center"/>
    </xf>
    <xf numFmtId="0" fontId="90" fillId="0" borderId="0" xfId="0" applyFont="1" applyAlignment="1">
      <alignment horizontal="center" vertical="center" wrapText="1"/>
    </xf>
    <xf numFmtId="166" fontId="91" fillId="0" borderId="14" xfId="0" applyNumberFormat="1" applyFont="1" applyBorder="1" applyAlignment="1">
      <alignment horizontal="center" vertical="top"/>
    </xf>
    <xf numFmtId="9" fontId="90" fillId="0" borderId="21" xfId="22" applyFont="1" applyBorder="1" applyAlignment="1">
      <alignment horizontal="center" vertical="top"/>
    </xf>
    <xf numFmtId="166" fontId="90" fillId="0" borderId="16" xfId="0" applyNumberFormat="1" applyFont="1" applyBorder="1" applyAlignment="1">
      <alignment horizontal="center" vertical="top"/>
    </xf>
    <xf numFmtId="166" fontId="90" fillId="0" borderId="37" xfId="0" applyNumberFormat="1" applyFont="1" applyBorder="1" applyAlignment="1">
      <alignment horizontal="center" vertical="top"/>
    </xf>
    <xf numFmtId="9" fontId="90" fillId="31" borderId="14" xfId="22" applyFont="1" applyFill="1" applyBorder="1" applyAlignment="1">
      <alignment horizontal="center" vertical="top"/>
    </xf>
    <xf numFmtId="166" fontId="90" fillId="31" borderId="24" xfId="0" applyNumberFormat="1" applyFont="1" applyFill="1" applyBorder="1" applyAlignment="1">
      <alignment horizontal="center" vertical="top"/>
    </xf>
    <xf numFmtId="0" fontId="91" fillId="0" borderId="11" xfId="0" applyFont="1" applyBorder="1" applyAlignment="1">
      <alignment horizontal="center" vertical="top"/>
    </xf>
    <xf numFmtId="166" fontId="90" fillId="21" borderId="24" xfId="0" applyNumberFormat="1" applyFont="1" applyFill="1" applyBorder="1" applyAlignment="1">
      <alignment horizontal="center" vertical="top"/>
    </xf>
    <xf numFmtId="9" fontId="90" fillId="0" borderId="14" xfId="22" applyFont="1" applyFill="1" applyBorder="1" applyAlignment="1">
      <alignment horizontal="center" vertical="top"/>
    </xf>
    <xf numFmtId="166" fontId="133" fillId="0" borderId="36" xfId="0" applyNumberFormat="1" applyFont="1" applyBorder="1" applyAlignment="1">
      <alignment vertical="center" wrapText="1"/>
    </xf>
    <xf numFmtId="166" fontId="133" fillId="0" borderId="0" xfId="0" applyNumberFormat="1" applyFont="1" applyAlignment="1">
      <alignment horizontal="left" vertical="center" wrapText="1"/>
    </xf>
    <xf numFmtId="9" fontId="90" fillId="0" borderId="7" xfId="22" applyFont="1" applyBorder="1" applyAlignment="1">
      <alignment horizontal="center" vertical="center"/>
    </xf>
    <xf numFmtId="9" fontId="133" fillId="0" borderId="21" xfId="22" applyFont="1" applyBorder="1" applyAlignment="1">
      <alignment horizontal="center" vertical="center" wrapText="1"/>
    </xf>
    <xf numFmtId="49" fontId="91" fillId="0" borderId="19" xfId="0" applyNumberFormat="1" applyFont="1" applyBorder="1" applyAlignment="1">
      <alignment vertical="top" wrapText="1"/>
    </xf>
    <xf numFmtId="49" fontId="90" fillId="30" borderId="14" xfId="0" applyNumberFormat="1" applyFont="1" applyFill="1" applyBorder="1" applyAlignment="1">
      <alignment horizontal="left" vertical="top"/>
    </xf>
    <xf numFmtId="166" fontId="91" fillId="30" borderId="14" xfId="0" applyNumberFormat="1" applyFont="1" applyFill="1" applyBorder="1" applyAlignment="1">
      <alignment horizontal="left" vertical="top" wrapText="1"/>
    </xf>
    <xf numFmtId="0" fontId="91" fillId="32" borderId="7" xfId="0" applyFont="1" applyFill="1" applyBorder="1" applyAlignment="1">
      <alignment vertical="top" wrapText="1"/>
    </xf>
    <xf numFmtId="49" fontId="91" fillId="31" borderId="24" xfId="0" applyNumberFormat="1" applyFont="1" applyFill="1" applyBorder="1" applyAlignment="1">
      <alignment horizontal="center" vertical="center" wrapText="1"/>
    </xf>
    <xf numFmtId="0" fontId="90" fillId="30" borderId="14" xfId="0" applyFont="1" applyFill="1" applyBorder="1" applyAlignment="1">
      <alignment vertical="top"/>
    </xf>
    <xf numFmtId="0" fontId="90" fillId="30" borderId="14" xfId="0" applyFont="1" applyFill="1" applyBorder="1" applyAlignment="1">
      <alignment vertical="top" wrapText="1"/>
    </xf>
    <xf numFmtId="166" fontId="90" fillId="30" borderId="14" xfId="0" applyNumberFormat="1" applyFont="1" applyFill="1" applyBorder="1" applyAlignment="1">
      <alignment vertical="top"/>
    </xf>
    <xf numFmtId="9" fontId="90" fillId="30" borderId="14" xfId="22" applyFont="1" applyFill="1" applyBorder="1" applyAlignment="1">
      <alignment vertical="top"/>
    </xf>
    <xf numFmtId="49" fontId="90" fillId="30" borderId="14" xfId="0" applyNumberFormat="1" applyFont="1" applyFill="1" applyBorder="1" applyAlignment="1">
      <alignment horizontal="center" vertical="top" wrapText="1"/>
    </xf>
    <xf numFmtId="0" fontId="90" fillId="0" borderId="14" xfId="0" applyFont="1" applyBorder="1" applyAlignment="1">
      <alignment horizontal="left" vertical="top" wrapText="1"/>
    </xf>
    <xf numFmtId="49" fontId="90" fillId="0" borderId="14" xfId="0" applyNumberFormat="1" applyFont="1" applyBorder="1" applyAlignment="1">
      <alignment horizontal="left" vertical="center" wrapText="1"/>
    </xf>
    <xf numFmtId="49" fontId="91" fillId="0" borderId="17" xfId="0" applyNumberFormat="1" applyFont="1" applyBorder="1" applyAlignment="1">
      <alignment vertical="top" wrapText="1"/>
    </xf>
    <xf numFmtId="9" fontId="133" fillId="0" borderId="14" xfId="22" applyFont="1" applyBorder="1" applyAlignment="1">
      <alignment horizontal="center" vertical="center"/>
    </xf>
    <xf numFmtId="49" fontId="91" fillId="0" borderId="21" xfId="0" applyNumberFormat="1" applyFont="1" applyBorder="1" applyAlignment="1">
      <alignment horizontal="center" vertical="center"/>
    </xf>
    <xf numFmtId="49" fontId="90" fillId="30" borderId="14" xfId="0" applyNumberFormat="1" applyFont="1" applyFill="1" applyBorder="1" applyAlignment="1">
      <alignment horizontal="center" vertical="center" wrapText="1"/>
    </xf>
    <xf numFmtId="49" fontId="91" fillId="0" borderId="21" xfId="0" applyNumberFormat="1" applyFont="1" applyBorder="1" applyAlignment="1">
      <alignment vertical="center"/>
    </xf>
    <xf numFmtId="170" fontId="90" fillId="0" borderId="21" xfId="22" applyNumberFormat="1" applyFont="1" applyBorder="1" applyAlignment="1">
      <alignment vertical="center"/>
    </xf>
    <xf numFmtId="9" fontId="90" fillId="31" borderId="21" xfId="22" applyFont="1" applyFill="1" applyBorder="1" applyAlignment="1">
      <alignment vertical="center"/>
    </xf>
    <xf numFmtId="9" fontId="91" fillId="31" borderId="21" xfId="22" applyFont="1" applyFill="1" applyBorder="1" applyAlignment="1">
      <alignment vertical="center"/>
    </xf>
    <xf numFmtId="9" fontId="90" fillId="0" borderId="21" xfId="22" applyFont="1" applyBorder="1" applyAlignment="1">
      <alignment vertical="center"/>
    </xf>
    <xf numFmtId="9" fontId="90" fillId="21" borderId="14" xfId="22" applyFont="1" applyFill="1" applyBorder="1" applyAlignment="1">
      <alignment vertical="center"/>
    </xf>
    <xf numFmtId="9" fontId="90" fillId="0" borderId="14" xfId="22" applyFont="1" applyFill="1" applyBorder="1" applyAlignment="1">
      <alignment vertical="center"/>
    </xf>
    <xf numFmtId="9" fontId="90" fillId="0" borderId="14" xfId="22" applyFont="1" applyBorder="1" applyAlignment="1">
      <alignment vertical="center"/>
    </xf>
    <xf numFmtId="166" fontId="132" fillId="31" borderId="14" xfId="0" applyNumberFormat="1" applyFont="1" applyFill="1" applyBorder="1" applyAlignment="1">
      <alignment vertical="top"/>
    </xf>
    <xf numFmtId="0" fontId="91" fillId="31" borderId="0" xfId="0" applyFont="1" applyFill="1"/>
    <xf numFmtId="166" fontId="15" fillId="31" borderId="14" xfId="0" applyNumberFormat="1" applyFont="1" applyFill="1" applyBorder="1" applyAlignment="1">
      <alignment vertical="center"/>
    </xf>
    <xf numFmtId="166" fontId="15" fillId="33" borderId="14" xfId="0" applyNumberFormat="1" applyFont="1" applyFill="1" applyBorder="1" applyAlignment="1">
      <alignment vertical="center"/>
    </xf>
    <xf numFmtId="168" fontId="140" fillId="31" borderId="14" xfId="0" applyNumberFormat="1" applyFont="1" applyFill="1" applyBorder="1" applyAlignment="1">
      <alignment vertical="center"/>
    </xf>
    <xf numFmtId="0" fontId="15" fillId="31" borderId="14" xfId="0" applyFont="1" applyFill="1" applyBorder="1" applyAlignment="1">
      <alignment vertical="center" textRotation="90" wrapText="1"/>
    </xf>
    <xf numFmtId="0" fontId="15" fillId="33" borderId="14" xfId="0" applyFont="1" applyFill="1" applyBorder="1" applyAlignment="1">
      <alignment vertical="center"/>
    </xf>
    <xf numFmtId="166" fontId="15" fillId="31" borderId="15" xfId="0" applyNumberFormat="1" applyFont="1" applyFill="1" applyBorder="1" applyAlignment="1">
      <alignment vertical="center"/>
    </xf>
    <xf numFmtId="166" fontId="15" fillId="31" borderId="19" xfId="0" applyNumberFormat="1" applyFont="1" applyFill="1" applyBorder="1" applyAlignment="1">
      <alignment vertical="center"/>
    </xf>
    <xf numFmtId="0" fontId="91" fillId="0" borderId="7" xfId="0" applyFont="1" applyBorder="1" applyAlignment="1">
      <alignment vertical="center"/>
    </xf>
    <xf numFmtId="9" fontId="90" fillId="0" borderId="19" xfId="22" applyFont="1" applyBorder="1" applyAlignment="1">
      <alignment vertical="center"/>
    </xf>
    <xf numFmtId="168" fontId="141" fillId="0" borderId="14" xfId="0" applyNumberFormat="1" applyFont="1" applyBorder="1" applyAlignment="1">
      <alignment vertical="center"/>
    </xf>
    <xf numFmtId="0" fontId="15" fillId="0" borderId="14" xfId="0" applyFont="1" applyBorder="1" applyAlignment="1">
      <alignment vertical="center" textRotation="90" wrapText="1"/>
    </xf>
    <xf numFmtId="0" fontId="15" fillId="0" borderId="14" xfId="0" applyFont="1" applyBorder="1" applyAlignment="1">
      <alignment vertical="center"/>
    </xf>
    <xf numFmtId="166" fontId="142" fillId="0" borderId="14" xfId="0" applyNumberFormat="1" applyFont="1" applyBorder="1" applyAlignment="1">
      <alignment vertical="center"/>
    </xf>
    <xf numFmtId="166" fontId="142" fillId="0" borderId="15" xfId="0" applyNumberFormat="1" applyFont="1" applyBorder="1" applyAlignment="1">
      <alignment vertical="center"/>
    </xf>
    <xf numFmtId="166" fontId="91" fillId="31" borderId="24" xfId="0" applyNumberFormat="1" applyFont="1" applyFill="1" applyBorder="1" applyAlignment="1">
      <alignment vertical="center"/>
    </xf>
    <xf numFmtId="166" fontId="90" fillId="0" borderId="24" xfId="0" applyNumberFormat="1" applyFont="1" applyBorder="1" applyAlignment="1">
      <alignment vertical="center"/>
    </xf>
    <xf numFmtId="9" fontId="91" fillId="0" borderId="14" xfId="22" applyFont="1" applyBorder="1" applyAlignment="1">
      <alignment vertical="center"/>
    </xf>
    <xf numFmtId="0" fontId="91" fillId="37" borderId="6" xfId="0" applyFont="1" applyFill="1" applyBorder="1" applyAlignment="1">
      <alignment vertical="center"/>
    </xf>
    <xf numFmtId="0" fontId="90" fillId="37" borderId="6" xfId="0" applyFont="1" applyFill="1" applyBorder="1" applyAlignment="1">
      <alignment vertical="center"/>
    </xf>
    <xf numFmtId="166" fontId="90" fillId="31" borderId="65" xfId="0" applyNumberFormat="1" applyFont="1" applyFill="1" applyBorder="1" applyAlignment="1">
      <alignment vertical="center"/>
    </xf>
    <xf numFmtId="166" fontId="90" fillId="21" borderId="8" xfId="0" applyNumberFormat="1" applyFont="1" applyFill="1" applyBorder="1" applyAlignment="1">
      <alignment vertical="center"/>
    </xf>
    <xf numFmtId="43" fontId="91" fillId="0" borderId="15" xfId="21" applyFont="1" applyFill="1" applyBorder="1" applyAlignment="1">
      <alignment vertical="center"/>
    </xf>
    <xf numFmtId="0" fontId="90" fillId="0" borderId="14" xfId="0" applyFont="1" applyBorder="1" applyAlignment="1">
      <alignment vertical="center"/>
    </xf>
    <xf numFmtId="166" fontId="132" fillId="0" borderId="0" xfId="0" applyNumberFormat="1" applyFont="1" applyAlignment="1">
      <alignment vertical="center" wrapText="1"/>
    </xf>
    <xf numFmtId="166" fontId="133" fillId="0" borderId="0" xfId="0" applyNumberFormat="1" applyFont="1" applyAlignment="1">
      <alignment vertical="center"/>
    </xf>
    <xf numFmtId="9" fontId="90" fillId="0" borderId="6" xfId="22" applyFont="1" applyFill="1" applyBorder="1" applyAlignment="1">
      <alignment vertical="center"/>
    </xf>
    <xf numFmtId="166" fontId="133" fillId="0" borderId="6" xfId="0" applyNumberFormat="1" applyFont="1" applyBorder="1" applyAlignment="1">
      <alignment vertical="center"/>
    </xf>
    <xf numFmtId="166" fontId="143" fillId="0" borderId="6" xfId="0" applyNumberFormat="1" applyFont="1" applyBorder="1" applyAlignment="1">
      <alignment vertical="center"/>
    </xf>
    <xf numFmtId="49" fontId="91" fillId="31" borderId="21" xfId="0" applyNumberFormat="1" applyFont="1" applyFill="1" applyBorder="1" applyAlignment="1">
      <alignment vertical="center"/>
    </xf>
    <xf numFmtId="49" fontId="91" fillId="31" borderId="6" xfId="0" applyNumberFormat="1" applyFont="1" applyFill="1" applyBorder="1" applyAlignment="1">
      <alignment vertical="center"/>
    </xf>
    <xf numFmtId="49" fontId="91" fillId="31" borderId="14" xfId="0" applyNumberFormat="1" applyFont="1" applyFill="1" applyBorder="1" applyAlignment="1">
      <alignment vertical="center" textRotation="90"/>
    </xf>
    <xf numFmtId="49" fontId="91" fillId="31" borderId="14" xfId="0" applyNumberFormat="1" applyFont="1" applyFill="1" applyBorder="1" applyAlignment="1">
      <alignment vertical="center"/>
    </xf>
    <xf numFmtId="49" fontId="91" fillId="31" borderId="0" xfId="0" applyNumberFormat="1" applyFont="1" applyFill="1" applyAlignment="1">
      <alignment vertical="center"/>
    </xf>
    <xf numFmtId="9" fontId="91" fillId="31" borderId="14" xfId="22" applyFont="1" applyFill="1" applyBorder="1" applyAlignment="1">
      <alignment vertical="center"/>
    </xf>
    <xf numFmtId="0" fontId="132" fillId="30" borderId="14" xfId="0" applyFont="1" applyFill="1" applyBorder="1" applyAlignment="1">
      <alignment vertical="center" wrapText="1"/>
    </xf>
    <xf numFmtId="49" fontId="140" fillId="31" borderId="6" xfId="0" applyNumberFormat="1" applyFont="1" applyFill="1" applyBorder="1" applyAlignment="1">
      <alignment vertical="center"/>
    </xf>
    <xf numFmtId="0" fontId="140" fillId="31" borderId="11" xfId="0" applyFont="1" applyFill="1" applyBorder="1" applyAlignment="1">
      <alignment vertical="center" wrapText="1"/>
    </xf>
    <xf numFmtId="0" fontId="140" fillId="31" borderId="6" xfId="0" applyFont="1" applyFill="1" applyBorder="1" applyAlignment="1">
      <alignment vertical="center" textRotation="90" wrapText="1"/>
    </xf>
    <xf numFmtId="0" fontId="140" fillId="31" borderId="6" xfId="0" applyFont="1" applyFill="1" applyBorder="1" applyAlignment="1">
      <alignment vertical="center"/>
    </xf>
    <xf numFmtId="166" fontId="140" fillId="31" borderId="14" xfId="0" applyNumberFormat="1" applyFont="1" applyFill="1" applyBorder="1" applyAlignment="1">
      <alignment vertical="center"/>
    </xf>
    <xf numFmtId="166" fontId="140" fillId="31" borderId="8" xfId="0" applyNumberFormat="1" applyFont="1" applyFill="1" applyBorder="1" applyAlignment="1">
      <alignment vertical="center"/>
    </xf>
    <xf numFmtId="166" fontId="140" fillId="31" borderId="15" xfId="0" applyNumberFormat="1" applyFont="1" applyFill="1" applyBorder="1" applyAlignment="1">
      <alignment vertical="center"/>
    </xf>
    <xf numFmtId="0" fontId="140" fillId="31" borderId="34" xfId="0" applyFont="1" applyFill="1" applyBorder="1" applyAlignment="1">
      <alignment vertical="center" wrapText="1"/>
    </xf>
    <xf numFmtId="49" fontId="140" fillId="31" borderId="8" xfId="0" applyNumberFormat="1" applyFont="1" applyFill="1" applyBorder="1" applyAlignment="1">
      <alignment vertical="center"/>
    </xf>
    <xf numFmtId="0" fontId="140" fillId="31" borderId="14" xfId="0" applyFont="1" applyFill="1" applyBorder="1" applyAlignment="1">
      <alignment vertical="center" wrapText="1"/>
    </xf>
    <xf numFmtId="0" fontId="140" fillId="31" borderId="11" xfId="0" applyFont="1" applyFill="1" applyBorder="1" applyAlignment="1">
      <alignment vertical="center" textRotation="90" wrapText="1"/>
    </xf>
    <xf numFmtId="166" fontId="140" fillId="31" borderId="0" xfId="0" applyNumberFormat="1" applyFont="1" applyFill="1" applyAlignment="1">
      <alignment vertical="center"/>
    </xf>
    <xf numFmtId="0" fontId="140" fillId="31" borderId="9" xfId="0" applyFont="1" applyFill="1" applyBorder="1" applyAlignment="1">
      <alignment vertical="center" wrapText="1"/>
    </xf>
    <xf numFmtId="1" fontId="140" fillId="31" borderId="14" xfId="0" applyNumberFormat="1" applyFont="1" applyFill="1" applyBorder="1" applyAlignment="1">
      <alignment vertical="center"/>
    </xf>
    <xf numFmtId="49" fontId="140" fillId="31" borderId="14" xfId="0" applyNumberFormat="1" applyFont="1" applyFill="1" applyBorder="1" applyAlignment="1">
      <alignment vertical="center" wrapText="1"/>
    </xf>
    <xf numFmtId="49" fontId="140" fillId="31" borderId="7" xfId="0" applyNumberFormat="1" applyFont="1" applyFill="1" applyBorder="1" applyAlignment="1">
      <alignment vertical="center"/>
    </xf>
    <xf numFmtId="0" fontId="140" fillId="31" borderId="7" xfId="0" applyFont="1" applyFill="1" applyBorder="1" applyAlignment="1">
      <alignment vertical="center" textRotation="90" wrapText="1"/>
    </xf>
    <xf numFmtId="0" fontId="140" fillId="31" borderId="7" xfId="0" applyFont="1" applyFill="1" applyBorder="1" applyAlignment="1">
      <alignment vertical="center"/>
    </xf>
    <xf numFmtId="166" fontId="140" fillId="31" borderId="19" xfId="0" applyNumberFormat="1" applyFont="1" applyFill="1" applyBorder="1" applyAlignment="1">
      <alignment vertical="center"/>
    </xf>
    <xf numFmtId="49" fontId="140" fillId="31" borderId="14" xfId="0" applyNumberFormat="1" applyFont="1" applyFill="1" applyBorder="1" applyAlignment="1">
      <alignment vertical="center"/>
    </xf>
    <xf numFmtId="0" fontId="140" fillId="31" borderId="14" xfId="0" applyFont="1" applyFill="1" applyBorder="1" applyAlignment="1">
      <alignment vertical="center" textRotation="90" wrapText="1"/>
    </xf>
    <xf numFmtId="0" fontId="140" fillId="31" borderId="14" xfId="0" applyFont="1" applyFill="1" applyBorder="1" applyAlignment="1">
      <alignment vertical="center"/>
    </xf>
    <xf numFmtId="49" fontId="140" fillId="31" borderId="19" xfId="0" applyNumberFormat="1" applyFont="1" applyFill="1" applyBorder="1" applyAlignment="1">
      <alignment vertical="center" wrapText="1"/>
    </xf>
    <xf numFmtId="49" fontId="133" fillId="31" borderId="19" xfId="0" applyNumberFormat="1" applyFont="1" applyFill="1" applyBorder="1" applyAlignment="1">
      <alignment vertical="center" wrapText="1"/>
    </xf>
    <xf numFmtId="0" fontId="15" fillId="31" borderId="14" xfId="0" applyFont="1" applyFill="1" applyBorder="1" applyAlignment="1">
      <alignment vertical="center" wrapText="1"/>
    </xf>
    <xf numFmtId="0" fontId="15" fillId="31" borderId="14" xfId="0" quotePrefix="1" applyFont="1" applyFill="1" applyBorder="1" applyAlignment="1">
      <alignment vertical="center" wrapText="1"/>
    </xf>
    <xf numFmtId="166" fontId="144" fillId="31" borderId="14" xfId="0" applyNumberFormat="1" applyFont="1" applyFill="1" applyBorder="1" applyAlignment="1">
      <alignment vertical="center"/>
    </xf>
    <xf numFmtId="166" fontId="144" fillId="33" borderId="14" xfId="0" applyNumberFormat="1" applyFont="1" applyFill="1" applyBorder="1" applyAlignment="1">
      <alignment vertical="center"/>
    </xf>
    <xf numFmtId="0" fontId="91" fillId="31" borderId="11" xfId="0" applyFont="1" applyFill="1" applyBorder="1" applyAlignment="1">
      <alignment vertical="center" wrapText="1"/>
    </xf>
    <xf numFmtId="166" fontId="15" fillId="0" borderId="14" xfId="0" applyNumberFormat="1" applyFont="1" applyBorder="1" applyAlignment="1">
      <alignment vertical="center"/>
    </xf>
    <xf numFmtId="49" fontId="91" fillId="31" borderId="14" xfId="0" applyNumberFormat="1" applyFont="1" applyFill="1" applyBorder="1" applyAlignment="1">
      <alignment horizontal="center" vertical="center" wrapText="1"/>
    </xf>
    <xf numFmtId="49" fontId="90" fillId="0" borderId="14" xfId="0" applyNumberFormat="1" applyFont="1" applyBorder="1" applyAlignment="1">
      <alignment horizontal="center" vertical="center" wrapText="1"/>
    </xf>
    <xf numFmtId="166" fontId="132" fillId="31" borderId="14" xfId="0" applyNumberFormat="1" applyFont="1" applyFill="1" applyBorder="1" applyAlignment="1">
      <alignment horizontal="center" vertical="center"/>
    </xf>
    <xf numFmtId="49" fontId="133" fillId="31" borderId="14" xfId="0" applyNumberFormat="1" applyFont="1" applyFill="1" applyBorder="1" applyAlignment="1">
      <alignment horizontal="center" vertical="center" wrapText="1"/>
    </xf>
    <xf numFmtId="49" fontId="133" fillId="31" borderId="19" xfId="0" applyNumberFormat="1" applyFont="1" applyFill="1" applyBorder="1" applyAlignment="1">
      <alignment horizontal="center" vertical="center" wrapText="1"/>
    </xf>
    <xf numFmtId="166" fontId="15" fillId="31" borderId="14" xfId="0" applyNumberFormat="1" applyFont="1" applyFill="1" applyBorder="1" applyAlignment="1">
      <alignment horizontal="center" vertical="center"/>
    </xf>
    <xf numFmtId="166" fontId="15" fillId="31" borderId="19" xfId="0" applyNumberFormat="1" applyFont="1" applyFill="1" applyBorder="1" applyAlignment="1">
      <alignment horizontal="center" vertical="center"/>
    </xf>
    <xf numFmtId="49" fontId="90" fillId="31" borderId="14" xfId="0" applyNumberFormat="1" applyFont="1" applyFill="1" applyBorder="1" applyAlignment="1">
      <alignment horizontal="center" vertical="center" wrapText="1"/>
    </xf>
    <xf numFmtId="49" fontId="76" fillId="0" borderId="0" xfId="0" applyNumberFormat="1" applyFont="1" applyAlignment="1">
      <alignment vertical="top" wrapText="1"/>
    </xf>
    <xf numFmtId="49" fontId="76" fillId="0" borderId="0" xfId="0" applyNumberFormat="1" applyFont="1"/>
    <xf numFmtId="9" fontId="90" fillId="30" borderId="14" xfId="22" applyFont="1" applyFill="1" applyBorder="1" applyAlignment="1">
      <alignment horizontal="left" vertical="center"/>
    </xf>
    <xf numFmtId="0" fontId="91" fillId="30" borderId="14" xfId="0" applyFont="1" applyFill="1" applyBorder="1" applyAlignment="1">
      <alignment horizontal="left" vertical="center"/>
    </xf>
    <xf numFmtId="49" fontId="90" fillId="30" borderId="21" xfId="0" applyNumberFormat="1" applyFont="1" applyFill="1" applyBorder="1" applyAlignment="1">
      <alignment horizontal="left" vertical="center" wrapText="1"/>
    </xf>
    <xf numFmtId="49" fontId="91" fillId="0" borderId="21" xfId="0" applyNumberFormat="1" applyFont="1" applyBorder="1" applyAlignment="1">
      <alignment horizontal="left" vertical="center"/>
    </xf>
    <xf numFmtId="166" fontId="90" fillId="0" borderId="21" xfId="0" applyNumberFormat="1" applyFont="1" applyBorder="1" applyAlignment="1">
      <alignment horizontal="left" vertical="center"/>
    </xf>
    <xf numFmtId="9" fontId="90" fillId="0" borderId="21" xfId="22" applyFont="1" applyBorder="1" applyAlignment="1">
      <alignment horizontal="left" vertical="center"/>
    </xf>
    <xf numFmtId="166" fontId="90" fillId="0" borderId="19" xfId="0" applyNumberFormat="1" applyFont="1" applyBorder="1" applyAlignment="1">
      <alignment horizontal="left" vertical="center"/>
    </xf>
    <xf numFmtId="0" fontId="90" fillId="21" borderId="14" xfId="0" applyFont="1" applyFill="1" applyBorder="1" applyAlignment="1">
      <alignment horizontal="left" vertical="center"/>
    </xf>
    <xf numFmtId="166" fontId="90" fillId="21" borderId="14" xfId="0" applyNumberFormat="1" applyFont="1" applyFill="1" applyBorder="1" applyAlignment="1">
      <alignment horizontal="left" vertical="center"/>
    </xf>
    <xf numFmtId="9" fontId="90" fillId="21" borderId="14" xfId="22" applyFont="1" applyFill="1" applyBorder="1" applyAlignment="1">
      <alignment horizontal="left" vertical="center"/>
    </xf>
    <xf numFmtId="49" fontId="91" fillId="0" borderId="14" xfId="0" applyNumberFormat="1" applyFont="1" applyBorder="1" applyAlignment="1">
      <alignment horizontal="left" vertical="center"/>
    </xf>
    <xf numFmtId="166" fontId="90" fillId="0" borderId="14" xfId="0" applyNumberFormat="1" applyFont="1" applyBorder="1" applyAlignment="1">
      <alignment horizontal="left" vertical="center"/>
    </xf>
    <xf numFmtId="166" fontId="90" fillId="0" borderId="8" xfId="0" applyNumberFormat="1" applyFont="1" applyBorder="1" applyAlignment="1">
      <alignment horizontal="left" vertical="center"/>
    </xf>
    <xf numFmtId="166" fontId="90" fillId="0" borderId="15" xfId="0" applyNumberFormat="1" applyFont="1" applyBorder="1" applyAlignment="1">
      <alignment horizontal="left" vertical="center"/>
    </xf>
    <xf numFmtId="166" fontId="90" fillId="21" borderId="19" xfId="0" applyNumberFormat="1" applyFont="1" applyFill="1" applyBorder="1" applyAlignment="1">
      <alignment horizontal="left" vertical="center"/>
    </xf>
    <xf numFmtId="49" fontId="91" fillId="31" borderId="9" xfId="0" applyNumberFormat="1" applyFont="1" applyFill="1" applyBorder="1" applyAlignment="1">
      <alignment horizontal="left" vertical="center"/>
    </xf>
    <xf numFmtId="49" fontId="91" fillId="31" borderId="21" xfId="0" applyNumberFormat="1" applyFont="1" applyFill="1" applyBorder="1" applyAlignment="1">
      <alignment horizontal="left" vertical="center" wrapText="1"/>
    </xf>
    <xf numFmtId="49" fontId="91" fillId="31" borderId="21" xfId="0" applyNumberFormat="1" applyFont="1" applyFill="1" applyBorder="1" applyAlignment="1">
      <alignment horizontal="left" vertical="center" textRotation="90"/>
    </xf>
    <xf numFmtId="0" fontId="91" fillId="31" borderId="21" xfId="0" applyFont="1" applyFill="1" applyBorder="1" applyAlignment="1">
      <alignment horizontal="left" vertical="center"/>
    </xf>
    <xf numFmtId="166" fontId="91" fillId="31" borderId="21" xfId="0" applyNumberFormat="1" applyFont="1" applyFill="1" applyBorder="1" applyAlignment="1">
      <alignment horizontal="left" vertical="center"/>
    </xf>
    <xf numFmtId="0" fontId="90" fillId="0" borderId="14" xfId="0" applyFont="1" applyBorder="1" applyAlignment="1">
      <alignment horizontal="left" vertical="center"/>
    </xf>
    <xf numFmtId="166" fontId="145" fillId="0" borderId="21" xfId="0" applyNumberFormat="1" applyFont="1" applyBorder="1" applyAlignment="1">
      <alignment horizontal="left" vertical="center"/>
    </xf>
    <xf numFmtId="49" fontId="90" fillId="30" borderId="14" xfId="0" applyNumberFormat="1" applyFont="1" applyFill="1" applyBorder="1" applyAlignment="1">
      <alignment horizontal="left" vertical="center"/>
    </xf>
    <xf numFmtId="49" fontId="90" fillId="30" borderId="14" xfId="0" applyNumberFormat="1" applyFont="1" applyFill="1" applyBorder="1" applyAlignment="1">
      <alignment horizontal="left" vertical="center" wrapText="1"/>
    </xf>
    <xf numFmtId="49" fontId="91" fillId="30" borderId="14" xfId="0" applyNumberFormat="1" applyFont="1" applyFill="1" applyBorder="1" applyAlignment="1">
      <alignment horizontal="left" vertical="center" textRotation="90"/>
    </xf>
    <xf numFmtId="0" fontId="91" fillId="0" borderId="6" xfId="0" applyFont="1" applyBorder="1" applyAlignment="1">
      <alignment horizontal="left" vertical="center"/>
    </xf>
    <xf numFmtId="166" fontId="133" fillId="0" borderId="14" xfId="0" applyNumberFormat="1" applyFont="1" applyBorder="1" applyAlignment="1">
      <alignment horizontal="left" vertical="center"/>
    </xf>
    <xf numFmtId="166" fontId="90" fillId="0" borderId="0" xfId="0" applyNumberFormat="1" applyFont="1" applyAlignment="1">
      <alignment horizontal="left" vertical="center"/>
    </xf>
    <xf numFmtId="0" fontId="90" fillId="21" borderId="6" xfId="0" applyFont="1" applyFill="1" applyBorder="1" applyAlignment="1">
      <alignment horizontal="left" vertical="center"/>
    </xf>
    <xf numFmtId="166" fontId="90" fillId="21" borderId="15" xfId="0" applyNumberFormat="1" applyFont="1" applyFill="1" applyBorder="1" applyAlignment="1">
      <alignment horizontal="left" vertical="center"/>
    </xf>
    <xf numFmtId="166" fontId="145" fillId="0" borderId="14" xfId="0" applyNumberFormat="1" applyFont="1" applyBorder="1" applyAlignment="1">
      <alignment horizontal="left" vertical="center"/>
    </xf>
    <xf numFmtId="0" fontId="90" fillId="21" borderId="7" xfId="0" applyFont="1" applyFill="1" applyBorder="1" applyAlignment="1">
      <alignment horizontal="left" vertical="center"/>
    </xf>
    <xf numFmtId="0" fontId="91" fillId="0" borderId="7" xfId="0" applyFont="1" applyBorder="1" applyAlignment="1">
      <alignment horizontal="left" vertical="center"/>
    </xf>
    <xf numFmtId="49" fontId="90" fillId="37" borderId="14" xfId="0" applyNumberFormat="1" applyFont="1" applyFill="1" applyBorder="1" applyAlignment="1">
      <alignment horizontal="left" vertical="center"/>
    </xf>
    <xf numFmtId="0" fontId="90" fillId="38" borderId="14" xfId="0" applyFont="1" applyFill="1" applyBorder="1" applyAlignment="1">
      <alignment horizontal="left" vertical="center" wrapText="1"/>
    </xf>
    <xf numFmtId="0" fontId="91" fillId="38" borderId="14" xfId="0" applyFont="1" applyFill="1" applyBorder="1" applyAlignment="1">
      <alignment horizontal="left" vertical="center" textRotation="90" wrapText="1"/>
    </xf>
    <xf numFmtId="0" fontId="90" fillId="37" borderId="14" xfId="0" applyFont="1" applyFill="1" applyBorder="1" applyAlignment="1">
      <alignment horizontal="left" vertical="center"/>
    </xf>
    <xf numFmtId="166" fontId="90" fillId="37" borderId="19" xfId="0" applyNumberFormat="1" applyFont="1" applyFill="1" applyBorder="1" applyAlignment="1">
      <alignment horizontal="left" vertical="center"/>
    </xf>
    <xf numFmtId="166" fontId="90" fillId="37" borderId="14" xfId="0" applyNumberFormat="1" applyFont="1" applyFill="1" applyBorder="1" applyAlignment="1">
      <alignment horizontal="left" vertical="center"/>
    </xf>
    <xf numFmtId="166" fontId="132" fillId="37" borderId="14" xfId="0" applyNumberFormat="1" applyFont="1" applyFill="1" applyBorder="1" applyAlignment="1">
      <alignment horizontal="left" vertical="center"/>
    </xf>
    <xf numFmtId="49" fontId="90" fillId="37" borderId="14" xfId="0" applyNumberFormat="1" applyFont="1" applyFill="1" applyBorder="1" applyAlignment="1">
      <alignment horizontal="left" vertical="center" wrapText="1"/>
    </xf>
    <xf numFmtId="49" fontId="90" fillId="37" borderId="21" xfId="0" applyNumberFormat="1" applyFont="1" applyFill="1" applyBorder="1" applyAlignment="1">
      <alignment horizontal="left" vertical="center" wrapText="1"/>
    </xf>
    <xf numFmtId="0" fontId="91" fillId="37" borderId="6" xfId="0" applyFont="1" applyFill="1" applyBorder="1" applyAlignment="1">
      <alignment horizontal="left" vertical="center"/>
    </xf>
    <xf numFmtId="166" fontId="90" fillId="37" borderId="8" xfId="0" applyNumberFormat="1" applyFont="1" applyFill="1" applyBorder="1" applyAlignment="1">
      <alignment horizontal="left" vertical="center"/>
    </xf>
    <xf numFmtId="166" fontId="90" fillId="37" borderId="15" xfId="0" applyNumberFormat="1" applyFont="1" applyFill="1" applyBorder="1" applyAlignment="1">
      <alignment horizontal="left" vertical="center"/>
    </xf>
    <xf numFmtId="0" fontId="90" fillId="37" borderId="6" xfId="0" applyFont="1" applyFill="1" applyBorder="1" applyAlignment="1">
      <alignment horizontal="left" vertical="center"/>
    </xf>
    <xf numFmtId="49" fontId="91" fillId="31" borderId="0" xfId="0" applyNumberFormat="1" applyFont="1" applyFill="1" applyAlignment="1">
      <alignment horizontal="left" vertical="center"/>
    </xf>
    <xf numFmtId="0" fontId="91" fillId="32" borderId="0" xfId="0" applyFont="1" applyFill="1" applyAlignment="1">
      <alignment horizontal="left" vertical="center" wrapText="1"/>
    </xf>
    <xf numFmtId="0" fontId="91" fillId="32" borderId="0" xfId="0" applyFont="1" applyFill="1" applyAlignment="1">
      <alignment horizontal="left" vertical="center" textRotation="90" wrapText="1"/>
    </xf>
    <xf numFmtId="0" fontId="91" fillId="31" borderId="0" xfId="0" applyFont="1" applyFill="1" applyAlignment="1">
      <alignment horizontal="left" vertical="center"/>
    </xf>
    <xf numFmtId="166" fontId="91" fillId="31" borderId="14" xfId="0" applyNumberFormat="1" applyFont="1" applyFill="1" applyBorder="1" applyAlignment="1">
      <alignment horizontal="left" vertical="center"/>
    </xf>
    <xf numFmtId="166" fontId="91" fillId="31" borderId="15" xfId="0" applyNumberFormat="1" applyFont="1" applyFill="1" applyBorder="1" applyAlignment="1">
      <alignment horizontal="left" vertical="center"/>
    </xf>
    <xf numFmtId="166" fontId="91" fillId="31" borderId="37" xfId="0" applyNumberFormat="1" applyFont="1" applyFill="1" applyBorder="1" applyAlignment="1">
      <alignment horizontal="left" vertical="center"/>
    </xf>
    <xf numFmtId="166" fontId="91" fillId="31" borderId="65" xfId="0" applyNumberFormat="1" applyFont="1" applyFill="1" applyBorder="1" applyAlignment="1">
      <alignment horizontal="left" vertical="center"/>
    </xf>
    <xf numFmtId="49" fontId="91" fillId="31" borderId="35" xfId="0" applyNumberFormat="1" applyFont="1" applyFill="1" applyBorder="1" applyAlignment="1">
      <alignment horizontal="left" vertical="center" wrapText="1"/>
    </xf>
    <xf numFmtId="49" fontId="91" fillId="31" borderId="32" xfId="0" applyNumberFormat="1" applyFont="1" applyFill="1" applyBorder="1" applyAlignment="1">
      <alignment horizontal="left" vertical="center" wrapText="1"/>
    </xf>
    <xf numFmtId="0" fontId="90" fillId="18" borderId="14" xfId="0" applyFont="1" applyFill="1" applyBorder="1" applyAlignment="1">
      <alignment horizontal="left" vertical="center" wrapText="1"/>
    </xf>
    <xf numFmtId="0" fontId="90" fillId="0" borderId="31" xfId="0" applyFont="1" applyBorder="1" applyAlignment="1">
      <alignment horizontal="left" vertical="center" wrapText="1"/>
    </xf>
    <xf numFmtId="0" fontId="90" fillId="0" borderId="0" xfId="0" applyFont="1" applyAlignment="1">
      <alignment horizontal="left" vertical="center" wrapText="1"/>
    </xf>
    <xf numFmtId="0" fontId="91" fillId="0" borderId="36" xfId="0" applyFont="1" applyBorder="1" applyAlignment="1">
      <alignment horizontal="left" vertical="center"/>
    </xf>
    <xf numFmtId="0" fontId="91" fillId="0" borderId="0" xfId="0" applyFont="1" applyAlignment="1">
      <alignment horizontal="left" vertical="center"/>
    </xf>
    <xf numFmtId="0" fontId="90" fillId="0" borderId="0" xfId="0" applyFont="1" applyAlignment="1">
      <alignment horizontal="left" vertical="center"/>
    </xf>
    <xf numFmtId="166" fontId="90" fillId="19" borderId="21" xfId="0" applyNumberFormat="1" applyFont="1" applyFill="1" applyBorder="1" applyAlignment="1">
      <alignment horizontal="left" vertical="center" wrapText="1"/>
    </xf>
    <xf numFmtId="9" fontId="90" fillId="19" borderId="21" xfId="22" applyFont="1" applyFill="1" applyBorder="1" applyAlignment="1">
      <alignment horizontal="left" vertical="center" wrapText="1"/>
    </xf>
    <xf numFmtId="166" fontId="90" fillId="0" borderId="0" xfId="0" applyNumberFormat="1" applyFont="1" applyAlignment="1">
      <alignment horizontal="left" vertical="center" wrapText="1"/>
    </xf>
    <xf numFmtId="9" fontId="90" fillId="0" borderId="21" xfId="22" applyFont="1" applyBorder="1" applyAlignment="1">
      <alignment horizontal="left" vertical="center" wrapText="1"/>
    </xf>
    <xf numFmtId="166" fontId="90" fillId="31" borderId="14" xfId="0" applyNumberFormat="1" applyFont="1" applyFill="1" applyBorder="1" applyAlignment="1">
      <alignment horizontal="left" vertical="center"/>
    </xf>
    <xf numFmtId="9" fontId="90" fillId="31" borderId="21" xfId="22" applyFont="1" applyFill="1" applyBorder="1" applyAlignment="1">
      <alignment horizontal="left" vertical="center" wrapText="1"/>
    </xf>
    <xf numFmtId="9" fontId="90" fillId="0" borderId="21" xfId="22" applyFont="1" applyFill="1" applyBorder="1" applyAlignment="1">
      <alignment horizontal="left" vertical="center" wrapText="1"/>
    </xf>
    <xf numFmtId="166" fontId="90" fillId="0" borderId="14" xfId="0" applyNumberFormat="1" applyFont="1" applyBorder="1" applyAlignment="1">
      <alignment horizontal="left" vertical="center" wrapText="1"/>
    </xf>
    <xf numFmtId="166" fontId="90" fillId="0" borderId="21" xfId="0" applyNumberFormat="1" applyFont="1" applyBorder="1" applyAlignment="1">
      <alignment horizontal="left" vertical="center" wrapText="1"/>
    </xf>
    <xf numFmtId="49" fontId="90" fillId="30" borderId="21" xfId="0" applyNumberFormat="1" applyFont="1" applyFill="1" applyBorder="1" applyAlignment="1">
      <alignment horizontal="center" vertical="center" wrapText="1"/>
    </xf>
    <xf numFmtId="49" fontId="90" fillId="37" borderId="21" xfId="0" applyNumberFormat="1" applyFont="1" applyFill="1" applyBorder="1" applyAlignment="1">
      <alignment horizontal="center" vertical="center" wrapText="1"/>
    </xf>
    <xf numFmtId="49" fontId="91" fillId="31" borderId="35" xfId="0" applyNumberFormat="1" applyFont="1" applyFill="1" applyBorder="1" applyAlignment="1">
      <alignment horizontal="center" vertical="center" wrapText="1"/>
    </xf>
    <xf numFmtId="0" fontId="91" fillId="0" borderId="36" xfId="0" applyFont="1" applyBorder="1" applyAlignment="1">
      <alignment horizontal="center" vertical="center"/>
    </xf>
    <xf numFmtId="49" fontId="91" fillId="0" borderId="21" xfId="0" applyNumberFormat="1" applyFont="1" applyBorder="1" applyAlignment="1">
      <alignment vertical="top"/>
    </xf>
    <xf numFmtId="166" fontId="90" fillId="0" borderId="21" xfId="0" applyNumberFormat="1" applyFont="1" applyBorder="1" applyAlignment="1">
      <alignment vertical="top"/>
    </xf>
    <xf numFmtId="49" fontId="91" fillId="0" borderId="14" xfId="0" applyNumberFormat="1" applyFont="1" applyBorder="1" applyAlignment="1">
      <alignment vertical="top"/>
    </xf>
    <xf numFmtId="166" fontId="90" fillId="0" borderId="14" xfId="0" applyNumberFormat="1" applyFont="1" applyBorder="1" applyAlignment="1">
      <alignment vertical="top"/>
    </xf>
    <xf numFmtId="166" fontId="90" fillId="0" borderId="8" xfId="0" applyNumberFormat="1" applyFont="1" applyBorder="1" applyAlignment="1">
      <alignment vertical="top"/>
    </xf>
    <xf numFmtId="166" fontId="90" fillId="0" borderId="15" xfId="0" applyNumberFormat="1" applyFont="1" applyBorder="1" applyAlignment="1">
      <alignment vertical="top"/>
    </xf>
    <xf numFmtId="0" fontId="90" fillId="21" borderId="14" xfId="0" applyFont="1" applyFill="1" applyBorder="1" applyAlignment="1">
      <alignment vertical="top"/>
    </xf>
    <xf numFmtId="166" fontId="90" fillId="21" borderId="14" xfId="0" applyNumberFormat="1" applyFont="1" applyFill="1" applyBorder="1" applyAlignment="1">
      <alignment vertical="top"/>
    </xf>
    <xf numFmtId="9" fontId="90" fillId="0" borderId="21" xfId="22" applyFont="1" applyBorder="1" applyAlignment="1">
      <alignment vertical="top"/>
    </xf>
    <xf numFmtId="9" fontId="90" fillId="21" borderId="14" xfId="22" applyFont="1" applyFill="1" applyBorder="1" applyAlignment="1">
      <alignment vertical="top"/>
    </xf>
    <xf numFmtId="0" fontId="91" fillId="0" borderId="6" xfId="0" applyFont="1" applyBorder="1" applyAlignment="1">
      <alignment vertical="top"/>
    </xf>
    <xf numFmtId="9" fontId="90" fillId="0" borderId="14" xfId="22" applyFont="1" applyBorder="1" applyAlignment="1">
      <alignment vertical="top"/>
    </xf>
    <xf numFmtId="0" fontId="90" fillId="21" borderId="6" xfId="0" applyFont="1" applyFill="1" applyBorder="1" applyAlignment="1">
      <alignment vertical="top"/>
    </xf>
    <xf numFmtId="166" fontId="90" fillId="21" borderId="15" xfId="0" applyNumberFormat="1" applyFont="1" applyFill="1" applyBorder="1" applyAlignment="1">
      <alignment vertical="top"/>
    </xf>
    <xf numFmtId="0" fontId="90" fillId="21" borderId="7" xfId="0" applyFont="1" applyFill="1" applyBorder="1" applyAlignment="1">
      <alignment vertical="top"/>
    </xf>
    <xf numFmtId="166" fontId="90" fillId="21" borderId="19" xfId="0" applyNumberFormat="1" applyFont="1" applyFill="1" applyBorder="1" applyAlignment="1">
      <alignment vertical="top"/>
    </xf>
    <xf numFmtId="9" fontId="90" fillId="21" borderId="19" xfId="22" applyFont="1" applyFill="1" applyBorder="1" applyAlignment="1">
      <alignment vertical="top"/>
    </xf>
    <xf numFmtId="0" fontId="91" fillId="0" borderId="7" xfId="0" applyFont="1" applyBorder="1" applyAlignment="1">
      <alignment vertical="top"/>
    </xf>
    <xf numFmtId="166" fontId="90" fillId="0" borderId="19" xfId="0" applyNumberFormat="1" applyFont="1" applyBorder="1" applyAlignment="1">
      <alignment vertical="top"/>
    </xf>
    <xf numFmtId="166" fontId="90" fillId="0" borderId="0" xfId="0" applyNumberFormat="1" applyFont="1" applyAlignment="1">
      <alignment vertical="top"/>
    </xf>
    <xf numFmtId="166" fontId="90" fillId="0" borderId="29" xfId="0" applyNumberFormat="1" applyFont="1" applyBorder="1" applyAlignment="1">
      <alignment vertical="top"/>
    </xf>
    <xf numFmtId="9" fontId="90" fillId="0" borderId="19" xfId="22" applyFont="1" applyBorder="1" applyAlignment="1">
      <alignment vertical="top"/>
    </xf>
    <xf numFmtId="166" fontId="90" fillId="0" borderId="31" xfId="0" applyNumberFormat="1" applyFont="1" applyBorder="1" applyAlignment="1">
      <alignment vertical="top"/>
    </xf>
    <xf numFmtId="166" fontId="90" fillId="21" borderId="37" xfId="0" applyNumberFormat="1" applyFont="1" applyFill="1" applyBorder="1" applyAlignment="1">
      <alignment vertical="top"/>
    </xf>
    <xf numFmtId="0" fontId="91" fillId="28" borderId="14" xfId="0" applyFont="1" applyFill="1" applyBorder="1" applyAlignment="1">
      <alignment horizontal="left" vertical="top" textRotation="90" wrapText="1"/>
    </xf>
    <xf numFmtId="0" fontId="91" fillId="27" borderId="14" xfId="0" applyFont="1" applyFill="1" applyBorder="1" applyAlignment="1">
      <alignment horizontal="left" vertical="top"/>
    </xf>
    <xf numFmtId="166" fontId="91" fillId="27" borderId="14" xfId="0" applyNumberFormat="1" applyFont="1" applyFill="1" applyBorder="1" applyAlignment="1">
      <alignment horizontal="left" vertical="top"/>
    </xf>
    <xf numFmtId="9" fontId="133" fillId="27" borderId="14" xfId="22" applyFont="1" applyFill="1" applyBorder="1" applyAlignment="1">
      <alignment vertical="top"/>
    </xf>
    <xf numFmtId="166" fontId="90" fillId="27" borderId="14" xfId="0" applyNumberFormat="1" applyFont="1" applyFill="1" applyBorder="1" applyAlignment="1">
      <alignment vertical="top"/>
    </xf>
    <xf numFmtId="166" fontId="91" fillId="27" borderId="14" xfId="0" applyNumberFormat="1" applyFont="1" applyFill="1" applyBorder="1" applyAlignment="1">
      <alignment vertical="top"/>
    </xf>
    <xf numFmtId="0" fontId="91" fillId="27" borderId="0" xfId="0" applyFont="1" applyFill="1" applyAlignment="1">
      <alignment vertical="top"/>
    </xf>
    <xf numFmtId="0" fontId="91" fillId="0" borderId="14" xfId="0" applyFont="1" applyBorder="1" applyAlignment="1">
      <alignment vertical="top"/>
    </xf>
    <xf numFmtId="0" fontId="91" fillId="0" borderId="9" xfId="0" applyFont="1" applyBorder="1" applyAlignment="1">
      <alignment vertical="top"/>
    </xf>
    <xf numFmtId="166" fontId="90" fillId="0" borderId="16" xfId="0" applyNumberFormat="1" applyFont="1" applyBorder="1" applyAlignment="1">
      <alignment vertical="top"/>
    </xf>
    <xf numFmtId="166" fontId="90" fillId="0" borderId="37" xfId="0" applyNumberFormat="1" applyFont="1" applyBorder="1" applyAlignment="1">
      <alignment vertical="top"/>
    </xf>
    <xf numFmtId="49" fontId="90" fillId="31" borderId="16" xfId="0" applyNumberFormat="1" applyFont="1" applyFill="1" applyBorder="1" applyAlignment="1">
      <alignment vertical="top"/>
    </xf>
    <xf numFmtId="0" fontId="91" fillId="32" borderId="14" xfId="0" applyFont="1" applyFill="1" applyBorder="1" applyAlignment="1">
      <alignment vertical="top" textRotation="90" wrapText="1"/>
    </xf>
    <xf numFmtId="0" fontId="90" fillId="31" borderId="14" xfId="0" applyFont="1" applyFill="1" applyBorder="1" applyAlignment="1">
      <alignment vertical="top"/>
    </xf>
    <xf numFmtId="9" fontId="90" fillId="31" borderId="14" xfId="22" applyFont="1" applyFill="1" applyBorder="1" applyAlignment="1">
      <alignment vertical="top"/>
    </xf>
    <xf numFmtId="166" fontId="90" fillId="31" borderId="14" xfId="0" applyNumberFormat="1" applyFont="1" applyFill="1" applyBorder="1" applyAlignment="1">
      <alignment vertical="top"/>
    </xf>
    <xf numFmtId="166" fontId="90" fillId="31" borderId="15" xfId="0" applyNumberFormat="1" applyFont="1" applyFill="1" applyBorder="1" applyAlignment="1">
      <alignment vertical="top"/>
    </xf>
    <xf numFmtId="166" fontId="90" fillId="31" borderId="37" xfId="0" applyNumberFormat="1" applyFont="1" applyFill="1" applyBorder="1" applyAlignment="1">
      <alignment vertical="top"/>
    </xf>
    <xf numFmtId="166" fontId="91" fillId="31" borderId="21" xfId="0" applyNumberFormat="1" applyFont="1" applyFill="1" applyBorder="1" applyAlignment="1">
      <alignment vertical="top"/>
    </xf>
    <xf numFmtId="166" fontId="90" fillId="31" borderId="21" xfId="0" applyNumberFormat="1" applyFont="1" applyFill="1" applyBorder="1" applyAlignment="1">
      <alignment vertical="top"/>
    </xf>
    <xf numFmtId="0" fontId="91" fillId="32" borderId="19" xfId="0" applyFont="1" applyFill="1" applyBorder="1" applyAlignment="1">
      <alignment vertical="top" textRotation="90" wrapText="1"/>
    </xf>
    <xf numFmtId="0" fontId="90" fillId="31" borderId="19" xfId="0" applyFont="1" applyFill="1" applyBorder="1" applyAlignment="1">
      <alignment vertical="top"/>
    </xf>
    <xf numFmtId="9" fontId="90" fillId="31" borderId="19" xfId="22" applyFont="1" applyFill="1" applyBorder="1" applyAlignment="1">
      <alignment vertical="top"/>
    </xf>
    <xf numFmtId="166" fontId="90" fillId="31" borderId="19" xfId="0" applyNumberFormat="1" applyFont="1" applyFill="1" applyBorder="1" applyAlignment="1">
      <alignment vertical="top"/>
    </xf>
    <xf numFmtId="166" fontId="90" fillId="31" borderId="31" xfId="0" applyNumberFormat="1" applyFont="1" applyFill="1" applyBorder="1" applyAlignment="1">
      <alignment vertical="top"/>
    </xf>
    <xf numFmtId="166" fontId="90" fillId="31" borderId="65" xfId="0" applyNumberFormat="1" applyFont="1" applyFill="1" applyBorder="1" applyAlignment="1">
      <alignment vertical="top"/>
    </xf>
    <xf numFmtId="166" fontId="91" fillId="31" borderId="24" xfId="0" applyNumberFormat="1" applyFont="1" applyFill="1" applyBorder="1" applyAlignment="1">
      <alignment vertical="top"/>
    </xf>
    <xf numFmtId="166" fontId="90" fillId="21" borderId="31" xfId="0" applyNumberFormat="1" applyFont="1" applyFill="1" applyBorder="1" applyAlignment="1">
      <alignment vertical="top"/>
    </xf>
    <xf numFmtId="49" fontId="90" fillId="27" borderId="0" xfId="0" applyNumberFormat="1" applyFont="1" applyFill="1" applyAlignment="1">
      <alignment vertical="top"/>
    </xf>
    <xf numFmtId="0" fontId="91" fillId="28" borderId="0" xfId="0" applyFont="1" applyFill="1" applyAlignment="1">
      <alignment vertical="top" textRotation="90" wrapText="1"/>
    </xf>
    <xf numFmtId="0" fontId="90" fillId="27" borderId="0" xfId="0" applyFont="1" applyFill="1" applyAlignment="1">
      <alignment vertical="top"/>
    </xf>
    <xf numFmtId="166" fontId="90" fillId="27" borderId="15" xfId="0" applyNumberFormat="1" applyFont="1" applyFill="1" applyBorder="1" applyAlignment="1">
      <alignment vertical="top"/>
    </xf>
    <xf numFmtId="0" fontId="90" fillId="18" borderId="14" xfId="0" applyFont="1" applyFill="1" applyBorder="1" applyAlignment="1">
      <alignment vertical="top" wrapText="1"/>
    </xf>
    <xf numFmtId="0" fontId="90" fillId="17" borderId="15" xfId="0" applyFont="1" applyFill="1" applyBorder="1" applyAlignment="1">
      <alignment vertical="top" wrapText="1"/>
    </xf>
    <xf numFmtId="0" fontId="91" fillId="17" borderId="35" xfId="0" applyFont="1" applyFill="1" applyBorder="1" applyAlignment="1">
      <alignment vertical="top"/>
    </xf>
    <xf numFmtId="0" fontId="91" fillId="17" borderId="17" xfId="0" applyFont="1" applyFill="1" applyBorder="1" applyAlignment="1">
      <alignment vertical="top"/>
    </xf>
    <xf numFmtId="166" fontId="90" fillId="0" borderId="21" xfId="0" applyNumberFormat="1" applyFont="1" applyBorder="1" applyAlignment="1">
      <alignment vertical="top" wrapText="1"/>
    </xf>
    <xf numFmtId="9" fontId="90" fillId="0" borderId="21" xfId="22" applyFont="1" applyBorder="1" applyAlignment="1">
      <alignment vertical="top" wrapText="1"/>
    </xf>
    <xf numFmtId="166" fontId="90" fillId="0" borderId="0" xfId="0" applyNumberFormat="1" applyFont="1" applyAlignment="1">
      <alignment vertical="top" wrapText="1"/>
    </xf>
    <xf numFmtId="166" fontId="133" fillId="0" borderId="36" xfId="0" applyNumberFormat="1" applyFont="1" applyBorder="1" applyAlignment="1">
      <alignment vertical="top" wrapText="1"/>
    </xf>
    <xf numFmtId="166" fontId="133" fillId="0" borderId="0" xfId="0" applyNumberFormat="1" applyFont="1" applyAlignment="1">
      <alignment vertical="top"/>
    </xf>
    <xf numFmtId="166" fontId="133" fillId="0" borderId="0" xfId="0" applyNumberFormat="1" applyFont="1" applyAlignment="1">
      <alignment horizontal="left" vertical="top" wrapText="1"/>
    </xf>
    <xf numFmtId="166" fontId="133" fillId="0" borderId="0" xfId="0" applyNumberFormat="1" applyFont="1" applyAlignment="1">
      <alignment vertical="top" wrapText="1"/>
    </xf>
    <xf numFmtId="9" fontId="90" fillId="0" borderId="14" xfId="22" applyFont="1" applyFill="1" applyBorder="1" applyAlignment="1">
      <alignment vertical="top"/>
    </xf>
    <xf numFmtId="166" fontId="90" fillId="0" borderId="34" xfId="0" applyNumberFormat="1" applyFont="1" applyBorder="1" applyAlignment="1">
      <alignment vertical="top"/>
    </xf>
    <xf numFmtId="166" fontId="90" fillId="0" borderId="7" xfId="0" applyNumberFormat="1" applyFont="1" applyBorder="1" applyAlignment="1">
      <alignment vertical="top"/>
    </xf>
    <xf numFmtId="166" fontId="90" fillId="0" borderId="15" xfId="0" applyNumberFormat="1" applyFont="1" applyBorder="1" applyAlignment="1">
      <alignment vertical="top" wrapText="1"/>
    </xf>
    <xf numFmtId="9" fontId="90" fillId="0" borderId="14" xfId="22" applyFont="1" applyFill="1" applyBorder="1" applyAlignment="1">
      <alignment vertical="top" wrapText="1"/>
    </xf>
    <xf numFmtId="166" fontId="90" fillId="0" borderId="17" xfId="0" applyNumberFormat="1" applyFont="1" applyBorder="1" applyAlignment="1">
      <alignment vertical="top" wrapText="1"/>
    </xf>
    <xf numFmtId="166" fontId="90" fillId="0" borderId="14" xfId="0" applyNumberFormat="1" applyFont="1" applyBorder="1" applyAlignment="1">
      <alignment vertical="top" wrapText="1"/>
    </xf>
    <xf numFmtId="9" fontId="90" fillId="0" borderId="21" xfId="22" applyFont="1" applyFill="1" applyBorder="1" applyAlignment="1">
      <alignment vertical="top" wrapText="1"/>
    </xf>
    <xf numFmtId="9" fontId="91" fillId="0" borderId="14" xfId="22" applyFont="1" applyFill="1" applyBorder="1" applyAlignment="1">
      <alignment horizontal="left" vertical="center"/>
    </xf>
    <xf numFmtId="9" fontId="91" fillId="21" borderId="14" xfId="22" applyFont="1" applyFill="1" applyBorder="1" applyAlignment="1">
      <alignment horizontal="left" vertical="center"/>
    </xf>
    <xf numFmtId="49" fontId="91" fillId="0" borderId="19" xfId="0" applyNumberFormat="1" applyFont="1" applyBorder="1" applyAlignment="1">
      <alignment horizontal="center" vertical="top" wrapText="1"/>
    </xf>
    <xf numFmtId="49" fontId="91" fillId="17" borderId="14" xfId="0" applyNumberFormat="1" applyFont="1" applyFill="1" applyBorder="1" applyAlignment="1">
      <alignment vertical="top" wrapText="1"/>
    </xf>
    <xf numFmtId="0" fontId="15" fillId="31" borderId="7" xfId="0" applyFont="1" applyFill="1" applyBorder="1" applyAlignment="1">
      <alignment vertical="top" wrapText="1"/>
    </xf>
    <xf numFmtId="166" fontId="15" fillId="31" borderId="6" xfId="0" applyNumberFormat="1" applyFont="1" applyFill="1" applyBorder="1" applyAlignment="1">
      <alignment vertical="top"/>
    </xf>
    <xf numFmtId="49" fontId="133" fillId="31" borderId="14" xfId="0" applyNumberFormat="1" applyFont="1" applyFill="1" applyBorder="1" applyAlignment="1">
      <alignment vertical="top" wrapText="1"/>
    </xf>
    <xf numFmtId="49" fontId="132" fillId="31" borderId="21" xfId="0" applyNumberFormat="1" applyFont="1" applyFill="1" applyBorder="1" applyAlignment="1">
      <alignment vertical="top" wrapText="1"/>
    </xf>
    <xf numFmtId="166" fontId="15" fillId="34" borderId="6" xfId="0" applyNumberFormat="1" applyFont="1" applyFill="1" applyBorder="1" applyAlignment="1">
      <alignment vertical="top"/>
    </xf>
    <xf numFmtId="166" fontId="15" fillId="34" borderId="0" xfId="0" applyNumberFormat="1" applyFont="1" applyFill="1" applyAlignment="1">
      <alignment vertical="top"/>
    </xf>
    <xf numFmtId="166" fontId="15" fillId="31" borderId="6" xfId="3" applyNumberFormat="1" applyFont="1" applyFill="1" applyBorder="1" applyAlignment="1">
      <alignment vertical="top"/>
    </xf>
    <xf numFmtId="166" fontId="15" fillId="34" borderId="7" xfId="0" applyNumberFormat="1" applyFont="1" applyFill="1" applyBorder="1" applyAlignment="1">
      <alignment vertical="top"/>
    </xf>
    <xf numFmtId="0" fontId="90" fillId="28" borderId="0" xfId="0" applyFont="1" applyFill="1" applyAlignment="1">
      <alignment vertical="top" wrapText="1"/>
    </xf>
    <xf numFmtId="166" fontId="91" fillId="27" borderId="21" xfId="0" applyNumberFormat="1" applyFont="1" applyFill="1" applyBorder="1" applyAlignment="1">
      <alignment vertical="top" wrapText="1"/>
    </xf>
    <xf numFmtId="49" fontId="90" fillId="27" borderId="14" xfId="0" applyNumberFormat="1" applyFont="1" applyFill="1" applyBorder="1" applyAlignment="1">
      <alignment vertical="top" wrapText="1"/>
    </xf>
    <xf numFmtId="9" fontId="90" fillId="31" borderId="21" xfId="22" applyFont="1" applyFill="1" applyBorder="1" applyAlignment="1">
      <alignment vertical="top" wrapText="1"/>
    </xf>
    <xf numFmtId="0" fontId="85" fillId="0" borderId="0" xfId="0" applyFont="1" applyAlignment="1">
      <alignment horizontal="center" vertical="top" wrapText="1"/>
    </xf>
    <xf numFmtId="0" fontId="87" fillId="0" borderId="0" xfId="0" applyFont="1" applyAlignment="1">
      <alignment horizontal="center" vertical="top" wrapText="1"/>
    </xf>
    <xf numFmtId="49" fontId="91" fillId="0" borderId="14" xfId="0" applyNumberFormat="1" applyFont="1" applyBorder="1" applyAlignment="1">
      <alignment horizontal="center" vertical="top" wrapText="1"/>
    </xf>
    <xf numFmtId="49" fontId="91" fillId="27" borderId="14" xfId="0" applyNumberFormat="1" applyFont="1" applyFill="1" applyBorder="1" applyAlignment="1">
      <alignment horizontal="center" vertical="top" wrapText="1"/>
    </xf>
    <xf numFmtId="49" fontId="133" fillId="31" borderId="14" xfId="0" applyNumberFormat="1" applyFont="1" applyFill="1" applyBorder="1" applyAlignment="1">
      <alignment horizontal="center" vertical="top" wrapText="1"/>
    </xf>
    <xf numFmtId="49" fontId="90" fillId="0" borderId="21" xfId="0" applyNumberFormat="1" applyFont="1" applyBorder="1" applyAlignment="1">
      <alignment horizontal="center" vertical="top" wrapText="1"/>
    </xf>
    <xf numFmtId="49" fontId="90" fillId="0" borderId="14" xfId="0" applyNumberFormat="1" applyFont="1" applyBorder="1" applyAlignment="1">
      <alignment horizontal="center" vertical="top" wrapText="1"/>
    </xf>
    <xf numFmtId="49" fontId="90" fillId="27" borderId="14" xfId="0" applyNumberFormat="1" applyFont="1" applyFill="1" applyBorder="1" applyAlignment="1">
      <alignment horizontal="center" vertical="top" wrapText="1"/>
    </xf>
    <xf numFmtId="0" fontId="91" fillId="17" borderId="35" xfId="0" applyFont="1" applyFill="1" applyBorder="1" applyAlignment="1">
      <alignment horizontal="center" vertical="top"/>
    </xf>
    <xf numFmtId="166" fontId="133" fillId="0" borderId="36" xfId="0" applyNumberFormat="1" applyFont="1" applyBorder="1" applyAlignment="1">
      <alignment horizontal="center" vertical="top" wrapText="1"/>
    </xf>
    <xf numFmtId="166" fontId="133" fillId="0" borderId="0" xfId="0" applyNumberFormat="1" applyFont="1" applyAlignment="1">
      <alignment horizontal="center" vertical="top" wrapText="1"/>
    </xf>
    <xf numFmtId="0" fontId="90" fillId="17" borderId="14" xfId="0" applyFont="1" applyFill="1" applyBorder="1" applyAlignment="1">
      <alignment horizontal="center" vertical="top" wrapText="1"/>
    </xf>
    <xf numFmtId="2" fontId="91" fillId="0" borderId="21" xfId="0" applyNumberFormat="1" applyFont="1" applyBorder="1" applyAlignment="1">
      <alignment horizontal="center" vertical="top"/>
    </xf>
    <xf numFmtId="2" fontId="90" fillId="0" borderId="21" xfId="0" applyNumberFormat="1" applyFont="1" applyBorder="1" applyAlignment="1">
      <alignment horizontal="center" vertical="center"/>
    </xf>
    <xf numFmtId="2" fontId="90" fillId="21" borderId="14" xfId="0" applyNumberFormat="1" applyFont="1" applyFill="1" applyBorder="1" applyAlignment="1">
      <alignment horizontal="center" vertical="top"/>
    </xf>
    <xf numFmtId="166" fontId="90" fillId="0" borderId="29" xfId="0" applyNumberFormat="1" applyFont="1" applyBorder="1" applyAlignment="1">
      <alignment horizontal="center" vertical="top"/>
    </xf>
    <xf numFmtId="166" fontId="90" fillId="21" borderId="31" xfId="0" applyNumberFormat="1" applyFont="1" applyFill="1" applyBorder="1" applyAlignment="1">
      <alignment horizontal="center" vertical="top"/>
    </xf>
    <xf numFmtId="166" fontId="133" fillId="0" borderId="14" xfId="0" applyNumberFormat="1" applyFont="1" applyBorder="1" applyAlignment="1">
      <alignment horizontal="center" vertical="top"/>
    </xf>
    <xf numFmtId="0" fontId="91" fillId="0" borderId="8" xfId="0" applyFont="1" applyBorder="1" applyAlignment="1">
      <alignment horizontal="center" vertical="top"/>
    </xf>
    <xf numFmtId="0" fontId="91" fillId="0" borderId="29" xfId="0" applyFont="1" applyBorder="1" applyAlignment="1">
      <alignment horizontal="center" vertical="top"/>
    </xf>
    <xf numFmtId="166" fontId="90" fillId="21" borderId="29" xfId="0" applyNumberFormat="1" applyFont="1" applyFill="1" applyBorder="1" applyAlignment="1">
      <alignment horizontal="center" vertical="top"/>
    </xf>
    <xf numFmtId="0" fontId="91" fillId="28" borderId="14" xfId="0" applyFont="1" applyFill="1" applyBorder="1" applyAlignment="1">
      <alignment horizontal="center" vertical="center" textRotation="90" wrapText="1"/>
    </xf>
    <xf numFmtId="166" fontId="91" fillId="27" borderId="14" xfId="0" applyNumberFormat="1" applyFont="1" applyFill="1" applyBorder="1" applyAlignment="1">
      <alignment horizontal="left" vertical="top" wrapText="1"/>
    </xf>
    <xf numFmtId="49" fontId="133" fillId="27" borderId="14" xfId="0" applyNumberFormat="1" applyFont="1" applyFill="1" applyBorder="1" applyAlignment="1">
      <alignment vertical="top"/>
    </xf>
    <xf numFmtId="49" fontId="90" fillId="27" borderId="14" xfId="0" applyNumberFormat="1" applyFont="1" applyFill="1" applyBorder="1" applyAlignment="1">
      <alignment vertical="top"/>
    </xf>
    <xf numFmtId="166" fontId="133" fillId="27" borderId="14" xfId="0" applyNumberFormat="1" applyFont="1" applyFill="1" applyBorder="1" applyAlignment="1">
      <alignment horizontal="center" vertical="top"/>
    </xf>
    <xf numFmtId="166" fontId="132" fillId="27" borderId="14" xfId="0" applyNumberFormat="1" applyFont="1" applyFill="1" applyBorder="1" applyAlignment="1">
      <alignment horizontal="left" vertical="top" wrapText="1"/>
    </xf>
    <xf numFmtId="0" fontId="91" fillId="0" borderId="16" xfId="0" applyFont="1" applyBorder="1" applyAlignment="1">
      <alignment horizontal="center" vertical="top"/>
    </xf>
    <xf numFmtId="166" fontId="91" fillId="0" borderId="21" xfId="0" applyNumberFormat="1" applyFont="1" applyBorder="1" applyAlignment="1">
      <alignment horizontal="center" vertical="center"/>
    </xf>
    <xf numFmtId="2" fontId="91" fillId="31" borderId="21" xfId="0" applyNumberFormat="1" applyFont="1" applyFill="1" applyBorder="1" applyAlignment="1">
      <alignment horizontal="center" vertical="top"/>
    </xf>
    <xf numFmtId="2" fontId="91" fillId="31" borderId="21" xfId="0" applyNumberFormat="1" applyFont="1" applyFill="1" applyBorder="1" applyAlignment="1">
      <alignment horizontal="center" vertical="center"/>
    </xf>
    <xf numFmtId="9" fontId="90" fillId="31" borderId="14" xfId="22" applyFont="1" applyFill="1" applyBorder="1" applyAlignment="1">
      <alignment vertical="center"/>
    </xf>
    <xf numFmtId="1" fontId="90" fillId="31" borderId="24" xfId="0" applyNumberFormat="1" applyFont="1" applyFill="1" applyBorder="1" applyAlignment="1">
      <alignment horizontal="center" vertical="top" wrapText="1"/>
    </xf>
    <xf numFmtId="2" fontId="90" fillId="31" borderId="14" xfId="0" applyNumberFormat="1" applyFont="1" applyFill="1" applyBorder="1" applyAlignment="1">
      <alignment horizontal="center" vertical="top"/>
    </xf>
    <xf numFmtId="1" fontId="90" fillId="31" borderId="24" xfId="0" applyNumberFormat="1" applyFont="1" applyFill="1" applyBorder="1" applyAlignment="1">
      <alignment vertical="top" wrapText="1"/>
    </xf>
    <xf numFmtId="1" fontId="90" fillId="31" borderId="21" xfId="0" applyNumberFormat="1" applyFont="1" applyFill="1" applyBorder="1" applyAlignment="1">
      <alignment vertical="top" wrapText="1"/>
    </xf>
    <xf numFmtId="2" fontId="90" fillId="31" borderId="21" xfId="0" applyNumberFormat="1" applyFont="1" applyFill="1" applyBorder="1" applyAlignment="1">
      <alignment horizontal="center" vertical="center"/>
    </xf>
    <xf numFmtId="0" fontId="91" fillId="28" borderId="14" xfId="0" applyFont="1" applyFill="1" applyBorder="1" applyAlignment="1">
      <alignment vertical="top" wrapText="1"/>
    </xf>
    <xf numFmtId="9" fontId="90" fillId="27" borderId="14" xfId="22" applyFont="1" applyFill="1" applyBorder="1" applyAlignment="1">
      <alignment vertical="center"/>
    </xf>
    <xf numFmtId="166" fontId="132" fillId="27" borderId="14" xfId="0" applyNumberFormat="1" applyFont="1" applyFill="1" applyBorder="1" applyAlignment="1">
      <alignment horizontal="left" vertical="top"/>
    </xf>
    <xf numFmtId="0" fontId="91" fillId="27" borderId="14" xfId="0" applyFont="1" applyFill="1" applyBorder="1" applyAlignment="1">
      <alignment horizontal="center" vertical="top"/>
    </xf>
    <xf numFmtId="166" fontId="91" fillId="27" borderId="19" xfId="0" applyNumberFormat="1" applyFont="1" applyFill="1" applyBorder="1" applyAlignment="1">
      <alignment horizontal="left" vertical="top" wrapText="1"/>
    </xf>
    <xf numFmtId="49" fontId="90" fillId="27" borderId="21" xfId="0" applyNumberFormat="1" applyFont="1" applyFill="1" applyBorder="1" applyAlignment="1">
      <alignment horizontal="center" vertical="top" wrapText="1"/>
    </xf>
    <xf numFmtId="0" fontId="91" fillId="27" borderId="14" xfId="0" applyFont="1" applyFill="1" applyBorder="1"/>
    <xf numFmtId="49" fontId="90" fillId="27" borderId="14" xfId="0" applyNumberFormat="1" applyFont="1" applyFill="1" applyBorder="1" applyAlignment="1">
      <alignment vertical="center" wrapText="1"/>
    </xf>
    <xf numFmtId="0" fontId="90" fillId="27" borderId="9" xfId="0" applyFont="1" applyFill="1" applyBorder="1" applyAlignment="1">
      <alignment horizontal="center" vertical="top"/>
    </xf>
    <xf numFmtId="166" fontId="90" fillId="27" borderId="37" xfId="0" applyNumberFormat="1" applyFont="1" applyFill="1" applyBorder="1" applyAlignment="1">
      <alignment horizontal="center" vertical="top"/>
    </xf>
    <xf numFmtId="49" fontId="90" fillId="31" borderId="21" xfId="0" applyNumberFormat="1" applyFont="1" applyFill="1" applyBorder="1" applyAlignment="1">
      <alignment horizontal="center" vertical="top" wrapText="1"/>
    </xf>
    <xf numFmtId="49" fontId="91" fillId="31" borderId="14" xfId="0" applyNumberFormat="1" applyFont="1" applyFill="1" applyBorder="1" applyAlignment="1">
      <alignment horizontal="left" vertical="top" wrapText="1"/>
    </xf>
    <xf numFmtId="0" fontId="91" fillId="31" borderId="15" xfId="0" applyFont="1" applyFill="1" applyBorder="1"/>
    <xf numFmtId="166" fontId="90" fillId="31" borderId="21" xfId="0" applyNumberFormat="1" applyFont="1" applyFill="1" applyBorder="1" applyAlignment="1">
      <alignment horizontal="center" vertical="top"/>
    </xf>
    <xf numFmtId="0" fontId="90" fillId="31" borderId="9" xfId="0" applyFont="1" applyFill="1" applyBorder="1" applyAlignment="1">
      <alignment horizontal="center" vertical="top"/>
    </xf>
    <xf numFmtId="166" fontId="90" fillId="31" borderId="37" xfId="0" applyNumberFormat="1" applyFont="1" applyFill="1" applyBorder="1" applyAlignment="1">
      <alignment horizontal="center" vertical="top"/>
    </xf>
    <xf numFmtId="49" fontId="91" fillId="31" borderId="31" xfId="0" applyNumberFormat="1" applyFont="1" applyFill="1" applyBorder="1" applyAlignment="1">
      <alignment vertical="top" wrapText="1"/>
    </xf>
    <xf numFmtId="49" fontId="91" fillId="31" borderId="65" xfId="0" applyNumberFormat="1" applyFont="1" applyFill="1" applyBorder="1" applyAlignment="1">
      <alignment vertical="top" wrapText="1"/>
    </xf>
    <xf numFmtId="49" fontId="90" fillId="31" borderId="33" xfId="0" applyNumberFormat="1" applyFont="1" applyFill="1" applyBorder="1" applyAlignment="1">
      <alignment vertical="top" wrapText="1"/>
    </xf>
    <xf numFmtId="49" fontId="91" fillId="31" borderId="37" xfId="0" applyNumberFormat="1" applyFont="1" applyFill="1" applyBorder="1" applyAlignment="1">
      <alignment vertical="top" wrapText="1"/>
    </xf>
    <xf numFmtId="49" fontId="90" fillId="31" borderId="17" xfId="0" applyNumberFormat="1" applyFont="1" applyFill="1" applyBorder="1" applyAlignment="1">
      <alignment vertical="top" wrapText="1"/>
    </xf>
    <xf numFmtId="49" fontId="133" fillId="27" borderId="14" xfId="0" applyNumberFormat="1" applyFont="1" applyFill="1" applyBorder="1" applyAlignment="1">
      <alignment vertical="top" wrapText="1"/>
    </xf>
    <xf numFmtId="9" fontId="90" fillId="0" borderId="21" xfId="22" applyFont="1" applyFill="1" applyBorder="1" applyAlignment="1">
      <alignment vertical="center"/>
    </xf>
    <xf numFmtId="166" fontId="91" fillId="31" borderId="21" xfId="0" applyNumberFormat="1" applyFont="1" applyFill="1" applyBorder="1" applyAlignment="1">
      <alignment horizontal="center" vertical="center"/>
    </xf>
    <xf numFmtId="166" fontId="90" fillId="11" borderId="14" xfId="0" applyNumberFormat="1" applyFont="1" applyFill="1" applyBorder="1" applyAlignment="1">
      <alignment horizontal="center" vertical="top"/>
    </xf>
    <xf numFmtId="49" fontId="90" fillId="0" borderId="24" xfId="0" applyNumberFormat="1" applyFont="1" applyBorder="1" applyAlignment="1">
      <alignment horizontal="center" vertical="top" wrapText="1"/>
    </xf>
    <xf numFmtId="0" fontId="91" fillId="30" borderId="14" xfId="0" applyFont="1" applyFill="1" applyBorder="1" applyAlignment="1">
      <alignment horizontal="center" vertical="center"/>
    </xf>
    <xf numFmtId="49" fontId="90" fillId="31" borderId="14" xfId="0" applyNumberFormat="1" applyFont="1" applyFill="1" applyBorder="1" applyAlignment="1">
      <alignment horizontal="center" vertical="top" wrapText="1"/>
    </xf>
    <xf numFmtId="49" fontId="90" fillId="31" borderId="19" xfId="0" applyNumberFormat="1" applyFont="1" applyFill="1" applyBorder="1" applyAlignment="1">
      <alignment horizontal="center" vertical="top" wrapText="1"/>
    </xf>
    <xf numFmtId="49" fontId="90" fillId="31" borderId="32" xfId="0" applyNumberFormat="1" applyFont="1" applyFill="1" applyBorder="1" applyAlignment="1">
      <alignment horizontal="center" vertical="top" wrapText="1"/>
    </xf>
    <xf numFmtId="49" fontId="90" fillId="31" borderId="24" xfId="0" applyNumberFormat="1" applyFont="1" applyFill="1" applyBorder="1" applyAlignment="1">
      <alignment horizontal="center" vertical="top" wrapText="1"/>
    </xf>
    <xf numFmtId="49" fontId="90" fillId="31" borderId="57" xfId="0" applyNumberFormat="1" applyFont="1" applyFill="1" applyBorder="1" applyAlignment="1">
      <alignment horizontal="center" vertical="top" wrapText="1"/>
    </xf>
    <xf numFmtId="49" fontId="90" fillId="31" borderId="33" xfId="0" applyNumberFormat="1" applyFont="1" applyFill="1" applyBorder="1" applyAlignment="1">
      <alignment horizontal="center" vertical="top" wrapText="1"/>
    </xf>
    <xf numFmtId="49" fontId="133" fillId="27" borderId="14" xfId="0" applyNumberFormat="1" applyFont="1" applyFill="1" applyBorder="1" applyAlignment="1">
      <alignment horizontal="center" vertical="top" wrapText="1"/>
    </xf>
    <xf numFmtId="2" fontId="90" fillId="0" borderId="14" xfId="0" applyNumberFormat="1" applyFont="1" applyBorder="1" applyAlignment="1">
      <alignment horizontal="center" vertical="top"/>
    </xf>
    <xf numFmtId="0" fontId="91" fillId="31" borderId="6" xfId="0" applyFont="1" applyFill="1" applyBorder="1" applyAlignment="1">
      <alignment horizontal="center" vertical="center" textRotation="90" wrapText="1"/>
    </xf>
    <xf numFmtId="166" fontId="90" fillId="30" borderId="14" xfId="22" applyNumberFormat="1" applyFont="1" applyFill="1" applyBorder="1" applyAlignment="1">
      <alignment horizontal="center" vertical="top"/>
    </xf>
    <xf numFmtId="166" fontId="90" fillId="0" borderId="31" xfId="0" applyNumberFormat="1" applyFont="1" applyBorder="1" applyAlignment="1">
      <alignment horizontal="center" vertical="top"/>
    </xf>
    <xf numFmtId="0" fontId="91" fillId="39" borderId="9" xfId="0" applyFont="1" applyFill="1" applyBorder="1" applyAlignment="1">
      <alignment horizontal="center" vertical="top"/>
    </xf>
    <xf numFmtId="166" fontId="90" fillId="39" borderId="21" xfId="0" applyNumberFormat="1" applyFont="1" applyFill="1" applyBorder="1" applyAlignment="1">
      <alignment horizontal="center" vertical="top"/>
    </xf>
    <xf numFmtId="9" fontId="90" fillId="39" borderId="14" xfId="22" applyFont="1" applyFill="1" applyBorder="1" applyAlignment="1">
      <alignment horizontal="center" vertical="top"/>
    </xf>
    <xf numFmtId="166" fontId="90" fillId="39" borderId="16" xfId="0" applyNumberFormat="1" applyFont="1" applyFill="1" applyBorder="1" applyAlignment="1">
      <alignment horizontal="center" vertical="top"/>
    </xf>
    <xf numFmtId="166" fontId="90" fillId="39" borderId="37" xfId="0" applyNumberFormat="1" applyFont="1" applyFill="1" applyBorder="1" applyAlignment="1">
      <alignment horizontal="center" vertical="top"/>
    </xf>
    <xf numFmtId="166" fontId="90" fillId="39" borderId="19" xfId="0" applyNumberFormat="1" applyFont="1" applyFill="1" applyBorder="1" applyAlignment="1">
      <alignment horizontal="center" vertical="top"/>
    </xf>
    <xf numFmtId="0" fontId="90" fillId="39" borderId="6" xfId="0" applyFont="1" applyFill="1" applyBorder="1" applyAlignment="1">
      <alignment horizontal="center" vertical="top"/>
    </xf>
    <xf numFmtId="166" fontId="90" fillId="39" borderId="14" xfId="0" applyNumberFormat="1" applyFont="1" applyFill="1" applyBorder="1" applyAlignment="1">
      <alignment horizontal="center" vertical="top"/>
    </xf>
    <xf numFmtId="0" fontId="91" fillId="39" borderId="6" xfId="0" applyFont="1" applyFill="1" applyBorder="1" applyAlignment="1">
      <alignment horizontal="center" vertical="top"/>
    </xf>
    <xf numFmtId="166" fontId="90" fillId="39" borderId="8" xfId="0" applyNumberFormat="1" applyFont="1" applyFill="1" applyBorder="1" applyAlignment="1">
      <alignment horizontal="center" vertical="top"/>
    </xf>
    <xf numFmtId="166" fontId="90" fillId="39" borderId="15" xfId="0" applyNumberFormat="1" applyFont="1" applyFill="1" applyBorder="1" applyAlignment="1">
      <alignment horizontal="center" vertical="top"/>
    </xf>
    <xf numFmtId="166" fontId="90" fillId="39" borderId="31" xfId="0" applyNumberFormat="1" applyFont="1" applyFill="1" applyBorder="1" applyAlignment="1">
      <alignment horizontal="center" vertical="top"/>
    </xf>
    <xf numFmtId="0" fontId="90" fillId="39" borderId="7" xfId="0" applyFont="1" applyFill="1" applyBorder="1" applyAlignment="1">
      <alignment horizontal="center" vertical="top"/>
    </xf>
    <xf numFmtId="166" fontId="90" fillId="39" borderId="24" xfId="0" applyNumberFormat="1" applyFont="1" applyFill="1" applyBorder="1" applyAlignment="1">
      <alignment horizontal="center" vertical="top"/>
    </xf>
    <xf numFmtId="166" fontId="90" fillId="0" borderId="10" xfId="0" applyNumberFormat="1" applyFont="1" applyBorder="1" applyAlignment="1">
      <alignment horizontal="center" vertical="top"/>
    </xf>
    <xf numFmtId="166" fontId="90" fillId="0" borderId="52" xfId="0" applyNumberFormat="1" applyFont="1" applyBorder="1" applyAlignment="1">
      <alignment horizontal="center" vertical="top"/>
    </xf>
    <xf numFmtId="0" fontId="91" fillId="31" borderId="14" xfId="0" applyFont="1" applyFill="1" applyBorder="1" applyAlignment="1">
      <alignment horizontal="center" vertical="center" textRotation="90" wrapText="1"/>
    </xf>
    <xf numFmtId="9" fontId="91" fillId="31" borderId="14" xfId="22" applyFont="1" applyFill="1" applyBorder="1" applyAlignment="1">
      <alignment horizontal="center" vertical="top"/>
    </xf>
    <xf numFmtId="0" fontId="91" fillId="39" borderId="30" xfId="0" applyFont="1" applyFill="1" applyBorder="1" applyAlignment="1">
      <alignment horizontal="center" vertical="top"/>
    </xf>
    <xf numFmtId="166" fontId="90" fillId="39" borderId="9" xfId="0" applyNumberFormat="1" applyFont="1" applyFill="1" applyBorder="1" applyAlignment="1">
      <alignment horizontal="center" vertical="top"/>
    </xf>
    <xf numFmtId="166" fontId="90" fillId="39" borderId="0" xfId="0" applyNumberFormat="1" applyFont="1" applyFill="1" applyAlignment="1">
      <alignment horizontal="center" vertical="top"/>
    </xf>
    <xf numFmtId="0" fontId="91" fillId="39" borderId="11" xfId="0" applyFont="1" applyFill="1" applyBorder="1" applyAlignment="1">
      <alignment horizontal="center" vertical="top"/>
    </xf>
    <xf numFmtId="166" fontId="91" fillId="39" borderId="14" xfId="0" applyNumberFormat="1" applyFont="1" applyFill="1" applyBorder="1" applyAlignment="1">
      <alignment horizontal="center" vertical="top"/>
    </xf>
    <xf numFmtId="166" fontId="90" fillId="39" borderId="65" xfId="0" applyNumberFormat="1" applyFont="1" applyFill="1" applyBorder="1" applyAlignment="1">
      <alignment horizontal="center" vertical="top"/>
    </xf>
    <xf numFmtId="0" fontId="90" fillId="39" borderId="11" xfId="0" applyFont="1" applyFill="1" applyBorder="1" applyAlignment="1">
      <alignment horizontal="center" vertical="top"/>
    </xf>
    <xf numFmtId="166" fontId="90" fillId="0" borderId="9" xfId="0" applyNumberFormat="1" applyFont="1" applyBorder="1" applyAlignment="1">
      <alignment horizontal="center" vertical="top"/>
    </xf>
    <xf numFmtId="0" fontId="90" fillId="0" borderId="14" xfId="0" applyFont="1" applyBorder="1" applyAlignment="1">
      <alignment horizontal="center" vertical="top"/>
    </xf>
    <xf numFmtId="9" fontId="90" fillId="30" borderId="14" xfId="22" applyFont="1" applyFill="1" applyBorder="1" applyAlignment="1">
      <alignment horizontal="center" vertical="center"/>
    </xf>
    <xf numFmtId="9" fontId="90" fillId="37" borderId="14" xfId="22" applyFont="1" applyFill="1" applyBorder="1" applyAlignment="1">
      <alignment horizontal="center" vertical="top"/>
    </xf>
    <xf numFmtId="0" fontId="91" fillId="37" borderId="14" xfId="0" applyFont="1" applyFill="1" applyBorder="1" applyAlignment="1">
      <alignment horizontal="center" vertical="top"/>
    </xf>
    <xf numFmtId="166" fontId="90" fillId="37" borderId="14" xfId="0" applyNumberFormat="1" applyFont="1" applyFill="1" applyBorder="1" applyAlignment="1">
      <alignment horizontal="center" vertical="top"/>
    </xf>
    <xf numFmtId="0" fontId="90" fillId="37" borderId="14" xfId="0" applyFont="1" applyFill="1" applyBorder="1" applyAlignment="1">
      <alignment horizontal="center" vertical="top"/>
    </xf>
    <xf numFmtId="0" fontId="91" fillId="37" borderId="6" xfId="0" applyFont="1" applyFill="1" applyBorder="1" applyAlignment="1">
      <alignment horizontal="center" vertical="top"/>
    </xf>
    <xf numFmtId="166" fontId="90" fillId="37" borderId="8" xfId="0" applyNumberFormat="1" applyFont="1" applyFill="1" applyBorder="1" applyAlignment="1">
      <alignment horizontal="center" vertical="top"/>
    </xf>
    <xf numFmtId="166" fontId="90" fillId="37" borderId="15" xfId="0" applyNumberFormat="1" applyFont="1" applyFill="1" applyBorder="1" applyAlignment="1">
      <alignment horizontal="center" vertical="top"/>
    </xf>
    <xf numFmtId="0" fontId="90" fillId="37" borderId="6" xfId="0" applyFont="1" applyFill="1" applyBorder="1" applyAlignment="1">
      <alignment horizontal="center" vertical="top"/>
    </xf>
    <xf numFmtId="9" fontId="90" fillId="17" borderId="14" xfId="22" applyFont="1" applyFill="1" applyBorder="1" applyAlignment="1">
      <alignment horizontal="center" vertical="top"/>
    </xf>
    <xf numFmtId="0" fontId="90" fillId="0" borderId="14" xfId="0" applyFont="1" applyBorder="1" applyAlignment="1">
      <alignment horizontal="right"/>
    </xf>
    <xf numFmtId="0" fontId="91" fillId="0" borderId="14" xfId="0" applyFont="1" applyBorder="1" applyAlignment="1">
      <alignment horizontal="right"/>
    </xf>
    <xf numFmtId="166" fontId="90" fillId="0" borderId="6" xfId="0" applyNumberFormat="1" applyFont="1" applyBorder="1" applyAlignment="1">
      <alignment horizontal="center" vertical="center"/>
    </xf>
    <xf numFmtId="0" fontId="90" fillId="31" borderId="6" xfId="0" applyFont="1" applyFill="1" applyBorder="1" applyAlignment="1">
      <alignment vertical="top" wrapText="1"/>
    </xf>
    <xf numFmtId="49" fontId="90" fillId="31" borderId="24" xfId="0" applyNumberFormat="1" applyFont="1" applyFill="1" applyBorder="1" applyAlignment="1">
      <alignment horizontal="left" vertical="top" wrapText="1"/>
    </xf>
    <xf numFmtId="49" fontId="91" fillId="31" borderId="24" xfId="0" applyNumberFormat="1" applyFont="1" applyFill="1" applyBorder="1" applyAlignment="1">
      <alignment horizontal="left" vertical="top" wrapText="1"/>
    </xf>
    <xf numFmtId="0" fontId="91" fillId="31" borderId="14" xfId="0" applyFont="1" applyFill="1" applyBorder="1" applyAlignment="1">
      <alignment vertical="top" wrapText="1"/>
    </xf>
    <xf numFmtId="49" fontId="91" fillId="27" borderId="14" xfId="0" applyNumberFormat="1" applyFont="1" applyFill="1" applyBorder="1" applyAlignment="1">
      <alignment horizontal="center" vertical="top"/>
    </xf>
    <xf numFmtId="49" fontId="91" fillId="27" borderId="14" xfId="0" applyNumberFormat="1" applyFont="1" applyFill="1" applyBorder="1" applyAlignment="1">
      <alignment horizontal="left" vertical="top" wrapText="1"/>
    </xf>
    <xf numFmtId="0" fontId="91" fillId="27" borderId="14" xfId="0" applyFont="1" applyFill="1" applyBorder="1" applyAlignment="1">
      <alignment horizontal="center" vertical="center" textRotation="90" wrapText="1"/>
    </xf>
    <xf numFmtId="9" fontId="91" fillId="27" borderId="14" xfId="22" applyFont="1" applyFill="1" applyBorder="1" applyAlignment="1">
      <alignment horizontal="center" vertical="top"/>
    </xf>
    <xf numFmtId="166" fontId="91" fillId="41" borderId="14" xfId="0" applyNumberFormat="1" applyFont="1" applyFill="1" applyBorder="1" applyAlignment="1">
      <alignment horizontal="center" vertical="top"/>
    </xf>
    <xf numFmtId="166" fontId="91" fillId="27" borderId="24" xfId="0" applyNumberFormat="1" applyFont="1" applyFill="1" applyBorder="1" applyAlignment="1">
      <alignment horizontal="center" vertical="top"/>
    </xf>
    <xf numFmtId="49" fontId="91" fillId="27" borderId="24" xfId="0" applyNumberFormat="1" applyFont="1" applyFill="1" applyBorder="1" applyAlignment="1">
      <alignment horizontal="left" vertical="top" wrapText="1"/>
    </xf>
    <xf numFmtId="49" fontId="91" fillId="27" borderId="21" xfId="0" applyNumberFormat="1" applyFont="1" applyFill="1" applyBorder="1" applyAlignment="1">
      <alignment horizontal="left" vertical="top" wrapText="1"/>
    </xf>
    <xf numFmtId="0" fontId="91" fillId="27" borderId="24" xfId="0" applyFont="1" applyFill="1" applyBorder="1" applyAlignment="1">
      <alignment horizontal="center"/>
    </xf>
    <xf numFmtId="49" fontId="91" fillId="27" borderId="21" xfId="0" applyNumberFormat="1" applyFont="1" applyFill="1" applyBorder="1" applyAlignment="1">
      <alignment horizontal="center" vertical="center" wrapText="1"/>
    </xf>
    <xf numFmtId="166" fontId="91" fillId="27" borderId="19" xfId="0" applyNumberFormat="1" applyFont="1" applyFill="1" applyBorder="1" applyAlignment="1">
      <alignment horizontal="center" vertical="top"/>
    </xf>
    <xf numFmtId="49" fontId="91" fillId="28" borderId="14" xfId="0" applyNumberFormat="1" applyFont="1" applyFill="1" applyBorder="1" applyAlignment="1">
      <alignment horizontal="left" vertical="top" wrapText="1"/>
    </xf>
    <xf numFmtId="1" fontId="91" fillId="27" borderId="19" xfId="0" applyNumberFormat="1" applyFont="1" applyFill="1" applyBorder="1" applyAlignment="1">
      <alignment horizontal="center" vertical="top"/>
    </xf>
    <xf numFmtId="49" fontId="91" fillId="27" borderId="19" xfId="0" applyNumberFormat="1" applyFont="1" applyFill="1" applyBorder="1" applyAlignment="1">
      <alignment horizontal="center" vertical="top"/>
    </xf>
    <xf numFmtId="49" fontId="91" fillId="28" borderId="19" xfId="0" applyNumberFormat="1" applyFont="1" applyFill="1" applyBorder="1" applyAlignment="1">
      <alignment horizontal="left" vertical="top" wrapText="1"/>
    </xf>
    <xf numFmtId="0" fontId="91" fillId="27" borderId="19" xfId="0" applyFont="1" applyFill="1" applyBorder="1" applyAlignment="1">
      <alignment horizontal="center" vertical="center" textRotation="90" wrapText="1"/>
    </xf>
    <xf numFmtId="49" fontId="91" fillId="27" borderId="24" xfId="0" applyNumberFormat="1" applyFont="1" applyFill="1" applyBorder="1" applyAlignment="1">
      <alignment horizontal="center" vertical="top" wrapText="1"/>
    </xf>
    <xf numFmtId="49" fontId="91" fillId="27" borderId="24" xfId="0" applyNumberFormat="1" applyFont="1" applyFill="1" applyBorder="1" applyAlignment="1">
      <alignment horizontal="center" vertical="center" wrapText="1"/>
    </xf>
    <xf numFmtId="0" fontId="90" fillId="37" borderId="14" xfId="0" applyFont="1" applyFill="1" applyBorder="1" applyAlignment="1">
      <alignment vertical="center" wrapText="1"/>
    </xf>
    <xf numFmtId="2" fontId="90" fillId="37" borderId="14" xfId="0" applyNumberFormat="1" applyFont="1" applyFill="1" applyBorder="1" applyAlignment="1">
      <alignment vertical="center" wrapText="1"/>
    </xf>
    <xf numFmtId="16" fontId="95" fillId="0" borderId="14" xfId="0" applyNumberFormat="1" applyFont="1" applyBorder="1" applyAlignment="1">
      <alignment horizontal="center" vertical="center" wrapText="1"/>
    </xf>
    <xf numFmtId="0" fontId="95" fillId="25" borderId="14" xfId="0" applyFont="1" applyFill="1" applyBorder="1" applyAlignment="1">
      <alignment horizontal="center"/>
    </xf>
    <xf numFmtId="0" fontId="95" fillId="25" borderId="21" xfId="0" applyFont="1" applyFill="1" applyBorder="1" applyAlignment="1">
      <alignment horizontal="center"/>
    </xf>
    <xf numFmtId="0" fontId="95" fillId="0" borderId="0" xfId="0" applyFont="1" applyAlignment="1">
      <alignment horizontal="center"/>
    </xf>
    <xf numFmtId="0" fontId="0" fillId="0" borderId="84" xfId="0" applyBorder="1" applyAlignment="1">
      <alignment horizontal="center"/>
    </xf>
    <xf numFmtId="0" fontId="78" fillId="16" borderId="80" xfId="0" applyFont="1" applyFill="1" applyBorder="1" applyAlignment="1">
      <alignment horizontal="center" vertical="center" wrapText="1"/>
    </xf>
    <xf numFmtId="0" fontId="0" fillId="16" borderId="80" xfId="0" applyFill="1" applyBorder="1" applyAlignment="1">
      <alignment horizontal="center" vertical="center" wrapText="1"/>
    </xf>
    <xf numFmtId="0" fontId="80" fillId="17" borderId="80" xfId="0" applyFont="1" applyFill="1" applyBorder="1" applyAlignment="1">
      <alignment horizontal="center" vertical="center" wrapText="1"/>
    </xf>
    <xf numFmtId="0" fontId="0" fillId="0" borderId="80" xfId="0" applyBorder="1" applyAlignment="1">
      <alignment horizontal="center" vertical="center" wrapText="1"/>
    </xf>
    <xf numFmtId="0" fontId="0" fillId="0" borderId="80" xfId="0" applyBorder="1" applyAlignment="1">
      <alignment horizontal="center" vertical="center"/>
    </xf>
    <xf numFmtId="0" fontId="80" fillId="17" borderId="80" xfId="0" applyFont="1" applyFill="1" applyBorder="1" applyAlignment="1">
      <alignment horizontal="center" vertical="center"/>
    </xf>
    <xf numFmtId="0" fontId="76" fillId="0" borderId="107" xfId="0" applyFont="1" applyBorder="1" applyAlignment="1">
      <alignment horizontal="center" vertical="center" wrapText="1"/>
    </xf>
    <xf numFmtId="0" fontId="76" fillId="0" borderId="108" xfId="0" applyFont="1" applyBorder="1" applyAlignment="1">
      <alignment horizontal="center" vertical="center" wrapText="1"/>
    </xf>
    <xf numFmtId="0" fontId="76" fillId="0" borderId="106" xfId="0" applyFont="1" applyBorder="1" applyAlignment="1">
      <alignment horizontal="center" vertical="center" wrapText="1"/>
    </xf>
    <xf numFmtId="0" fontId="0" fillId="0" borderId="89" xfId="0" applyBorder="1" applyAlignment="1">
      <alignment horizontal="center"/>
    </xf>
    <xf numFmtId="0" fontId="106" fillId="0" borderId="0" xfId="0" applyFont="1" applyAlignment="1">
      <alignment horizontal="center" vertical="center"/>
    </xf>
    <xf numFmtId="0" fontId="81" fillId="0" borderId="0" xfId="0" applyFont="1" applyAlignment="1">
      <alignment horizontal="center"/>
    </xf>
    <xf numFmtId="0" fontId="90" fillId="0" borderId="0" xfId="0" applyFont="1" applyAlignment="1">
      <alignment horizontal="center"/>
    </xf>
    <xf numFmtId="49" fontId="90" fillId="30" borderId="21" xfId="0" applyNumberFormat="1" applyFont="1" applyFill="1" applyBorder="1" applyAlignment="1">
      <alignment horizontal="center" vertical="top" wrapText="1"/>
    </xf>
    <xf numFmtId="49" fontId="91" fillId="31" borderId="19" xfId="0" applyNumberFormat="1" applyFont="1" applyFill="1" applyBorder="1" applyAlignment="1">
      <alignment horizontal="center" vertical="top" wrapText="1"/>
    </xf>
    <xf numFmtId="49" fontId="91" fillId="31" borderId="14" xfId="0" applyNumberFormat="1" applyFont="1" applyFill="1" applyBorder="1" applyAlignment="1">
      <alignment horizontal="center" vertical="top" wrapText="1"/>
    </xf>
    <xf numFmtId="49" fontId="91" fillId="31" borderId="21" xfId="0" applyNumberFormat="1" applyFont="1" applyFill="1" applyBorder="1" applyAlignment="1">
      <alignment horizontal="center" vertical="top" wrapText="1"/>
    </xf>
    <xf numFmtId="0" fontId="75" fillId="0" borderId="0" xfId="0" applyFont="1" applyAlignment="1">
      <alignment horizontal="center" vertical="center" wrapText="1"/>
    </xf>
    <xf numFmtId="0" fontId="134" fillId="30" borderId="14" xfId="0" applyFont="1" applyFill="1" applyBorder="1" applyAlignment="1">
      <alignment horizontal="center" vertical="center" wrapText="1"/>
    </xf>
    <xf numFmtId="0" fontId="91" fillId="31" borderId="14" xfId="0" applyFont="1" applyFill="1" applyBorder="1" applyAlignment="1">
      <alignment horizontal="center" vertical="center"/>
    </xf>
    <xf numFmtId="49" fontId="90" fillId="31" borderId="0" xfId="0" applyNumberFormat="1" applyFont="1" applyFill="1" applyAlignment="1">
      <alignment horizontal="center" vertical="center" wrapText="1"/>
    </xf>
    <xf numFmtId="49" fontId="90" fillId="31" borderId="38" xfId="0" applyNumberFormat="1" applyFont="1" applyFill="1" applyBorder="1" applyAlignment="1">
      <alignment horizontal="center" vertical="center" wrapText="1"/>
    </xf>
    <xf numFmtId="0" fontId="108" fillId="0" borderId="0" xfId="0" applyFont="1" applyAlignment="1">
      <alignment horizontal="center" vertical="center" wrapText="1"/>
    </xf>
    <xf numFmtId="0" fontId="106" fillId="0" borderId="0" xfId="0" applyFont="1" applyAlignment="1">
      <alignment horizontal="center" vertical="center" wrapText="1"/>
    </xf>
    <xf numFmtId="0" fontId="132" fillId="0" borderId="0" xfId="0" applyFont="1" applyAlignment="1">
      <alignment horizontal="center" vertical="center" wrapText="1"/>
    </xf>
    <xf numFmtId="0" fontId="91" fillId="31" borderId="21" xfId="0" applyFont="1" applyFill="1" applyBorder="1" applyAlignment="1">
      <alignment horizontal="center" vertical="center"/>
    </xf>
    <xf numFmtId="0" fontId="91" fillId="31" borderId="37" xfId="0" applyFont="1" applyFill="1" applyBorder="1" applyAlignment="1">
      <alignment horizontal="center" vertical="center"/>
    </xf>
    <xf numFmtId="0" fontId="91" fillId="31" borderId="15" xfId="0" applyFont="1" applyFill="1" applyBorder="1" applyAlignment="1">
      <alignment horizontal="center" vertical="center"/>
    </xf>
    <xf numFmtId="49" fontId="90" fillId="30" borderId="19" xfId="0" applyNumberFormat="1" applyFont="1" applyFill="1" applyBorder="1" applyAlignment="1">
      <alignment horizontal="center" vertical="center" wrapText="1"/>
    </xf>
    <xf numFmtId="49" fontId="90" fillId="30" borderId="31" xfId="0" applyNumberFormat="1" applyFont="1" applyFill="1" applyBorder="1" applyAlignment="1">
      <alignment horizontal="center" vertical="center" wrapText="1"/>
    </xf>
    <xf numFmtId="49" fontId="91" fillId="30" borderId="21" xfId="0" applyNumberFormat="1" applyFont="1" applyFill="1" applyBorder="1" applyAlignment="1">
      <alignment horizontal="center" vertical="center" wrapText="1"/>
    </xf>
    <xf numFmtId="49" fontId="91" fillId="31" borderId="19" xfId="0" applyNumberFormat="1" applyFont="1" applyFill="1" applyBorder="1" applyAlignment="1">
      <alignment horizontal="center" vertical="center" wrapText="1"/>
    </xf>
    <xf numFmtId="49" fontId="91" fillId="30" borderId="19" xfId="0" applyNumberFormat="1" applyFont="1" applyFill="1" applyBorder="1" applyAlignment="1">
      <alignment horizontal="center" vertical="center" wrapText="1"/>
    </xf>
    <xf numFmtId="0" fontId="91" fillId="31" borderId="19" xfId="0" applyFont="1" applyFill="1" applyBorder="1" applyAlignment="1">
      <alignment horizontal="center" vertical="center"/>
    </xf>
    <xf numFmtId="0" fontId="91" fillId="27" borderId="24" xfId="0" applyFont="1" applyFill="1" applyBorder="1" applyAlignment="1">
      <alignment horizontal="center" vertical="center"/>
    </xf>
    <xf numFmtId="0" fontId="91" fillId="30" borderId="14" xfId="0" applyFont="1" applyFill="1" applyBorder="1" applyAlignment="1">
      <alignment horizontal="center" vertical="center" wrapText="1"/>
    </xf>
    <xf numFmtId="0" fontId="91" fillId="30" borderId="15" xfId="0" applyFont="1" applyFill="1" applyBorder="1" applyAlignment="1">
      <alignment horizontal="center" vertical="center"/>
    </xf>
    <xf numFmtId="0" fontId="0" fillId="0" borderId="86" xfId="0" applyBorder="1" applyAlignment="1">
      <alignment horizontal="center" vertical="top" wrapText="1"/>
    </xf>
    <xf numFmtId="0" fontId="0" fillId="0" borderId="0" xfId="0" applyAlignment="1">
      <alignment horizontal="center" vertical="top" wrapText="1"/>
    </xf>
    <xf numFmtId="0" fontId="0" fillId="0" borderId="87" xfId="0" applyBorder="1" applyAlignment="1">
      <alignment horizontal="center" vertical="top" wrapText="1"/>
    </xf>
    <xf numFmtId="0" fontId="72" fillId="0" borderId="86" xfId="0" applyFont="1" applyBorder="1" applyAlignment="1">
      <alignment horizontal="center"/>
    </xf>
    <xf numFmtId="0" fontId="72" fillId="0" borderId="0" xfId="0" applyFont="1" applyAlignment="1">
      <alignment horizontal="center"/>
    </xf>
    <xf numFmtId="0" fontId="72" fillId="0" borderId="87" xfId="0" applyFont="1" applyBorder="1" applyAlignment="1">
      <alignment horizontal="center"/>
    </xf>
    <xf numFmtId="0" fontId="91" fillId="0" borderId="84" xfId="10" applyFont="1" applyBorder="1" applyAlignment="1">
      <alignment horizontal="left" vertical="top" wrapText="1"/>
    </xf>
    <xf numFmtId="0" fontId="91" fillId="0" borderId="85" xfId="10" applyFont="1" applyBorder="1" applyAlignment="1">
      <alignment horizontal="left" vertical="top" wrapText="1"/>
    </xf>
    <xf numFmtId="0" fontId="72" fillId="0" borderId="86" xfId="0" applyFont="1" applyBorder="1" applyAlignment="1">
      <alignment horizontal="center" wrapText="1"/>
    </xf>
    <xf numFmtId="0" fontId="72" fillId="0" borderId="0" xfId="0" applyFont="1" applyAlignment="1">
      <alignment horizontal="center" wrapText="1"/>
    </xf>
    <xf numFmtId="0" fontId="72" fillId="0" borderId="87" xfId="0" applyFont="1" applyBorder="1" applyAlignment="1">
      <alignment horizontal="center" wrapText="1"/>
    </xf>
    <xf numFmtId="0" fontId="72" fillId="0" borderId="86" xfId="0" applyFont="1" applyBorder="1" applyAlignment="1">
      <alignment horizontal="center" vertical="center"/>
    </xf>
    <xf numFmtId="0" fontId="72" fillId="0" borderId="0" xfId="0" applyFont="1" applyAlignment="1">
      <alignment horizontal="center" vertical="center"/>
    </xf>
    <xf numFmtId="0" fontId="72" fillId="0" borderId="87" xfId="0" applyFont="1" applyBorder="1" applyAlignment="1">
      <alignment horizontal="center" vertical="center"/>
    </xf>
    <xf numFmtId="0" fontId="0" fillId="0" borderId="110" xfId="0" applyBorder="1" applyAlignment="1">
      <alignment horizontal="left"/>
    </xf>
    <xf numFmtId="0" fontId="29" fillId="0" borderId="86" xfId="0" applyFont="1" applyBorder="1" applyAlignment="1">
      <alignment horizontal="center" vertical="center"/>
    </xf>
    <xf numFmtId="0" fontId="29" fillId="0" borderId="0" xfId="0" applyFont="1" applyAlignment="1">
      <alignment horizontal="center" vertical="center"/>
    </xf>
    <xf numFmtId="0" fontId="29" fillId="0" borderId="87" xfId="0" applyFont="1" applyBorder="1" applyAlignment="1">
      <alignment horizontal="center" vertical="center"/>
    </xf>
    <xf numFmtId="0" fontId="0" fillId="0" borderId="91" xfId="0" applyBorder="1" applyAlignment="1">
      <alignment horizontal="center" vertical="center"/>
    </xf>
    <xf numFmtId="0" fontId="0" fillId="0" borderId="92" xfId="0" applyBorder="1" applyAlignment="1">
      <alignment horizontal="center" vertical="center"/>
    </xf>
    <xf numFmtId="0" fontId="0" fillId="0" borderId="91" xfId="0" applyBorder="1" applyAlignment="1">
      <alignment horizontal="left" vertical="center" wrapText="1"/>
    </xf>
    <xf numFmtId="0" fontId="0" fillId="0" borderId="92" xfId="0" applyBorder="1" applyAlignment="1">
      <alignment horizontal="left" vertical="center" wrapText="1"/>
    </xf>
    <xf numFmtId="0" fontId="0" fillId="0" borderId="80" xfId="0" applyBorder="1" applyAlignment="1">
      <alignment horizontal="left" vertical="center" wrapText="1"/>
    </xf>
    <xf numFmtId="0" fontId="78" fillId="16" borderId="91" xfId="0" applyFont="1" applyFill="1" applyBorder="1" applyAlignment="1">
      <alignment horizontal="center" vertical="center" wrapText="1"/>
    </xf>
    <xf numFmtId="0" fontId="78" fillId="16" borderId="92" xfId="0" applyFont="1" applyFill="1" applyBorder="1" applyAlignment="1">
      <alignment horizontal="center" vertical="center" wrapText="1"/>
    </xf>
    <xf numFmtId="0" fontId="78" fillId="16" borderId="80" xfId="0" applyFont="1" applyFill="1" applyBorder="1" applyAlignment="1">
      <alignment horizontal="center" vertical="center" wrapText="1"/>
    </xf>
    <xf numFmtId="0" fontId="0" fillId="0" borderId="91" xfId="0" applyBorder="1" applyAlignment="1">
      <alignment horizontal="left" vertical="center"/>
    </xf>
    <xf numFmtId="0" fontId="0" fillId="0" borderId="93" xfId="0" applyBorder="1" applyAlignment="1">
      <alignment horizontal="left" vertical="center"/>
    </xf>
    <xf numFmtId="0" fontId="0" fillId="0" borderId="92" xfId="0" applyBorder="1" applyAlignment="1">
      <alignment horizontal="left" vertical="center"/>
    </xf>
    <xf numFmtId="0" fontId="0" fillId="0" borderId="93" xfId="0" applyBorder="1" applyAlignment="1">
      <alignment horizontal="left" vertical="center" wrapText="1"/>
    </xf>
    <xf numFmtId="0" fontId="78" fillId="16" borderId="91" xfId="0" applyFont="1" applyFill="1" applyBorder="1" applyAlignment="1">
      <alignment horizontal="left" vertical="center" wrapText="1"/>
    </xf>
    <xf numFmtId="0" fontId="78" fillId="16" borderId="92" xfId="0" applyFont="1" applyFill="1" applyBorder="1" applyAlignment="1">
      <alignment horizontal="left" vertical="center" wrapText="1"/>
    </xf>
    <xf numFmtId="0" fontId="0" fillId="0" borderId="80" xfId="0" applyBorder="1" applyAlignment="1">
      <alignment horizontal="center" vertical="center" wrapText="1"/>
    </xf>
    <xf numFmtId="0" fontId="0" fillId="0" borderId="91" xfId="0" applyBorder="1" applyAlignment="1">
      <alignment horizontal="center" vertical="center" wrapText="1"/>
    </xf>
    <xf numFmtId="0" fontId="0" fillId="0" borderId="92" xfId="0" applyBorder="1" applyAlignment="1">
      <alignment horizontal="center" vertical="center" wrapText="1"/>
    </xf>
    <xf numFmtId="0" fontId="82" fillId="0" borderId="0" xfId="0" applyFont="1" applyAlignment="1">
      <alignment horizontal="left" vertical="center" wrapText="1"/>
    </xf>
    <xf numFmtId="0" fontId="112" fillId="0" borderId="0" xfId="0" applyFont="1" applyAlignment="1">
      <alignment vertical="center" wrapText="1"/>
    </xf>
    <xf numFmtId="0" fontId="82" fillId="0" borderId="0" xfId="0" applyFont="1" applyAlignment="1">
      <alignment horizontal="justify" vertical="center" wrapText="1"/>
    </xf>
    <xf numFmtId="0" fontId="115" fillId="0" borderId="0" xfId="0" applyFont="1" applyAlignment="1">
      <alignment vertical="center" wrapText="1"/>
    </xf>
    <xf numFmtId="0" fontId="115" fillId="0" borderId="0" xfId="0" applyFont="1" applyAlignment="1">
      <alignment horizontal="left" vertical="center" wrapText="1"/>
    </xf>
    <xf numFmtId="0" fontId="86" fillId="21" borderId="77" xfId="0" applyFont="1" applyFill="1" applyBorder="1" applyAlignment="1">
      <alignment horizontal="left" vertical="center" wrapText="1"/>
    </xf>
    <xf numFmtId="0" fontId="86" fillId="21" borderId="78" xfId="0" applyFont="1" applyFill="1" applyBorder="1" applyAlignment="1">
      <alignment horizontal="left" vertical="center" wrapText="1"/>
    </xf>
    <xf numFmtId="0" fontId="72" fillId="0" borderId="83" xfId="0" applyFont="1" applyBorder="1" applyAlignment="1">
      <alignment horizontal="center" vertical="center" wrapText="1"/>
    </xf>
    <xf numFmtId="0" fontId="72" fillId="0" borderId="84" xfId="0" applyFont="1" applyBorder="1" applyAlignment="1">
      <alignment horizontal="center" vertical="center" wrapText="1"/>
    </xf>
    <xf numFmtId="0" fontId="72" fillId="0" borderId="85" xfId="0" applyFont="1" applyBorder="1" applyAlignment="1">
      <alignment horizontal="center" vertical="center" wrapText="1"/>
    </xf>
    <xf numFmtId="0" fontId="0" fillId="0" borderId="86" xfId="0" applyBorder="1" applyAlignment="1">
      <alignment vertical="center"/>
    </xf>
    <xf numFmtId="0" fontId="0" fillId="0" borderId="0" xfId="0" applyAlignment="1">
      <alignment vertical="center"/>
    </xf>
    <xf numFmtId="0" fontId="0" fillId="0" borderId="87" xfId="0" applyBorder="1" applyAlignment="1">
      <alignment vertical="center"/>
    </xf>
    <xf numFmtId="0" fontId="114" fillId="0" borderId="0" xfId="0" applyFont="1" applyAlignment="1">
      <alignment vertical="center" wrapText="1"/>
    </xf>
    <xf numFmtId="0" fontId="82" fillId="0" borderId="76" xfId="0" applyFont="1" applyBorder="1" applyAlignment="1">
      <alignment horizontal="left" vertical="center" wrapText="1"/>
    </xf>
    <xf numFmtId="0" fontId="82" fillId="0" borderId="116" xfId="0" applyFont="1" applyBorder="1" applyAlignment="1">
      <alignment horizontal="left" vertical="center" wrapText="1"/>
    </xf>
    <xf numFmtId="0" fontId="82" fillId="0" borderId="111" xfId="0" applyFont="1" applyBorder="1" applyAlignment="1">
      <alignment horizontal="left" vertical="center" wrapText="1"/>
    </xf>
    <xf numFmtId="0" fontId="82" fillId="0" borderId="14" xfId="0" applyFont="1" applyBorder="1" applyAlignment="1">
      <alignment horizontal="left" vertical="center" wrapText="1"/>
    </xf>
    <xf numFmtId="0" fontId="81" fillId="0" borderId="115" xfId="0" applyFont="1" applyBorder="1" applyAlignment="1">
      <alignment horizontal="left" vertical="center" wrapText="1"/>
    </xf>
    <xf numFmtId="0" fontId="81" fillId="0" borderId="19" xfId="0" applyFont="1" applyBorder="1" applyAlignment="1">
      <alignment horizontal="left" vertical="center" wrapText="1"/>
    </xf>
    <xf numFmtId="0" fontId="82" fillId="0" borderId="28" xfId="0" applyFont="1" applyBorder="1" applyAlignment="1">
      <alignment horizontal="left" vertical="center" wrapText="1"/>
    </xf>
    <xf numFmtId="0" fontId="82" fillId="0" borderId="26" xfId="0" applyFont="1" applyBorder="1" applyAlignment="1">
      <alignment horizontal="left" vertical="center" wrapText="1"/>
    </xf>
    <xf numFmtId="0" fontId="82" fillId="0" borderId="56" xfId="0" applyFont="1" applyBorder="1" applyAlignment="1">
      <alignment horizontal="left" vertical="center" wrapText="1"/>
    </xf>
    <xf numFmtId="0" fontId="82" fillId="0" borderId="57" xfId="0" applyFont="1" applyBorder="1" applyAlignment="1">
      <alignment horizontal="left" vertical="center" wrapText="1"/>
    </xf>
    <xf numFmtId="0" fontId="81" fillId="17" borderId="28" xfId="0" applyFont="1" applyFill="1" applyBorder="1" applyAlignment="1">
      <alignment horizontal="left" vertical="center" wrapText="1"/>
    </xf>
    <xf numFmtId="0" fontId="81" fillId="17" borderId="26" xfId="0" applyFont="1" applyFill="1" applyBorder="1" applyAlignment="1">
      <alignment horizontal="left" vertical="center" wrapText="1"/>
    </xf>
    <xf numFmtId="0" fontId="82" fillId="0" borderId="119" xfId="0" applyFont="1" applyBorder="1" applyAlignment="1">
      <alignment horizontal="left" vertical="center" wrapText="1"/>
    </xf>
    <xf numFmtId="0" fontId="82" fillId="0" borderId="33" xfId="0" applyFont="1" applyBorder="1" applyAlignment="1">
      <alignment horizontal="left" vertical="center" wrapText="1"/>
    </xf>
    <xf numFmtId="0" fontId="82" fillId="0" borderId="0" xfId="0" applyFont="1" applyAlignment="1">
      <alignment horizontal="left"/>
    </xf>
    <xf numFmtId="0" fontId="82" fillId="0" borderId="87" xfId="0" applyFont="1" applyBorder="1" applyAlignment="1">
      <alignment horizontal="left"/>
    </xf>
    <xf numFmtId="0" fontId="126" fillId="31" borderId="114" xfId="0" applyFont="1" applyFill="1" applyBorder="1" applyAlignment="1">
      <alignment horizontal="left" vertical="center" wrapText="1"/>
    </xf>
    <xf numFmtId="0" fontId="126" fillId="31" borderId="17" xfId="0" applyFont="1" applyFill="1" applyBorder="1" applyAlignment="1">
      <alignment horizontal="left" vertical="center" wrapText="1"/>
    </xf>
    <xf numFmtId="0" fontId="76" fillId="0" borderId="0" xfId="0" applyFont="1" applyAlignment="1">
      <alignment horizontal="justify" vertical="center" wrapText="1"/>
    </xf>
    <xf numFmtId="0" fontId="76" fillId="0" borderId="0" xfId="0" applyFont="1" applyAlignment="1">
      <alignment horizontal="justify" vertical="center"/>
    </xf>
    <xf numFmtId="49" fontId="91" fillId="0" borderId="19" xfId="0" applyNumberFormat="1" applyFont="1" applyBorder="1" applyAlignment="1">
      <alignment vertical="center" wrapText="1"/>
    </xf>
    <xf numFmtId="49" fontId="91" fillId="0" borderId="24" xfId="0" applyNumberFormat="1" applyFont="1" applyBorder="1" applyAlignment="1">
      <alignment vertical="center" wrapText="1"/>
    </xf>
    <xf numFmtId="49" fontId="91" fillId="0" borderId="21" xfId="0" applyNumberFormat="1" applyFont="1" applyBorder="1" applyAlignment="1">
      <alignment vertical="center" wrapText="1"/>
    </xf>
    <xf numFmtId="166" fontId="90" fillId="0" borderId="19" xfId="0" applyNumberFormat="1" applyFont="1" applyBorder="1" applyAlignment="1">
      <alignment horizontal="center" vertical="center" wrapText="1"/>
    </xf>
    <xf numFmtId="166" fontId="90" fillId="0" borderId="24" xfId="0" applyNumberFormat="1" applyFont="1" applyBorder="1" applyAlignment="1">
      <alignment horizontal="center" vertical="center" wrapText="1"/>
    </xf>
    <xf numFmtId="166" fontId="90" fillId="0" borderId="21" xfId="0" applyNumberFormat="1" applyFont="1" applyBorder="1" applyAlignment="1">
      <alignment horizontal="center" vertical="center" wrapText="1"/>
    </xf>
    <xf numFmtId="166" fontId="90" fillId="0" borderId="19" xfId="0" applyNumberFormat="1" applyFont="1" applyBorder="1" applyAlignment="1">
      <alignment horizontal="center" vertical="center"/>
    </xf>
    <xf numFmtId="166" fontId="90" fillId="0" borderId="21" xfId="0" applyNumberFormat="1" applyFont="1" applyBorder="1" applyAlignment="1">
      <alignment horizontal="center" vertical="center"/>
    </xf>
    <xf numFmtId="49" fontId="90" fillId="0" borderId="19" xfId="0" applyNumberFormat="1" applyFont="1" applyBorder="1" applyAlignment="1">
      <alignment vertical="center" wrapText="1"/>
    </xf>
    <xf numFmtId="49" fontId="90" fillId="0" borderId="24" xfId="0" applyNumberFormat="1" applyFont="1" applyBorder="1" applyAlignment="1">
      <alignment vertical="center" wrapText="1"/>
    </xf>
    <xf numFmtId="49" fontId="90" fillId="0" borderId="21" xfId="0" applyNumberFormat="1" applyFont="1" applyBorder="1" applyAlignment="1">
      <alignment vertical="center" wrapText="1"/>
    </xf>
    <xf numFmtId="0" fontId="91" fillId="0" borderId="19" xfId="0" applyFont="1" applyBorder="1" applyAlignment="1">
      <alignment horizontal="center" vertical="center"/>
    </xf>
    <xf numFmtId="0" fontId="91" fillId="0" borderId="24" xfId="0" applyFont="1" applyBorder="1" applyAlignment="1">
      <alignment horizontal="center" vertical="center"/>
    </xf>
    <xf numFmtId="0" fontId="91" fillId="0" borderId="21" xfId="0" applyFont="1" applyBorder="1" applyAlignment="1">
      <alignment horizontal="center" vertical="center"/>
    </xf>
    <xf numFmtId="49" fontId="91" fillId="0" borderId="19" xfId="0" applyNumberFormat="1" applyFont="1" applyBorder="1" applyAlignment="1">
      <alignment horizontal="center" vertical="center" wrapText="1"/>
    </xf>
    <xf numFmtId="49" fontId="91" fillId="0" borderId="24" xfId="0" applyNumberFormat="1" applyFont="1" applyBorder="1" applyAlignment="1">
      <alignment horizontal="center" vertical="center" wrapText="1"/>
    </xf>
    <xf numFmtId="49" fontId="91" fillId="0" borderId="21" xfId="0" applyNumberFormat="1" applyFont="1" applyBorder="1" applyAlignment="1">
      <alignment horizontal="center" vertical="center" wrapText="1"/>
    </xf>
    <xf numFmtId="166" fontId="91" fillId="0" borderId="19" xfId="0" applyNumberFormat="1" applyFont="1" applyBorder="1" applyAlignment="1">
      <alignment vertical="center" wrapText="1"/>
    </xf>
    <xf numFmtId="166" fontId="91" fillId="0" borderId="21" xfId="0" applyNumberFormat="1" applyFont="1" applyBorder="1" applyAlignment="1">
      <alignment vertical="center" wrapText="1"/>
    </xf>
    <xf numFmtId="166" fontId="91" fillId="0" borderId="24" xfId="0" applyNumberFormat="1" applyFont="1" applyBorder="1" applyAlignment="1">
      <alignment vertical="center" wrapText="1"/>
    </xf>
    <xf numFmtId="0" fontId="91" fillId="0" borderId="19" xfId="0" applyFont="1" applyBorder="1" applyAlignment="1">
      <alignment vertical="center"/>
    </xf>
    <xf numFmtId="0" fontId="91" fillId="0" borderId="24" xfId="0" applyFont="1" applyBorder="1" applyAlignment="1">
      <alignment vertical="center"/>
    </xf>
    <xf numFmtId="0" fontId="91" fillId="0" borderId="21" xfId="0" applyFont="1" applyBorder="1" applyAlignment="1">
      <alignment vertical="center"/>
    </xf>
    <xf numFmtId="0" fontId="90" fillId="0" borderId="19" xfId="0" applyFont="1" applyBorder="1" applyAlignment="1">
      <alignment vertical="center" wrapText="1"/>
    </xf>
    <xf numFmtId="0" fontId="90" fillId="0" borderId="24" xfId="0" applyFont="1" applyBorder="1" applyAlignment="1">
      <alignment vertical="center" wrapText="1"/>
    </xf>
    <xf numFmtId="0" fontId="90" fillId="0" borderId="21" xfId="0" applyFont="1" applyBorder="1" applyAlignment="1">
      <alignment vertical="center" wrapText="1"/>
    </xf>
    <xf numFmtId="0" fontId="91" fillId="0" borderId="101" xfId="0" applyFont="1" applyBorder="1" applyAlignment="1">
      <alignment vertical="center" textRotation="90" wrapText="1"/>
    </xf>
    <xf numFmtId="0" fontId="91" fillId="0" borderId="103" xfId="0" applyFont="1" applyBorder="1" applyAlignment="1">
      <alignment vertical="center" textRotation="90" wrapText="1"/>
    </xf>
    <xf numFmtId="0" fontId="91" fillId="0" borderId="100" xfId="0" applyFont="1" applyBorder="1" applyAlignment="1">
      <alignment vertical="center" textRotation="90" wrapText="1"/>
    </xf>
    <xf numFmtId="0" fontId="91" fillId="0" borderId="38" xfId="0" applyFont="1" applyBorder="1" applyAlignment="1">
      <alignment vertical="center" wrapText="1"/>
    </xf>
    <xf numFmtId="49" fontId="90" fillId="0" borderId="14" xfId="0" applyNumberFormat="1" applyFont="1" applyBorder="1" applyAlignment="1">
      <alignment vertical="center" wrapText="1"/>
    </xf>
    <xf numFmtId="49" fontId="90" fillId="0" borderId="19" xfId="0" applyNumberFormat="1" applyFont="1" applyBorder="1" applyAlignment="1">
      <alignment horizontal="center" vertical="center" wrapText="1"/>
    </xf>
    <xf numFmtId="49" fontId="90" fillId="0" borderId="21" xfId="0" applyNumberFormat="1" applyFont="1" applyBorder="1" applyAlignment="1">
      <alignment horizontal="center" vertical="center" wrapText="1"/>
    </xf>
    <xf numFmtId="0" fontId="91" fillId="0" borderId="14" xfId="0" applyFont="1" applyBorder="1" applyAlignment="1">
      <alignment vertical="center" wrapText="1"/>
    </xf>
    <xf numFmtId="0" fontId="90" fillId="0" borderId="14" xfId="0" applyFont="1" applyBorder="1" applyAlignment="1">
      <alignment vertical="center" wrapText="1"/>
    </xf>
    <xf numFmtId="0" fontId="90" fillId="4" borderId="14" xfId="0" applyFont="1" applyFill="1" applyBorder="1" applyAlignment="1">
      <alignment vertical="center" wrapText="1"/>
    </xf>
    <xf numFmtId="0" fontId="91" fillId="31" borderId="15" xfId="0" applyFont="1" applyFill="1" applyBorder="1" applyAlignment="1">
      <alignment vertical="center" wrapText="1"/>
    </xf>
    <xf numFmtId="0" fontId="91" fillId="31" borderId="35" xfId="0" applyFont="1" applyFill="1" applyBorder="1" applyAlignment="1">
      <alignment vertical="center" wrapText="1"/>
    </xf>
    <xf numFmtId="0" fontId="91" fillId="31" borderId="17" xfId="0" applyFont="1" applyFill="1" applyBorder="1" applyAlignment="1">
      <alignment vertical="center" wrapText="1"/>
    </xf>
    <xf numFmtId="49" fontId="90" fillId="4" borderId="24" xfId="0" applyNumberFormat="1" applyFont="1" applyFill="1" applyBorder="1" applyAlignment="1">
      <alignment vertical="center" wrapText="1"/>
    </xf>
    <xf numFmtId="49" fontId="90" fillId="4" borderId="21" xfId="0" applyNumberFormat="1" applyFont="1" applyFill="1" applyBorder="1" applyAlignment="1">
      <alignment vertical="center" wrapText="1"/>
    </xf>
    <xf numFmtId="0" fontId="91" fillId="0" borderId="14" xfId="0" applyFont="1" applyBorder="1" applyAlignment="1">
      <alignment vertical="center" textRotation="90" wrapText="1"/>
    </xf>
    <xf numFmtId="166" fontId="90" fillId="0" borderId="32" xfId="0" applyNumberFormat="1" applyFont="1" applyBorder="1" applyAlignment="1">
      <alignment horizontal="center" vertical="center" wrapText="1"/>
    </xf>
    <xf numFmtId="166" fontId="90" fillId="0" borderId="57" xfId="0" applyNumberFormat="1" applyFont="1" applyBorder="1" applyAlignment="1">
      <alignment horizontal="center" vertical="center" wrapText="1"/>
    </xf>
    <xf numFmtId="166" fontId="90" fillId="0" borderId="33" xfId="0" applyNumberFormat="1" applyFont="1" applyBorder="1" applyAlignment="1">
      <alignment horizontal="center" vertical="center" wrapText="1"/>
    </xf>
    <xf numFmtId="0" fontId="91" fillId="0" borderId="66" xfId="0" applyFont="1" applyBorder="1" applyAlignment="1">
      <alignment vertical="center" textRotation="90" wrapText="1"/>
    </xf>
    <xf numFmtId="0" fontId="91" fillId="17" borderId="14" xfId="0" applyFont="1" applyFill="1" applyBorder="1" applyAlignment="1">
      <alignment vertical="center"/>
    </xf>
    <xf numFmtId="0" fontId="91" fillId="0" borderId="19" xfId="0" applyFont="1" applyBorder="1" applyAlignment="1">
      <alignment vertical="center" textRotation="90" wrapText="1"/>
    </xf>
    <xf numFmtId="0" fontId="91" fillId="0" borderId="102" xfId="0" applyFont="1" applyBorder="1" applyAlignment="1">
      <alignment vertical="center" textRotation="90" wrapText="1"/>
    </xf>
    <xf numFmtId="166" fontId="91" fillId="0" borderId="14" xfId="0" applyNumberFormat="1" applyFont="1" applyBorder="1" applyAlignment="1">
      <alignment vertical="center" wrapText="1"/>
    </xf>
    <xf numFmtId="166" fontId="91" fillId="0" borderId="14" xfId="0" applyNumberFormat="1" applyFont="1" applyBorder="1" applyAlignment="1">
      <alignment vertical="center"/>
    </xf>
    <xf numFmtId="49" fontId="91" fillId="0" borderId="14" xfId="0" applyNumberFormat="1" applyFont="1" applyBorder="1" applyAlignment="1">
      <alignment vertical="center" wrapText="1"/>
    </xf>
    <xf numFmtId="0" fontId="91" fillId="0" borderId="14" xfId="0" applyFont="1" applyBorder="1" applyAlignment="1">
      <alignment horizontal="center" vertical="center"/>
    </xf>
    <xf numFmtId="166" fontId="90" fillId="0" borderId="14" xfId="0" applyNumberFormat="1" applyFont="1" applyBorder="1" applyAlignment="1">
      <alignment horizontal="center" vertical="center"/>
    </xf>
    <xf numFmtId="49" fontId="90" fillId="4" borderId="19" xfId="0" applyNumberFormat="1" applyFont="1" applyFill="1" applyBorder="1" applyAlignment="1">
      <alignment vertical="center" wrapText="1"/>
    </xf>
    <xf numFmtId="0" fontId="91" fillId="4" borderId="19" xfId="0" applyFont="1" applyFill="1" applyBorder="1" applyAlignment="1">
      <alignment vertical="center" textRotation="90" wrapText="1"/>
    </xf>
    <xf numFmtId="0" fontId="91" fillId="4" borderId="21" xfId="0" applyFont="1" applyFill="1" applyBorder="1" applyAlignment="1">
      <alignment vertical="center" textRotation="90" wrapText="1"/>
    </xf>
    <xf numFmtId="166" fontId="91" fillId="0" borderId="19" xfId="0" applyNumberFormat="1" applyFont="1" applyBorder="1" applyAlignment="1">
      <alignment vertical="center"/>
    </xf>
    <xf numFmtId="166" fontId="91" fillId="0" borderId="21" xfId="0" applyNumberFormat="1" applyFont="1" applyBorder="1" applyAlignment="1">
      <alignment vertical="center"/>
    </xf>
    <xf numFmtId="166" fontId="91" fillId="0" borderId="24" xfId="0" applyNumberFormat="1" applyFont="1" applyBorder="1" applyAlignment="1">
      <alignment vertical="center"/>
    </xf>
    <xf numFmtId="0" fontId="91" fillId="0" borderId="49" xfId="0" applyFont="1" applyBorder="1" applyAlignment="1">
      <alignment vertical="center" textRotation="90" wrapText="1"/>
    </xf>
    <xf numFmtId="0" fontId="91" fillId="0" borderId="24" xfId="0" applyFont="1" applyBorder="1" applyAlignment="1">
      <alignment vertical="center" textRotation="90" wrapText="1"/>
    </xf>
    <xf numFmtId="0" fontId="91" fillId="0" borderId="21" xfId="0" applyFont="1" applyBorder="1" applyAlignment="1">
      <alignment vertical="center" textRotation="90" wrapText="1"/>
    </xf>
    <xf numFmtId="0" fontId="90" fillId="4" borderId="19" xfId="0" applyFont="1" applyFill="1" applyBorder="1" applyAlignment="1">
      <alignment vertical="center" wrapText="1"/>
    </xf>
    <xf numFmtId="0" fontId="90" fillId="4" borderId="21" xfId="0" applyFont="1" applyFill="1" applyBorder="1" applyAlignment="1">
      <alignment vertical="center" wrapText="1"/>
    </xf>
    <xf numFmtId="166" fontId="132" fillId="0" borderId="21" xfId="0" applyNumberFormat="1" applyFont="1" applyBorder="1" applyAlignment="1">
      <alignment vertical="center" wrapText="1"/>
    </xf>
    <xf numFmtId="0" fontId="91" fillId="0" borderId="96" xfId="0" applyFont="1" applyBorder="1" applyAlignment="1">
      <alignment vertical="center"/>
    </xf>
    <xf numFmtId="0" fontId="91" fillId="0" borderId="95" xfId="0" applyFont="1" applyBorder="1" applyAlignment="1">
      <alignment vertical="center"/>
    </xf>
    <xf numFmtId="0" fontId="91" fillId="31" borderId="19" xfId="0" applyFont="1" applyFill="1" applyBorder="1" applyAlignment="1">
      <alignment vertical="center" wrapText="1"/>
    </xf>
    <xf numFmtId="0" fontId="91" fillId="31" borderId="21" xfId="0" applyFont="1" applyFill="1" applyBorder="1" applyAlignment="1">
      <alignment vertical="center" wrapText="1"/>
    </xf>
    <xf numFmtId="0" fontId="91" fillId="31" borderId="101" xfId="0" applyFont="1" applyFill="1" applyBorder="1" applyAlignment="1">
      <alignment vertical="center" textRotation="90" wrapText="1"/>
    </xf>
    <xf numFmtId="0" fontId="91" fillId="31" borderId="100" xfId="0" applyFont="1" applyFill="1" applyBorder="1" applyAlignment="1">
      <alignment vertical="center" textRotation="90" wrapText="1"/>
    </xf>
    <xf numFmtId="166" fontId="91" fillId="0" borderId="32" xfId="0" applyNumberFormat="1" applyFont="1" applyBorder="1" applyAlignment="1">
      <alignment vertical="center" wrapText="1"/>
    </xf>
    <xf numFmtId="166" fontId="91" fillId="0" borderId="33" xfId="0" applyNumberFormat="1" applyFont="1" applyBorder="1" applyAlignment="1">
      <alignment vertical="center" wrapText="1"/>
    </xf>
    <xf numFmtId="0" fontId="90" fillId="0" borderId="19" xfId="0" applyFont="1" applyBorder="1" applyAlignment="1">
      <alignment horizontal="center" vertical="center" wrapText="1"/>
    </xf>
    <xf numFmtId="0" fontId="90" fillId="0" borderId="21" xfId="0" applyFont="1" applyBorder="1" applyAlignment="1">
      <alignment horizontal="center" vertical="center" wrapText="1"/>
    </xf>
    <xf numFmtId="0" fontId="134" fillId="0" borderId="19" xfId="0" applyFont="1" applyBorder="1" applyAlignment="1">
      <alignment horizontal="center" vertical="center" wrapText="1"/>
    </xf>
    <xf numFmtId="0" fontId="134" fillId="0" borderId="21" xfId="0" applyFont="1" applyBorder="1" applyAlignment="1">
      <alignment horizontal="center" vertical="center" wrapText="1"/>
    </xf>
    <xf numFmtId="0" fontId="91" fillId="4" borderId="101" xfId="0" applyFont="1" applyFill="1" applyBorder="1" applyAlignment="1">
      <alignment vertical="center" textRotation="90" wrapText="1"/>
    </xf>
    <xf numFmtId="0" fontId="91" fillId="4" borderId="100" xfId="0" applyFont="1" applyFill="1" applyBorder="1" applyAlignment="1">
      <alignment vertical="center" textRotation="90" wrapText="1"/>
    </xf>
    <xf numFmtId="0" fontId="107" fillId="0" borderId="0" xfId="0" applyFont="1" applyAlignment="1">
      <alignment horizontal="left" vertical="center" wrapText="1"/>
    </xf>
    <xf numFmtId="0" fontId="107" fillId="0" borderId="0" xfId="0" applyFont="1" applyAlignment="1">
      <alignment horizontal="left" vertical="center"/>
    </xf>
    <xf numFmtId="0" fontId="133" fillId="11" borderId="19" xfId="0" applyFont="1" applyFill="1" applyBorder="1" applyAlignment="1">
      <alignment horizontal="center" vertical="center" wrapText="1"/>
    </xf>
    <xf numFmtId="0" fontId="133" fillId="11" borderId="21" xfId="0" applyFont="1" applyFill="1" applyBorder="1" applyAlignment="1">
      <alignment horizontal="center" vertical="center" wrapText="1"/>
    </xf>
    <xf numFmtId="0" fontId="90" fillId="11" borderId="19" xfId="0" applyFont="1" applyFill="1" applyBorder="1" applyAlignment="1">
      <alignment horizontal="center" vertical="center" wrapText="1"/>
    </xf>
    <xf numFmtId="0" fontId="90" fillId="11" borderId="21" xfId="0" applyFont="1" applyFill="1" applyBorder="1" applyAlignment="1">
      <alignment horizontal="center" vertical="center" wrapText="1"/>
    </xf>
    <xf numFmtId="0" fontId="90" fillId="0" borderId="19" xfId="0" applyFont="1" applyBorder="1" applyAlignment="1">
      <alignment horizontal="center" vertical="center" textRotation="90" wrapText="1"/>
    </xf>
    <xf numFmtId="0" fontId="90" fillId="0" borderId="21" xfId="0" applyFont="1" applyBorder="1" applyAlignment="1">
      <alignment horizontal="center" vertical="center" textRotation="90" wrapText="1"/>
    </xf>
    <xf numFmtId="0" fontId="91" fillId="4" borderId="102" xfId="0" applyFont="1" applyFill="1" applyBorder="1" applyAlignment="1">
      <alignment vertical="center" textRotation="90" wrapText="1"/>
    </xf>
    <xf numFmtId="49" fontId="91" fillId="0" borderId="19" xfId="0" applyNumberFormat="1" applyFont="1" applyBorder="1" applyAlignment="1">
      <alignment horizontal="left" vertical="center" wrapText="1"/>
    </xf>
    <xf numFmtId="49" fontId="91" fillId="0" borderId="24" xfId="0" applyNumberFormat="1" applyFont="1" applyBorder="1" applyAlignment="1">
      <alignment horizontal="left" vertical="center" wrapText="1"/>
    </xf>
    <xf numFmtId="49" fontId="91" fillId="0" borderId="21" xfId="0" applyNumberFormat="1" applyFont="1" applyBorder="1" applyAlignment="1">
      <alignment horizontal="left" vertical="center" wrapText="1"/>
    </xf>
    <xf numFmtId="49" fontId="91" fillId="0" borderId="14" xfId="0" applyNumberFormat="1" applyFont="1" applyBorder="1" applyAlignment="1">
      <alignment horizontal="center" vertical="center" wrapText="1"/>
    </xf>
    <xf numFmtId="0" fontId="91" fillId="0" borderId="0" xfId="0" applyFont="1" applyAlignment="1">
      <alignment horizontal="center" vertical="center"/>
    </xf>
    <xf numFmtId="0" fontId="136" fillId="0" borderId="0" xfId="0" applyFont="1" applyAlignment="1">
      <alignment vertical="center"/>
    </xf>
    <xf numFmtId="0" fontId="106" fillId="0" borderId="0" xfId="0" applyFont="1" applyAlignment="1">
      <alignment vertical="center" wrapText="1"/>
    </xf>
    <xf numFmtId="0" fontId="91" fillId="0" borderId="54" xfId="0" applyFont="1" applyBorder="1" applyAlignment="1">
      <alignment vertical="center"/>
    </xf>
    <xf numFmtId="0" fontId="91" fillId="0" borderId="104" xfId="0" applyFont="1" applyBorder="1" applyAlignment="1">
      <alignment vertical="center"/>
    </xf>
    <xf numFmtId="0" fontId="91" fillId="32" borderId="7" xfId="0" applyFont="1" applyFill="1" applyBorder="1" applyAlignment="1">
      <alignment vertical="center" wrapText="1"/>
    </xf>
    <xf numFmtId="0" fontId="91" fillId="32" borderId="99" xfId="0" applyFont="1" applyFill="1" applyBorder="1" applyAlignment="1">
      <alignment vertical="center" wrapText="1"/>
    </xf>
    <xf numFmtId="0" fontId="91" fillId="32" borderId="7" xfId="0" applyFont="1" applyFill="1" applyBorder="1" applyAlignment="1">
      <alignment vertical="center" textRotation="90" wrapText="1"/>
    </xf>
    <xf numFmtId="0" fontId="91" fillId="32" borderId="9" xfId="0" applyFont="1" applyFill="1" applyBorder="1" applyAlignment="1">
      <alignment vertical="center" textRotation="90" wrapText="1"/>
    </xf>
    <xf numFmtId="0" fontId="134" fillId="0" borderId="15" xfId="0" applyFont="1" applyBorder="1" applyAlignment="1">
      <alignment horizontal="center" vertical="center" wrapText="1"/>
    </xf>
    <xf numFmtId="0" fontId="134" fillId="0" borderId="35" xfId="0" applyFont="1" applyBorder="1" applyAlignment="1">
      <alignment horizontal="center" vertical="center" wrapText="1"/>
    </xf>
    <xf numFmtId="0" fontId="134" fillId="0" borderId="17" xfId="0" applyFont="1" applyBorder="1" applyAlignment="1">
      <alignment horizontal="center" vertical="center" wrapText="1"/>
    </xf>
    <xf numFmtId="0" fontId="91" fillId="0" borderId="14" xfId="0" applyFont="1" applyBorder="1" applyAlignment="1">
      <alignment vertical="center"/>
    </xf>
    <xf numFmtId="49" fontId="91" fillId="0" borderId="14" xfId="0" applyNumberFormat="1" applyFont="1" applyBorder="1" applyAlignment="1">
      <alignment vertical="center" textRotation="90"/>
    </xf>
    <xf numFmtId="166" fontId="90" fillId="0" borderId="14" xfId="0" applyNumberFormat="1" applyFont="1" applyBorder="1" applyAlignment="1">
      <alignment horizontal="center" vertical="center" wrapText="1"/>
    </xf>
    <xf numFmtId="0" fontId="76" fillId="0" borderId="0" xfId="0" applyFont="1" applyAlignment="1">
      <alignment horizontal="left" vertical="center" wrapText="1"/>
    </xf>
    <xf numFmtId="0" fontId="76" fillId="0" borderId="0" xfId="0" applyFont="1" applyAlignment="1">
      <alignment horizontal="left" vertical="center"/>
    </xf>
    <xf numFmtId="49" fontId="90" fillId="37" borderId="19" xfId="0" applyNumberFormat="1" applyFont="1" applyFill="1" applyBorder="1" applyAlignment="1">
      <alignment vertical="center" wrapText="1"/>
    </xf>
    <xf numFmtId="49" fontId="90" fillId="37" borderId="24" xfId="0" applyNumberFormat="1" applyFont="1" applyFill="1" applyBorder="1" applyAlignment="1">
      <alignment vertical="center" wrapText="1"/>
    </xf>
    <xf numFmtId="49" fontId="90" fillId="37" borderId="21" xfId="0" applyNumberFormat="1" applyFont="1" applyFill="1" applyBorder="1" applyAlignment="1">
      <alignment vertical="center" wrapText="1"/>
    </xf>
    <xf numFmtId="0" fontId="91" fillId="37" borderId="19" xfId="0" applyFont="1" applyFill="1" applyBorder="1" applyAlignment="1">
      <alignment vertical="center"/>
    </xf>
    <xf numFmtId="0" fontId="91" fillId="37" borderId="24" xfId="0" applyFont="1" applyFill="1" applyBorder="1" applyAlignment="1">
      <alignment vertical="center"/>
    </xf>
    <xf numFmtId="0" fontId="91" fillId="37" borderId="21" xfId="0" applyFont="1" applyFill="1" applyBorder="1" applyAlignment="1">
      <alignment vertical="center"/>
    </xf>
    <xf numFmtId="0" fontId="90" fillId="0" borderId="19" xfId="0" applyFont="1" applyBorder="1" applyAlignment="1">
      <alignment horizontal="center" vertical="center"/>
    </xf>
    <xf numFmtId="0" fontId="90" fillId="0" borderId="21" xfId="0" applyFont="1" applyBorder="1" applyAlignment="1">
      <alignment horizontal="center" vertical="center"/>
    </xf>
    <xf numFmtId="49" fontId="90" fillId="0" borderId="14" xfId="0" applyNumberFormat="1" applyFont="1" applyBorder="1" applyAlignment="1">
      <alignment horizontal="center" vertical="center" wrapText="1"/>
    </xf>
    <xf numFmtId="49" fontId="90" fillId="37" borderId="14" xfId="0" applyNumberFormat="1" applyFont="1" applyFill="1" applyBorder="1" applyAlignment="1">
      <alignment horizontal="center" vertical="center" wrapText="1"/>
    </xf>
    <xf numFmtId="0" fontId="90" fillId="0" borderId="14" xfId="0" applyFont="1" applyBorder="1" applyAlignment="1">
      <alignment horizontal="center" vertical="center"/>
    </xf>
    <xf numFmtId="0" fontId="75" fillId="0" borderId="38" xfId="0" applyFont="1" applyBorder="1" applyAlignment="1">
      <alignment vertical="center" wrapText="1"/>
    </xf>
    <xf numFmtId="0" fontId="90" fillId="0" borderId="31" xfId="0" applyFont="1" applyBorder="1" applyAlignment="1">
      <alignment horizontal="center" vertical="center" wrapText="1"/>
    </xf>
    <xf numFmtId="0" fontId="90" fillId="0" borderId="37" xfId="0" applyFont="1" applyBorder="1" applyAlignment="1">
      <alignment horizontal="center" vertical="center" wrapText="1"/>
    </xf>
    <xf numFmtId="0" fontId="90" fillId="0" borderId="32" xfId="0" applyFont="1" applyBorder="1" applyAlignment="1">
      <alignment horizontal="center" vertical="center" wrapText="1"/>
    </xf>
    <xf numFmtId="0" fontId="90" fillId="0" borderId="33" xfId="0" applyFont="1" applyBorder="1" applyAlignment="1">
      <alignment horizontal="center" vertical="center" wrapText="1"/>
    </xf>
    <xf numFmtId="0" fontId="90" fillId="0" borderId="24" xfId="0" applyFont="1" applyBorder="1" applyAlignment="1">
      <alignment horizontal="center" vertical="center"/>
    </xf>
    <xf numFmtId="0" fontId="90" fillId="0" borderId="14" xfId="0" applyFont="1" applyBorder="1" applyAlignment="1">
      <alignment horizontal="center" vertical="center" wrapText="1"/>
    </xf>
    <xf numFmtId="0" fontId="91" fillId="31" borderId="14" xfId="0" applyFont="1" applyFill="1" applyBorder="1" applyAlignment="1">
      <alignment horizontal="center" vertical="center"/>
    </xf>
    <xf numFmtId="0" fontId="91" fillId="31" borderId="7" xfId="0" applyFont="1" applyFill="1" applyBorder="1" applyAlignment="1">
      <alignment vertical="center" wrapText="1"/>
    </xf>
    <xf numFmtId="0" fontId="91" fillId="31" borderId="9" xfId="0" applyFont="1" applyFill="1" applyBorder="1" applyAlignment="1">
      <alignment vertical="center" wrapText="1"/>
    </xf>
    <xf numFmtId="49" fontId="90" fillId="31" borderId="14" xfId="0" applyNumberFormat="1" applyFont="1" applyFill="1" applyBorder="1" applyAlignment="1">
      <alignment horizontal="center" vertical="center" wrapText="1"/>
    </xf>
    <xf numFmtId="0" fontId="134" fillId="0" borderId="14" xfId="0" applyFont="1" applyBorder="1" applyAlignment="1">
      <alignment horizontal="center" vertical="center" wrapText="1"/>
    </xf>
    <xf numFmtId="166" fontId="91" fillId="31" borderId="14" xfId="0" applyNumberFormat="1" applyFont="1" applyFill="1" applyBorder="1" applyAlignment="1">
      <alignment vertical="center" wrapText="1"/>
    </xf>
    <xf numFmtId="166" fontId="91" fillId="31" borderId="14" xfId="0" applyNumberFormat="1" applyFont="1" applyFill="1" applyBorder="1" applyAlignment="1">
      <alignment vertical="center"/>
    </xf>
    <xf numFmtId="49" fontId="90" fillId="31" borderId="14" xfId="0" applyNumberFormat="1" applyFont="1" applyFill="1" applyBorder="1" applyAlignment="1">
      <alignment vertical="center" wrapText="1"/>
    </xf>
    <xf numFmtId="49" fontId="133" fillId="31" borderId="14" xfId="0" applyNumberFormat="1" applyFont="1" applyFill="1" applyBorder="1" applyAlignment="1">
      <alignment vertical="center" wrapText="1"/>
    </xf>
    <xf numFmtId="49" fontId="91" fillId="37" borderId="14" xfId="0" applyNumberFormat="1" applyFont="1" applyFill="1" applyBorder="1" applyAlignment="1">
      <alignment vertical="center" wrapText="1"/>
    </xf>
    <xf numFmtId="0" fontId="133" fillId="23" borderId="19" xfId="0" applyFont="1" applyFill="1" applyBorder="1" applyAlignment="1">
      <alignment horizontal="center" vertical="center" wrapText="1"/>
    </xf>
    <xf numFmtId="0" fontId="133" fillId="23" borderId="21" xfId="0" applyFont="1" applyFill="1" applyBorder="1" applyAlignment="1">
      <alignment horizontal="center" vertical="center" wrapText="1"/>
    </xf>
    <xf numFmtId="0" fontId="91" fillId="31" borderId="14" xfId="0" applyFont="1" applyFill="1" applyBorder="1" applyAlignment="1">
      <alignment vertical="center"/>
    </xf>
    <xf numFmtId="0" fontId="90" fillId="0" borderId="6" xfId="0" applyFont="1" applyBorder="1" applyAlignment="1">
      <alignment vertical="center" wrapText="1"/>
    </xf>
    <xf numFmtId="0" fontId="90" fillId="0" borderId="7" xfId="0" applyFont="1" applyBorder="1" applyAlignment="1">
      <alignment vertical="center" wrapText="1"/>
    </xf>
    <xf numFmtId="49" fontId="90" fillId="0" borderId="8" xfId="0" applyNumberFormat="1" applyFont="1" applyBorder="1" applyAlignment="1">
      <alignment vertical="center"/>
    </xf>
    <xf numFmtId="0" fontId="91" fillId="31" borderId="96" xfId="0" applyFont="1" applyFill="1" applyBorder="1" applyAlignment="1">
      <alignment vertical="center" wrapText="1"/>
    </xf>
    <xf numFmtId="0" fontId="91" fillId="31" borderId="97" xfId="0" applyFont="1" applyFill="1" applyBorder="1" applyAlignment="1">
      <alignment vertical="center" wrapText="1"/>
    </xf>
    <xf numFmtId="0" fontId="91" fillId="31" borderId="95" xfId="0" applyFont="1" applyFill="1" applyBorder="1" applyAlignment="1">
      <alignment vertical="center" wrapText="1"/>
    </xf>
    <xf numFmtId="49" fontId="91" fillId="31" borderId="14" xfId="0" applyNumberFormat="1" applyFont="1" applyFill="1" applyBorder="1" applyAlignment="1">
      <alignment vertical="center" textRotation="90" wrapText="1"/>
    </xf>
    <xf numFmtId="0" fontId="91" fillId="31" borderId="14" xfId="0" applyFont="1" applyFill="1" applyBorder="1" applyAlignment="1">
      <alignment vertical="center" wrapText="1"/>
    </xf>
    <xf numFmtId="49" fontId="90" fillId="0" borderId="7" xfId="0" applyNumberFormat="1" applyFont="1" applyBorder="1" applyAlignment="1">
      <alignment vertical="center"/>
    </xf>
    <xf numFmtId="49" fontId="90" fillId="0" borderId="18" xfId="0" applyNumberFormat="1" applyFont="1" applyBorder="1" applyAlignment="1">
      <alignment vertical="center"/>
    </xf>
    <xf numFmtId="49" fontId="90" fillId="0" borderId="9" xfId="0" applyNumberFormat="1" applyFont="1" applyBorder="1" applyAlignment="1">
      <alignment vertical="center"/>
    </xf>
    <xf numFmtId="0" fontId="91" fillId="31" borderId="7" xfId="0" applyFont="1" applyFill="1" applyBorder="1" applyAlignment="1">
      <alignment vertical="center"/>
    </xf>
    <xf numFmtId="0" fontId="91" fillId="31" borderId="18" xfId="0" applyFont="1" applyFill="1" applyBorder="1" applyAlignment="1">
      <alignment vertical="center"/>
    </xf>
    <xf numFmtId="0" fontId="91" fillId="31" borderId="9" xfId="0" applyFont="1" applyFill="1" applyBorder="1" applyAlignment="1">
      <alignment vertical="center"/>
    </xf>
    <xf numFmtId="49" fontId="91" fillId="31" borderId="19" xfId="0" applyNumberFormat="1" applyFont="1" applyFill="1" applyBorder="1" applyAlignment="1">
      <alignment vertical="center" textRotation="90" wrapText="1"/>
    </xf>
    <xf numFmtId="49" fontId="91" fillId="31" borderId="24" xfId="0" applyNumberFormat="1" applyFont="1" applyFill="1" applyBorder="1" applyAlignment="1">
      <alignment vertical="center" textRotation="90" wrapText="1"/>
    </xf>
    <xf numFmtId="0" fontId="91" fillId="4" borderId="24" xfId="0" applyFont="1" applyFill="1" applyBorder="1" applyAlignment="1">
      <alignment vertical="center" textRotation="90" wrapText="1"/>
    </xf>
    <xf numFmtId="49" fontId="90" fillId="0" borderId="14" xfId="0" applyNumberFormat="1" applyFont="1" applyBorder="1" applyAlignment="1">
      <alignment vertical="center"/>
    </xf>
    <xf numFmtId="49" fontId="90" fillId="0" borderId="6" xfId="0" applyNumberFormat="1" applyFont="1" applyBorder="1" applyAlignment="1">
      <alignment vertical="center"/>
    </xf>
    <xf numFmtId="0" fontId="90" fillId="0" borderId="24" xfId="0" applyFont="1" applyBorder="1" applyAlignment="1">
      <alignment horizontal="center" vertical="center" wrapText="1"/>
    </xf>
    <xf numFmtId="0" fontId="90" fillId="31" borderId="14" xfId="0" applyFont="1" applyFill="1" applyBorder="1" applyAlignment="1">
      <alignment vertical="center" textRotation="90" wrapText="1"/>
    </xf>
    <xf numFmtId="0" fontId="91" fillId="0" borderId="6" xfId="0" applyFont="1" applyBorder="1" applyAlignment="1">
      <alignment vertical="center" textRotation="90" wrapText="1"/>
    </xf>
    <xf numFmtId="0" fontId="91" fillId="37" borderId="14" xfId="0" applyFont="1" applyFill="1" applyBorder="1" applyAlignment="1">
      <alignment vertical="center"/>
    </xf>
    <xf numFmtId="0" fontId="91" fillId="0" borderId="36" xfId="0" applyFont="1" applyBorder="1" applyAlignment="1">
      <alignment vertical="center" textRotation="90" wrapText="1"/>
    </xf>
    <xf numFmtId="0" fontId="91" fillId="0" borderId="30" xfId="0" applyFont="1" applyBorder="1" applyAlignment="1">
      <alignment vertical="center" textRotation="90" wrapText="1"/>
    </xf>
    <xf numFmtId="0" fontId="91" fillId="31" borderId="94" xfId="0" applyFont="1" applyFill="1" applyBorder="1" applyAlignment="1">
      <alignment vertical="center" wrapText="1"/>
    </xf>
    <xf numFmtId="0" fontId="91" fillId="31" borderId="105" xfId="0" applyFont="1" applyFill="1" applyBorder="1" applyAlignment="1">
      <alignment vertical="center" wrapText="1"/>
    </xf>
    <xf numFmtId="166" fontId="91" fillId="37" borderId="14" xfId="0" applyNumberFormat="1" applyFont="1" applyFill="1" applyBorder="1" applyAlignment="1">
      <alignment vertical="center" wrapText="1"/>
    </xf>
    <xf numFmtId="166" fontId="91" fillId="37" borderId="14" xfId="0" applyNumberFormat="1" applyFont="1" applyFill="1" applyBorder="1" applyAlignment="1">
      <alignment vertical="center"/>
    </xf>
    <xf numFmtId="49" fontId="135" fillId="0" borderId="6" xfId="0" applyNumberFormat="1" applyFont="1" applyBorder="1" applyAlignment="1">
      <alignment vertical="center"/>
    </xf>
    <xf numFmtId="49" fontId="135" fillId="0" borderId="7" xfId="0" applyNumberFormat="1" applyFont="1" applyBorder="1" applyAlignment="1">
      <alignment vertical="center"/>
    </xf>
    <xf numFmtId="0" fontId="137" fillId="0" borderId="6" xfId="0" applyFont="1" applyBorder="1" applyAlignment="1">
      <alignment vertical="center" textRotation="90" wrapText="1"/>
    </xf>
    <xf numFmtId="0" fontId="137" fillId="0" borderId="7" xfId="0" applyFont="1" applyBorder="1" applyAlignment="1">
      <alignment vertical="center" textRotation="90" wrapText="1"/>
    </xf>
    <xf numFmtId="0" fontId="91" fillId="0" borderId="16" xfId="0" applyFont="1" applyBorder="1" applyAlignment="1">
      <alignment vertical="center" textRotation="90" wrapText="1"/>
    </xf>
    <xf numFmtId="0" fontId="91" fillId="0" borderId="8" xfId="0" applyFont="1" applyBorder="1" applyAlignment="1">
      <alignment vertical="center" textRotation="90" wrapText="1"/>
    </xf>
    <xf numFmtId="0" fontId="137" fillId="0" borderId="8" xfId="0" applyFont="1" applyBorder="1" applyAlignment="1">
      <alignment vertical="center" textRotation="90" wrapText="1"/>
    </xf>
    <xf numFmtId="0" fontId="90" fillId="0" borderId="9" xfId="0" applyFont="1" applyBorder="1" applyAlignment="1">
      <alignment vertical="center" wrapText="1"/>
    </xf>
    <xf numFmtId="49" fontId="90" fillId="37" borderId="6" xfId="0" applyNumberFormat="1" applyFont="1" applyFill="1" applyBorder="1" applyAlignment="1">
      <alignment vertical="center"/>
    </xf>
    <xf numFmtId="0" fontId="91" fillId="0" borderId="9" xfId="0" applyFont="1" applyBorder="1" applyAlignment="1">
      <alignment vertical="center" textRotation="90" wrapText="1"/>
    </xf>
    <xf numFmtId="0" fontId="90" fillId="37" borderId="6" xfId="0" applyFont="1" applyFill="1" applyBorder="1" applyAlignment="1">
      <alignment vertical="center" wrapText="1"/>
    </xf>
    <xf numFmtId="0" fontId="91" fillId="37" borderId="6" xfId="0" applyFont="1" applyFill="1" applyBorder="1" applyAlignment="1">
      <alignment vertical="center" textRotation="90" wrapText="1"/>
    </xf>
    <xf numFmtId="0" fontId="90" fillId="22" borderId="14" xfId="0" applyFont="1" applyFill="1" applyBorder="1" applyAlignment="1">
      <alignment vertical="center" wrapText="1"/>
    </xf>
    <xf numFmtId="0" fontId="91" fillId="0" borderId="7" xfId="0" applyFont="1" applyBorder="1" applyAlignment="1">
      <alignment vertical="center" textRotation="90" wrapText="1"/>
    </xf>
    <xf numFmtId="49" fontId="90" fillId="0" borderId="6" xfId="0" applyNumberFormat="1" applyFont="1" applyBorder="1" applyAlignment="1">
      <alignment vertical="center" wrapText="1"/>
    </xf>
    <xf numFmtId="0" fontId="109" fillId="0" borderId="0" xfId="0" applyFont="1" applyAlignment="1">
      <alignment vertical="center"/>
    </xf>
    <xf numFmtId="0" fontId="91" fillId="31" borderId="14" xfId="0" applyFont="1" applyFill="1" applyBorder="1" applyAlignment="1">
      <alignment vertical="center" textRotation="90" wrapText="1"/>
    </xf>
    <xf numFmtId="166" fontId="90" fillId="31" borderId="14" xfId="0" applyNumberFormat="1" applyFont="1" applyFill="1" applyBorder="1" applyAlignment="1">
      <alignment vertical="center"/>
    </xf>
    <xf numFmtId="49" fontId="91" fillId="0" borderId="24" xfId="0" applyNumberFormat="1" applyFont="1" applyBorder="1" applyAlignment="1">
      <alignment vertical="center" textRotation="90" wrapText="1"/>
    </xf>
    <xf numFmtId="49" fontId="91" fillId="0" borderId="21" xfId="0" applyNumberFormat="1" applyFont="1" applyBorder="1" applyAlignment="1">
      <alignment vertical="center" textRotation="90" wrapText="1"/>
    </xf>
    <xf numFmtId="49" fontId="90" fillId="31" borderId="96" xfId="0" applyNumberFormat="1" applyFont="1" applyFill="1" applyBorder="1" applyAlignment="1">
      <alignment vertical="center"/>
    </xf>
    <xf numFmtId="49" fontId="90" fillId="31" borderId="95" xfId="0" applyNumberFormat="1" applyFont="1" applyFill="1" applyBorder="1" applyAlignment="1">
      <alignment vertical="center"/>
    </xf>
    <xf numFmtId="0" fontId="91" fillId="31" borderId="19" xfId="0" applyFont="1" applyFill="1" applyBorder="1" applyAlignment="1">
      <alignment vertical="center" textRotation="90" wrapText="1"/>
    </xf>
    <xf numFmtId="0" fontId="91" fillId="31" borderId="21" xfId="0" applyFont="1" applyFill="1" applyBorder="1" applyAlignment="1">
      <alignment vertical="center" textRotation="90" wrapText="1"/>
    </xf>
    <xf numFmtId="49" fontId="90" fillId="31" borderId="7" xfId="0" applyNumberFormat="1" applyFont="1" applyFill="1" applyBorder="1" applyAlignment="1">
      <alignment vertical="center"/>
    </xf>
    <xf numFmtId="49" fontId="90" fillId="31" borderId="9" xfId="0" applyNumberFormat="1" applyFont="1" applyFill="1" applyBorder="1" applyAlignment="1">
      <alignment vertical="center"/>
    </xf>
    <xf numFmtId="0" fontId="132" fillId="31" borderId="19" xfId="0" applyFont="1" applyFill="1" applyBorder="1" applyAlignment="1">
      <alignment vertical="center" textRotation="90" wrapText="1"/>
    </xf>
    <xf numFmtId="0" fontId="132" fillId="31" borderId="21" xfId="0" applyFont="1" applyFill="1" applyBorder="1" applyAlignment="1">
      <alignment vertical="center" textRotation="90" wrapText="1"/>
    </xf>
    <xf numFmtId="49" fontId="90" fillId="31" borderId="109" xfId="0" applyNumberFormat="1" applyFont="1" applyFill="1" applyBorder="1" applyAlignment="1">
      <alignment vertical="center"/>
    </xf>
    <xf numFmtId="49" fontId="90" fillId="31" borderId="57" xfId="0" applyNumberFormat="1" applyFont="1" applyFill="1" applyBorder="1" applyAlignment="1">
      <alignment vertical="center"/>
    </xf>
    <xf numFmtId="49" fontId="90" fillId="31" borderId="33" xfId="0" applyNumberFormat="1" applyFont="1" applyFill="1" applyBorder="1" applyAlignment="1">
      <alignment vertical="center"/>
    </xf>
    <xf numFmtId="0" fontId="91" fillId="31" borderId="24" xfId="0" applyFont="1" applyFill="1" applyBorder="1" applyAlignment="1">
      <alignment vertical="center" wrapText="1"/>
    </xf>
    <xf numFmtId="0" fontId="90" fillId="4" borderId="19" xfId="0" applyFont="1" applyFill="1" applyBorder="1" applyAlignment="1">
      <alignment horizontal="center" vertical="center" wrapText="1"/>
    </xf>
    <xf numFmtId="0" fontId="90" fillId="4" borderId="21" xfId="0" applyFont="1" applyFill="1" applyBorder="1" applyAlignment="1">
      <alignment horizontal="center" vertical="center" wrapText="1"/>
    </xf>
    <xf numFmtId="0" fontId="91" fillId="0" borderId="0" xfId="0" applyFont="1" applyAlignment="1">
      <alignment vertical="center"/>
    </xf>
    <xf numFmtId="166" fontId="90" fillId="21" borderId="19" xfId="0" applyNumberFormat="1" applyFont="1" applyFill="1" applyBorder="1" applyAlignment="1">
      <alignment vertical="center"/>
    </xf>
    <xf numFmtId="166" fontId="90" fillId="21" borderId="24" xfId="0" applyNumberFormat="1" applyFont="1" applyFill="1" applyBorder="1" applyAlignment="1">
      <alignment vertical="center"/>
    </xf>
    <xf numFmtId="9" fontId="90" fillId="21" borderId="19" xfId="22" applyFont="1" applyFill="1" applyBorder="1" applyAlignment="1">
      <alignment vertical="center"/>
    </xf>
    <xf numFmtId="9" fontId="90" fillId="21" borderId="24" xfId="22" applyFont="1" applyFill="1" applyBorder="1" applyAlignment="1">
      <alignment vertical="center"/>
    </xf>
    <xf numFmtId="166" fontId="90" fillId="21" borderId="14" xfId="0" applyNumberFormat="1" applyFont="1" applyFill="1" applyBorder="1" applyAlignment="1">
      <alignment vertical="center"/>
    </xf>
    <xf numFmtId="0" fontId="90" fillId="22" borderId="94" xfId="0" applyFont="1" applyFill="1" applyBorder="1" applyAlignment="1">
      <alignment vertical="center" wrapText="1"/>
    </xf>
    <xf numFmtId="0" fontId="90" fillId="22" borderId="97" xfId="0" applyFont="1" applyFill="1" applyBorder="1" applyAlignment="1">
      <alignment vertical="center" wrapText="1"/>
    </xf>
    <xf numFmtId="0" fontId="90" fillId="22" borderId="105" xfId="0" applyFont="1" applyFill="1" applyBorder="1" applyAlignment="1">
      <alignment vertical="center" wrapText="1"/>
    </xf>
    <xf numFmtId="166" fontId="90" fillId="21" borderId="21" xfId="0" applyNumberFormat="1" applyFont="1" applyFill="1" applyBorder="1" applyAlignment="1">
      <alignment vertical="center"/>
    </xf>
    <xf numFmtId="9" fontId="90" fillId="21" borderId="21" xfId="22" applyFont="1" applyFill="1" applyBorder="1" applyAlignment="1">
      <alignment vertical="center"/>
    </xf>
    <xf numFmtId="49" fontId="90" fillId="0" borderId="19" xfId="0" applyNumberFormat="1" applyFont="1" applyBorder="1" applyAlignment="1">
      <alignment horizontal="left" vertical="center" wrapText="1"/>
    </xf>
    <xf numFmtId="49" fontId="90" fillId="0" borderId="24" xfId="0" applyNumberFormat="1" applyFont="1" applyBorder="1" applyAlignment="1">
      <alignment horizontal="left" vertical="center" wrapText="1"/>
    </xf>
    <xf numFmtId="49" fontId="90" fillId="0" borderId="21" xfId="0" applyNumberFormat="1" applyFont="1" applyBorder="1" applyAlignment="1">
      <alignment horizontal="left" vertical="center" wrapText="1"/>
    </xf>
    <xf numFmtId="49" fontId="90" fillId="0" borderId="24" xfId="0" applyNumberFormat="1" applyFont="1" applyBorder="1" applyAlignment="1">
      <alignment horizontal="center" vertical="center" wrapText="1"/>
    </xf>
    <xf numFmtId="0" fontId="91" fillId="0" borderId="29" xfId="0" applyFont="1" applyBorder="1" applyAlignment="1">
      <alignment vertical="center" textRotation="90" wrapText="1"/>
    </xf>
    <xf numFmtId="9" fontId="90" fillId="21" borderId="19" xfId="22" applyFont="1" applyFill="1" applyBorder="1" applyAlignment="1">
      <alignment vertical="center" wrapText="1"/>
    </xf>
    <xf numFmtId="9" fontId="90" fillId="21" borderId="21" xfId="22" applyFont="1" applyFill="1" applyBorder="1" applyAlignment="1">
      <alignment vertical="center" wrapText="1"/>
    </xf>
    <xf numFmtId="0" fontId="128" fillId="0" borderId="0" xfId="0" applyFont="1" applyAlignment="1">
      <alignment horizontal="center" wrapText="1"/>
    </xf>
    <xf numFmtId="0" fontId="90" fillId="0" borderId="14" xfId="0" applyFont="1" applyBorder="1" applyAlignment="1">
      <alignment horizontal="left" vertical="center" wrapText="1"/>
    </xf>
    <xf numFmtId="0" fontId="134" fillId="0" borderId="14" xfId="0" applyFont="1" applyBorder="1" applyAlignment="1">
      <alignment horizontal="left" vertical="center" wrapText="1"/>
    </xf>
    <xf numFmtId="0" fontId="91" fillId="0" borderId="14" xfId="0" applyFont="1" applyBorder="1" applyAlignment="1">
      <alignment horizontal="left" vertical="center" wrapText="1"/>
    </xf>
    <xf numFmtId="0" fontId="91" fillId="0" borderId="19" xfId="0" applyFont="1" applyBorder="1" applyAlignment="1">
      <alignment horizontal="left" vertical="center" wrapText="1"/>
    </xf>
    <xf numFmtId="0" fontId="91" fillId="0" borderId="21" xfId="0" applyFont="1" applyBorder="1" applyAlignment="1">
      <alignment horizontal="left" vertical="center" wrapText="1"/>
    </xf>
    <xf numFmtId="0" fontId="91" fillId="36" borderId="19" xfId="0" applyFont="1" applyFill="1" applyBorder="1" applyAlignment="1">
      <alignment horizontal="left" vertical="center" wrapText="1"/>
    </xf>
    <xf numFmtId="0" fontId="91" fillId="36" borderId="21" xfId="0" applyFont="1" applyFill="1" applyBorder="1" applyAlignment="1">
      <alignment horizontal="left" vertical="center" wrapText="1"/>
    </xf>
    <xf numFmtId="0" fontId="139" fillId="0" borderId="14" xfId="0" applyFont="1" applyBorder="1" applyAlignment="1">
      <alignment horizontal="left" vertical="center" wrapText="1"/>
    </xf>
    <xf numFmtId="0" fontId="91" fillId="36" borderId="14" xfId="0" applyFont="1" applyFill="1" applyBorder="1" applyAlignment="1">
      <alignment horizontal="left" vertical="center" wrapText="1"/>
    </xf>
    <xf numFmtId="0" fontId="91" fillId="0" borderId="0" xfId="0" applyFont="1" applyAlignment="1">
      <alignment horizontal="left" vertical="top" wrapText="1"/>
    </xf>
    <xf numFmtId="49" fontId="91" fillId="27" borderId="19" xfId="0" applyNumberFormat="1" applyFont="1" applyFill="1" applyBorder="1" applyAlignment="1">
      <alignment horizontal="center" vertical="top" wrapText="1"/>
    </xf>
    <xf numFmtId="49" fontId="91" fillId="27" borderId="21" xfId="0" applyNumberFormat="1" applyFont="1" applyFill="1" applyBorder="1" applyAlignment="1">
      <alignment horizontal="center" vertical="top" wrapText="1"/>
    </xf>
    <xf numFmtId="0" fontId="91" fillId="31" borderId="15" xfId="0" applyFont="1" applyFill="1" applyBorder="1" applyAlignment="1">
      <alignment horizontal="left" vertical="top" wrapText="1"/>
    </xf>
    <xf numFmtId="0" fontId="91" fillId="31" borderId="35" xfId="0" applyFont="1" applyFill="1" applyBorder="1" applyAlignment="1">
      <alignment horizontal="left" vertical="top" wrapText="1"/>
    </xf>
    <xf numFmtId="0" fontId="91" fillId="31" borderId="17" xfId="0" applyFont="1" applyFill="1" applyBorder="1" applyAlignment="1">
      <alignment horizontal="left" vertical="top" wrapText="1"/>
    </xf>
    <xf numFmtId="166" fontId="90" fillId="0" borderId="24" xfId="0" applyNumberFormat="1" applyFont="1" applyBorder="1" applyAlignment="1">
      <alignment horizontal="center" vertical="center"/>
    </xf>
    <xf numFmtId="166" fontId="90" fillId="0" borderId="19" xfId="0" applyNumberFormat="1" applyFont="1" applyBorder="1" applyAlignment="1">
      <alignment horizontal="center" vertical="top"/>
    </xf>
    <xf numFmtId="166" fontId="90" fillId="0" borderId="21" xfId="0" applyNumberFormat="1" applyFont="1" applyBorder="1" applyAlignment="1">
      <alignment horizontal="center" vertical="top"/>
    </xf>
    <xf numFmtId="49" fontId="90" fillId="0" borderId="19" xfId="0" applyNumberFormat="1" applyFont="1" applyBorder="1" applyAlignment="1">
      <alignment vertical="top" wrapText="1"/>
    </xf>
    <xf numFmtId="49" fontId="90" fillId="0" borderId="21" xfId="0" applyNumberFormat="1" applyFont="1" applyBorder="1" applyAlignment="1">
      <alignment vertical="top" wrapText="1"/>
    </xf>
    <xf numFmtId="49" fontId="90" fillId="0" borderId="19" xfId="0" applyNumberFormat="1" applyFont="1" applyBorder="1" applyAlignment="1">
      <alignment horizontal="center" vertical="top" wrapText="1"/>
    </xf>
    <xf numFmtId="49" fontId="90" fillId="0" borderId="21" xfId="0" applyNumberFormat="1" applyFont="1" applyBorder="1" applyAlignment="1">
      <alignment horizontal="center" vertical="top" wrapText="1"/>
    </xf>
    <xf numFmtId="49" fontId="90" fillId="0" borderId="14" xfId="0" applyNumberFormat="1" applyFont="1" applyBorder="1" applyAlignment="1">
      <alignment vertical="top" wrapText="1"/>
    </xf>
    <xf numFmtId="0" fontId="91" fillId="0" borderId="14" xfId="0" applyFont="1" applyBorder="1" applyAlignment="1">
      <alignment vertical="top" wrapText="1"/>
    </xf>
    <xf numFmtId="0" fontId="86" fillId="0" borderId="0" xfId="0" applyFont="1" applyAlignment="1">
      <alignment horizontal="center" vertical="center"/>
    </xf>
    <xf numFmtId="0" fontId="91" fillId="4" borderId="6" xfId="0" applyFont="1" applyFill="1" applyBorder="1" applyAlignment="1">
      <alignment horizontal="center" vertical="center" textRotation="90" wrapText="1"/>
    </xf>
    <xf numFmtId="0" fontId="91" fillId="4" borderId="7" xfId="0" applyFont="1" applyFill="1" applyBorder="1" applyAlignment="1">
      <alignment horizontal="center" vertical="center" textRotation="90" wrapText="1"/>
    </xf>
    <xf numFmtId="166" fontId="91" fillId="0" borderId="14" xfId="0" applyNumberFormat="1" applyFont="1" applyBorder="1" applyAlignment="1">
      <alignment horizontal="left" vertical="top" wrapText="1"/>
    </xf>
    <xf numFmtId="166" fontId="91" fillId="0" borderId="14" xfId="0" applyNumberFormat="1" applyFont="1" applyBorder="1" applyAlignment="1">
      <alignment horizontal="left" vertical="top"/>
    </xf>
    <xf numFmtId="0" fontId="90" fillId="4" borderId="6" xfId="0" applyFont="1" applyFill="1" applyBorder="1" applyAlignment="1">
      <alignment vertical="top" wrapText="1"/>
    </xf>
    <xf numFmtId="0" fontId="90" fillId="4" borderId="7" xfId="0" applyFont="1" applyFill="1" applyBorder="1" applyAlignment="1">
      <alignment vertical="top" wrapText="1"/>
    </xf>
    <xf numFmtId="166" fontId="91" fillId="0" borderId="19" xfId="0" applyNumberFormat="1" applyFont="1" applyBorder="1" applyAlignment="1">
      <alignment horizontal="left" vertical="top" wrapText="1"/>
    </xf>
    <xf numFmtId="166" fontId="91" fillId="0" borderId="21" xfId="0" applyNumberFormat="1" applyFont="1" applyBorder="1" applyAlignment="1">
      <alignment horizontal="left" vertical="top" wrapText="1"/>
    </xf>
    <xf numFmtId="0" fontId="90" fillId="0" borderId="14" xfId="0" applyFont="1" applyBorder="1" applyAlignment="1">
      <alignment vertical="top" wrapText="1"/>
    </xf>
    <xf numFmtId="49" fontId="90" fillId="0" borderId="6" xfId="0" applyNumberFormat="1" applyFont="1" applyBorder="1" applyAlignment="1">
      <alignment horizontal="center" vertical="top"/>
    </xf>
    <xf numFmtId="0" fontId="91" fillId="4" borderId="9" xfId="0" applyFont="1" applyFill="1" applyBorder="1" applyAlignment="1">
      <alignment horizontal="center" vertical="center" textRotation="90" wrapText="1"/>
    </xf>
    <xf numFmtId="0" fontId="90" fillId="4" borderId="14" xfId="0" applyFont="1" applyFill="1" applyBorder="1" applyAlignment="1">
      <alignment vertical="top" wrapText="1"/>
    </xf>
    <xf numFmtId="166" fontId="133" fillId="0" borderId="36" xfId="0" applyNumberFormat="1" applyFont="1" applyBorder="1" applyAlignment="1">
      <alignment horizontal="center" vertical="center" wrapText="1"/>
    </xf>
    <xf numFmtId="166" fontId="133" fillId="0" borderId="0" xfId="0" applyNumberFormat="1" applyFont="1" applyAlignment="1">
      <alignment horizontal="center" vertical="center" wrapText="1"/>
    </xf>
    <xf numFmtId="0" fontId="91" fillId="17" borderId="19" xfId="0" applyFont="1" applyFill="1" applyBorder="1" applyAlignment="1">
      <alignment horizontal="center"/>
    </xf>
    <xf numFmtId="0" fontId="91" fillId="17" borderId="14" xfId="0" applyFont="1" applyFill="1" applyBorder="1" applyAlignment="1">
      <alignment horizontal="center"/>
    </xf>
    <xf numFmtId="0" fontId="90" fillId="4" borderId="9" xfId="0" applyFont="1" applyFill="1" applyBorder="1" applyAlignment="1">
      <alignment vertical="top" wrapText="1"/>
    </xf>
    <xf numFmtId="49" fontId="90" fillId="0" borderId="58" xfId="0" applyNumberFormat="1" applyFont="1" applyBorder="1" applyAlignment="1">
      <alignment horizontal="center" vertical="top"/>
    </xf>
    <xf numFmtId="49" fontId="90" fillId="0" borderId="9" xfId="0" applyNumberFormat="1" applyFont="1" applyBorder="1" applyAlignment="1">
      <alignment horizontal="center" vertical="top"/>
    </xf>
    <xf numFmtId="49" fontId="90" fillId="0" borderId="7" xfId="0" applyNumberFormat="1" applyFont="1" applyBorder="1" applyAlignment="1">
      <alignment horizontal="center" vertical="top"/>
    </xf>
    <xf numFmtId="49" fontId="90" fillId="0" borderId="24" xfId="0" applyNumberFormat="1" applyFont="1" applyBorder="1" applyAlignment="1">
      <alignment horizontal="center" vertical="top" wrapText="1"/>
    </xf>
    <xf numFmtId="49" fontId="91" fillId="0" borderId="19" xfId="0" applyNumberFormat="1" applyFont="1" applyBorder="1" applyAlignment="1">
      <alignment horizontal="center" vertical="center" textRotation="90"/>
    </xf>
    <xf numFmtId="49" fontId="91" fillId="0" borderId="24" xfId="0" applyNumberFormat="1" applyFont="1" applyBorder="1" applyAlignment="1">
      <alignment horizontal="center" vertical="center" textRotation="90"/>
    </xf>
    <xf numFmtId="166" fontId="91" fillId="0" borderId="19" xfId="0" applyNumberFormat="1" applyFont="1" applyBorder="1" applyAlignment="1">
      <alignment horizontal="left" vertical="center" wrapText="1"/>
    </xf>
    <xf numFmtId="166" fontId="91" fillId="0" borderId="24" xfId="0" applyNumberFormat="1" applyFont="1" applyBorder="1" applyAlignment="1">
      <alignment horizontal="left" vertical="center" wrapText="1"/>
    </xf>
    <xf numFmtId="49" fontId="90" fillId="0" borderId="24" xfId="0" applyNumberFormat="1" applyFont="1" applyBorder="1" applyAlignment="1">
      <alignment vertical="top" wrapText="1"/>
    </xf>
    <xf numFmtId="49" fontId="90" fillId="0" borderId="18" xfId="0" applyNumberFormat="1" applyFont="1" applyBorder="1" applyAlignment="1">
      <alignment horizontal="center" vertical="top"/>
    </xf>
    <xf numFmtId="49" fontId="90" fillId="0" borderId="94" xfId="0" applyNumberFormat="1" applyFont="1" applyBorder="1" applyAlignment="1">
      <alignment vertical="top" wrapText="1"/>
    </xf>
    <xf numFmtId="49" fontId="90" fillId="0" borderId="97" xfId="0" applyNumberFormat="1" applyFont="1" applyBorder="1" applyAlignment="1">
      <alignment vertical="top" wrapText="1"/>
    </xf>
    <xf numFmtId="0" fontId="90" fillId="4" borderId="58" xfId="0" applyFont="1" applyFill="1" applyBorder="1" applyAlignment="1">
      <alignment vertical="top" wrapText="1"/>
    </xf>
    <xf numFmtId="0" fontId="91" fillId="4" borderId="58" xfId="0" applyFont="1" applyFill="1" applyBorder="1" applyAlignment="1">
      <alignment horizontal="center" vertical="center" textRotation="90" wrapText="1"/>
    </xf>
    <xf numFmtId="0" fontId="90" fillId="0" borderId="101" xfId="0" applyFont="1" applyBorder="1" applyAlignment="1">
      <alignment horizontal="center" vertical="center" textRotation="90" wrapText="1"/>
    </xf>
    <xf numFmtId="0" fontId="90" fillId="0" borderId="102" xfId="0" applyFont="1" applyBorder="1" applyAlignment="1">
      <alignment horizontal="center" vertical="center" textRotation="90" wrapText="1"/>
    </xf>
    <xf numFmtId="0" fontId="90" fillId="0" borderId="29" xfId="0" applyFont="1" applyBorder="1" applyAlignment="1">
      <alignment horizontal="center" vertical="center" textRotation="90" wrapText="1"/>
    </xf>
    <xf numFmtId="0" fontId="90" fillId="0" borderId="98" xfId="0" applyFont="1" applyBorder="1" applyAlignment="1">
      <alignment horizontal="center" vertical="center" textRotation="90" wrapText="1"/>
    </xf>
    <xf numFmtId="0" fontId="90" fillId="11" borderId="32" xfId="0" applyFont="1" applyFill="1" applyBorder="1" applyAlignment="1">
      <alignment horizontal="center" vertical="center" wrapText="1"/>
    </xf>
    <xf numFmtId="0" fontId="90" fillId="11" borderId="33" xfId="0" applyFont="1" applyFill="1" applyBorder="1" applyAlignment="1">
      <alignment horizontal="center" vertical="center" wrapText="1"/>
    </xf>
    <xf numFmtId="49" fontId="91" fillId="0" borderId="0" xfId="0" applyNumberFormat="1" applyFont="1" applyAlignment="1">
      <alignment horizontal="left" vertical="top" wrapText="1"/>
    </xf>
    <xf numFmtId="0" fontId="81" fillId="0" borderId="0" xfId="0" applyFont="1" applyAlignment="1">
      <alignment horizontal="left" vertical="top" wrapText="1"/>
    </xf>
    <xf numFmtId="0" fontId="136" fillId="0" borderId="0" xfId="0" applyFont="1" applyAlignment="1">
      <alignment horizontal="left" vertical="top" wrapText="1"/>
    </xf>
    <xf numFmtId="0" fontId="76" fillId="0" borderId="0" xfId="0" applyFont="1" applyAlignment="1">
      <alignment horizontal="left" vertical="top" wrapText="1"/>
    </xf>
    <xf numFmtId="49" fontId="91" fillId="0" borderId="14" xfId="0" applyNumberFormat="1" applyFont="1" applyBorder="1" applyAlignment="1">
      <alignment vertical="top" wrapText="1"/>
    </xf>
    <xf numFmtId="49" fontId="90" fillId="0" borderId="14" xfId="0" applyNumberFormat="1" applyFont="1" applyBorder="1" applyAlignment="1">
      <alignment horizontal="center" vertical="top" wrapText="1"/>
    </xf>
    <xf numFmtId="49" fontId="91" fillId="0" borderId="0" xfId="0" applyNumberFormat="1" applyFont="1" applyAlignment="1">
      <alignment horizontal="left" wrapText="1"/>
    </xf>
    <xf numFmtId="0" fontId="91" fillId="0" borderId="0" xfId="0" applyFont="1" applyAlignment="1">
      <alignment horizontal="left" wrapText="1"/>
    </xf>
    <xf numFmtId="49" fontId="91" fillId="0" borderId="21" xfId="0" applyNumberFormat="1" applyFont="1" applyBorder="1" applyAlignment="1">
      <alignment vertical="top" wrapText="1"/>
    </xf>
    <xf numFmtId="0" fontId="134" fillId="0" borderId="24" xfId="0" applyFont="1" applyBorder="1" applyAlignment="1">
      <alignment horizontal="center" vertical="center" wrapText="1"/>
    </xf>
    <xf numFmtId="166" fontId="91" fillId="0" borderId="14" xfId="0" applyNumberFormat="1" applyFont="1" applyBorder="1" applyAlignment="1">
      <alignment horizontal="left" vertical="center" wrapText="1"/>
    </xf>
    <xf numFmtId="166" fontId="91" fillId="0" borderId="14" xfId="0" applyNumberFormat="1" applyFont="1" applyBorder="1" applyAlignment="1">
      <alignment horizontal="left" vertical="center"/>
    </xf>
    <xf numFmtId="49" fontId="91" fillId="36" borderId="21" xfId="0" applyNumberFormat="1" applyFont="1" applyFill="1" applyBorder="1" applyAlignment="1">
      <alignment horizontal="center" vertical="top" wrapText="1"/>
    </xf>
    <xf numFmtId="49" fontId="91" fillId="36" borderId="14" xfId="0" applyNumberFormat="1" applyFont="1" applyFill="1" applyBorder="1" applyAlignment="1">
      <alignment horizontal="center" vertical="top" wrapText="1"/>
    </xf>
    <xf numFmtId="49" fontId="90" fillId="31" borderId="21" xfId="0" applyNumberFormat="1" applyFont="1" applyFill="1" applyBorder="1" applyAlignment="1">
      <alignment horizontal="center" vertical="top" wrapText="1"/>
    </xf>
    <xf numFmtId="49" fontId="90" fillId="31" borderId="14" xfId="0" applyNumberFormat="1" applyFont="1" applyFill="1" applyBorder="1" applyAlignment="1">
      <alignment horizontal="center" vertical="top" wrapText="1"/>
    </xf>
    <xf numFmtId="49" fontId="91" fillId="31" borderId="9" xfId="0" applyNumberFormat="1" applyFont="1" applyFill="1" applyBorder="1" applyAlignment="1">
      <alignment horizontal="center" vertical="top"/>
    </xf>
    <xf numFmtId="49" fontId="91" fillId="31" borderId="6" xfId="0" applyNumberFormat="1" applyFont="1" applyFill="1" applyBorder="1" applyAlignment="1">
      <alignment horizontal="center" vertical="top"/>
    </xf>
    <xf numFmtId="0" fontId="91" fillId="4" borderId="14" xfId="0" applyFont="1" applyFill="1" applyBorder="1" applyAlignment="1">
      <alignment horizontal="center" vertical="center" textRotation="90" wrapText="1"/>
    </xf>
    <xf numFmtId="0" fontId="91" fillId="17" borderId="15" xfId="0" applyFont="1" applyFill="1" applyBorder="1" applyAlignment="1">
      <alignment horizontal="center"/>
    </xf>
    <xf numFmtId="0" fontId="91" fillId="17" borderId="35" xfId="0" applyFont="1" applyFill="1" applyBorder="1" applyAlignment="1">
      <alignment horizontal="center"/>
    </xf>
    <xf numFmtId="0" fontId="91" fillId="17" borderId="17" xfId="0" applyFont="1" applyFill="1" applyBorder="1" applyAlignment="1">
      <alignment horizontal="center"/>
    </xf>
    <xf numFmtId="0" fontId="91" fillId="0" borderId="14" xfId="0" applyFont="1" applyBorder="1" applyAlignment="1">
      <alignment horizontal="center"/>
    </xf>
    <xf numFmtId="166" fontId="91" fillId="0" borderId="21" xfId="0" applyNumberFormat="1" applyFont="1" applyBorder="1" applyAlignment="1">
      <alignment horizontal="left" vertical="top"/>
    </xf>
    <xf numFmtId="0" fontId="90" fillId="4" borderId="18" xfId="0" applyFont="1" applyFill="1" applyBorder="1" applyAlignment="1">
      <alignment vertical="top" wrapText="1"/>
    </xf>
    <xf numFmtId="166" fontId="91" fillId="0" borderId="19" xfId="0" applyNumberFormat="1" applyFont="1" applyBorder="1" applyAlignment="1">
      <alignment horizontal="left" vertical="top"/>
    </xf>
    <xf numFmtId="166" fontId="91" fillId="0" borderId="24" xfId="0" applyNumberFormat="1" applyFont="1" applyBorder="1" applyAlignment="1">
      <alignment horizontal="left" vertical="top"/>
    </xf>
    <xf numFmtId="166" fontId="91" fillId="0" borderId="24" xfId="0" applyNumberFormat="1" applyFont="1" applyBorder="1" applyAlignment="1">
      <alignment horizontal="left" vertical="top" wrapText="1"/>
    </xf>
    <xf numFmtId="49" fontId="91" fillId="36" borderId="21" xfId="0" applyNumberFormat="1" applyFont="1" applyFill="1" applyBorder="1" applyAlignment="1">
      <alignment vertical="top" wrapText="1"/>
    </xf>
    <xf numFmtId="49" fontId="91" fillId="36" borderId="14" xfId="0" applyNumberFormat="1" applyFont="1" applyFill="1" applyBorder="1" applyAlignment="1">
      <alignment vertical="top" wrapText="1"/>
    </xf>
    <xf numFmtId="0" fontId="90" fillId="0" borderId="0" xfId="0" applyFont="1" applyAlignment="1">
      <alignment horizontal="left" vertical="top" wrapText="1"/>
    </xf>
    <xf numFmtId="0" fontId="90" fillId="0" borderId="103" xfId="0" applyFont="1" applyBorder="1" applyAlignment="1">
      <alignment horizontal="center" vertical="center" textRotation="90" wrapText="1"/>
    </xf>
    <xf numFmtId="0" fontId="90" fillId="0" borderId="23" xfId="0" applyFont="1" applyBorder="1" applyAlignment="1">
      <alignment horizontal="center" vertical="center" textRotation="90" wrapText="1"/>
    </xf>
    <xf numFmtId="0" fontId="90" fillId="11" borderId="57" xfId="0" applyFont="1" applyFill="1" applyBorder="1" applyAlignment="1">
      <alignment horizontal="center" vertical="center" wrapText="1"/>
    </xf>
    <xf numFmtId="0" fontId="90" fillId="11" borderId="24" xfId="0" applyFont="1" applyFill="1" applyBorder="1" applyAlignment="1">
      <alignment horizontal="center" vertical="center" wrapText="1"/>
    </xf>
    <xf numFmtId="0" fontId="90" fillId="23" borderId="19" xfId="0" applyFont="1" applyFill="1" applyBorder="1" applyAlignment="1">
      <alignment horizontal="center" vertical="center" wrapText="1"/>
    </xf>
    <xf numFmtId="0" fontId="90" fillId="23" borderId="24" xfId="0" applyFont="1" applyFill="1" applyBorder="1" applyAlignment="1">
      <alignment horizontal="center" vertical="center" wrapText="1"/>
    </xf>
    <xf numFmtId="0" fontId="90" fillId="0" borderId="57" xfId="0" applyFont="1" applyBorder="1" applyAlignment="1">
      <alignment horizontal="center" vertical="center" wrapText="1"/>
    </xf>
    <xf numFmtId="0" fontId="91" fillId="0" borderId="0" xfId="0" applyFont="1" applyAlignment="1">
      <alignment horizontal="left"/>
    </xf>
    <xf numFmtId="0" fontId="90" fillId="4" borderId="24" xfId="0" applyFont="1" applyFill="1" applyBorder="1" applyAlignment="1">
      <alignment horizontal="center" vertical="center" wrapText="1"/>
    </xf>
    <xf numFmtId="49" fontId="90" fillId="31" borderId="21" xfId="0" applyNumberFormat="1" applyFont="1" applyFill="1" applyBorder="1" applyAlignment="1">
      <alignment vertical="top" wrapText="1"/>
    </xf>
    <xf numFmtId="49" fontId="90" fillId="31" borderId="14" xfId="0" applyNumberFormat="1" applyFont="1" applyFill="1" applyBorder="1" applyAlignment="1">
      <alignment vertical="top" wrapText="1"/>
    </xf>
    <xf numFmtId="49" fontId="91" fillId="31" borderId="21" xfId="0" applyNumberFormat="1" applyFont="1" applyFill="1" applyBorder="1" applyAlignment="1">
      <alignment vertical="top" wrapText="1"/>
    </xf>
    <xf numFmtId="49" fontId="91" fillId="31" borderId="14" xfId="0" applyNumberFormat="1" applyFont="1" applyFill="1" applyBorder="1" applyAlignment="1">
      <alignment vertical="top" wrapText="1"/>
    </xf>
    <xf numFmtId="49" fontId="91" fillId="31" borderId="21" xfId="0" applyNumberFormat="1" applyFont="1" applyFill="1" applyBorder="1" applyAlignment="1">
      <alignment horizontal="center" vertical="center" textRotation="90"/>
    </xf>
    <xf numFmtId="49" fontId="91" fillId="31" borderId="14" xfId="0" applyNumberFormat="1" applyFont="1" applyFill="1" applyBorder="1" applyAlignment="1">
      <alignment horizontal="center" vertical="center" textRotation="90"/>
    </xf>
    <xf numFmtId="166" fontId="91" fillId="31" borderId="14" xfId="0" applyNumberFormat="1" applyFont="1" applyFill="1" applyBorder="1" applyAlignment="1">
      <alignment horizontal="left" vertical="center" wrapText="1"/>
    </xf>
    <xf numFmtId="49" fontId="91" fillId="0" borderId="21" xfId="0" applyNumberFormat="1" applyFont="1" applyBorder="1" applyAlignment="1">
      <alignment horizontal="center" vertical="center" textRotation="90"/>
    </xf>
    <xf numFmtId="49" fontId="91" fillId="0" borderId="14" xfId="0" applyNumberFormat="1" applyFont="1" applyBorder="1" applyAlignment="1">
      <alignment horizontal="center" vertical="center" textRotation="90"/>
    </xf>
    <xf numFmtId="166" fontId="91" fillId="0" borderId="21" xfId="0" applyNumberFormat="1" applyFont="1" applyBorder="1" applyAlignment="1">
      <alignment horizontal="left" vertical="center" wrapText="1"/>
    </xf>
    <xf numFmtId="0" fontId="90" fillId="0" borderId="21" xfId="0" applyFont="1" applyBorder="1" applyAlignment="1">
      <alignment vertical="top" wrapText="1"/>
    </xf>
    <xf numFmtId="49" fontId="90" fillId="0" borderId="14" xfId="0" applyNumberFormat="1" applyFont="1" applyBorder="1" applyAlignment="1">
      <alignment horizontal="center" vertical="top"/>
    </xf>
    <xf numFmtId="0" fontId="72" fillId="0" borderId="0" xfId="0" applyFont="1" applyAlignment="1">
      <alignment horizontal="left" vertical="top" wrapText="1"/>
    </xf>
    <xf numFmtId="49" fontId="90" fillId="0" borderId="19" xfId="0" applyNumberFormat="1" applyFont="1" applyBorder="1" applyAlignment="1">
      <alignment horizontal="left" vertical="top" wrapText="1"/>
    </xf>
    <xf numFmtId="49" fontId="90" fillId="0" borderId="24" xfId="0" applyNumberFormat="1" applyFont="1" applyBorder="1" applyAlignment="1">
      <alignment horizontal="left" vertical="top" wrapText="1"/>
    </xf>
    <xf numFmtId="0" fontId="90" fillId="0" borderId="36" xfId="0" applyFont="1" applyBorder="1" applyAlignment="1">
      <alignment horizontal="center" vertical="center" wrapText="1"/>
    </xf>
    <xf numFmtId="0" fontId="90" fillId="0" borderId="38" xfId="0" applyFont="1" applyBorder="1" applyAlignment="1">
      <alignment horizontal="center" vertical="center" wrapText="1"/>
    </xf>
    <xf numFmtId="166" fontId="91" fillId="0" borderId="14" xfId="0" applyNumberFormat="1" applyFont="1" applyBorder="1" applyAlignment="1">
      <alignment horizontal="center" vertical="top"/>
    </xf>
    <xf numFmtId="0" fontId="91" fillId="0" borderId="19" xfId="0" applyFont="1" applyBorder="1" applyAlignment="1">
      <alignment horizontal="left" vertical="top" wrapText="1"/>
    </xf>
    <xf numFmtId="0" fontId="91" fillId="0" borderId="24" xfId="0" applyFont="1" applyBorder="1" applyAlignment="1">
      <alignment horizontal="left" vertical="top" wrapText="1"/>
    </xf>
    <xf numFmtId="0" fontId="91" fillId="0" borderId="21" xfId="0" applyFont="1" applyBorder="1" applyAlignment="1">
      <alignment horizontal="left" vertical="top" wrapText="1"/>
    </xf>
    <xf numFmtId="0" fontId="92" fillId="0" borderId="0" xfId="0" applyFont="1" applyAlignment="1">
      <alignment horizontal="center" vertical="center" wrapText="1"/>
    </xf>
    <xf numFmtId="0" fontId="90" fillId="0" borderId="65" xfId="0" applyFont="1" applyBorder="1" applyAlignment="1">
      <alignment horizontal="center" vertical="center" wrapText="1"/>
    </xf>
    <xf numFmtId="0" fontId="90" fillId="23" borderId="14" xfId="0" applyFont="1" applyFill="1" applyBorder="1" applyAlignment="1">
      <alignment horizontal="center" vertical="center" wrapText="1"/>
    </xf>
    <xf numFmtId="49" fontId="91" fillId="0" borderId="19" xfId="0" applyNumberFormat="1" applyFont="1" applyBorder="1" applyAlignment="1">
      <alignment vertical="top" wrapText="1"/>
    </xf>
    <xf numFmtId="0" fontId="90" fillId="0" borderId="0" xfId="0" applyFont="1" applyAlignment="1">
      <alignment horizontal="center" vertical="center" wrapText="1"/>
    </xf>
    <xf numFmtId="49" fontId="91" fillId="0" borderId="24" xfId="0" applyNumberFormat="1" applyFont="1" applyBorder="1" applyAlignment="1">
      <alignment vertical="top" wrapText="1"/>
    </xf>
    <xf numFmtId="0" fontId="90" fillId="0" borderId="34" xfId="0" applyFont="1" applyBorder="1" applyAlignment="1">
      <alignment horizontal="center" vertical="center" textRotation="90" wrapText="1"/>
    </xf>
    <xf numFmtId="0" fontId="90" fillId="0" borderId="54" xfId="0" applyFont="1" applyBorder="1" applyAlignment="1">
      <alignment horizontal="center" vertical="center" textRotation="90" wrapText="1"/>
    </xf>
    <xf numFmtId="0" fontId="90" fillId="0" borderId="7" xfId="0" applyFont="1" applyBorder="1" applyAlignment="1">
      <alignment horizontal="center" vertical="center" textRotation="90" wrapText="1"/>
    </xf>
    <xf numFmtId="0" fontId="90" fillId="0" borderId="31" xfId="0" applyFont="1" applyBorder="1" applyAlignment="1">
      <alignment horizontal="center"/>
    </xf>
    <xf numFmtId="0" fontId="90" fillId="0" borderId="65" xfId="0" applyFont="1" applyBorder="1" applyAlignment="1">
      <alignment horizontal="center"/>
    </xf>
    <xf numFmtId="0" fontId="90" fillId="0" borderId="37" xfId="0" applyFont="1" applyBorder="1" applyAlignment="1">
      <alignment horizontal="center"/>
    </xf>
    <xf numFmtId="166" fontId="90" fillId="21" borderId="19" xfId="0" applyNumberFormat="1" applyFont="1" applyFill="1" applyBorder="1" applyAlignment="1">
      <alignment horizontal="center" vertical="top"/>
    </xf>
    <xf numFmtId="166" fontId="90" fillId="21" borderId="24" xfId="0" applyNumberFormat="1" applyFont="1" applyFill="1" applyBorder="1" applyAlignment="1">
      <alignment horizontal="center" vertical="top"/>
    </xf>
    <xf numFmtId="166" fontId="90" fillId="21" borderId="48" xfId="0" applyNumberFormat="1" applyFont="1" applyFill="1" applyBorder="1" applyAlignment="1">
      <alignment horizontal="center" vertical="top"/>
    </xf>
    <xf numFmtId="49" fontId="91" fillId="17" borderId="24" xfId="0" applyNumberFormat="1" applyFont="1" applyFill="1" applyBorder="1" applyAlignment="1">
      <alignment horizontal="center" vertical="center" wrapText="1"/>
    </xf>
    <xf numFmtId="49" fontId="91" fillId="17" borderId="21" xfId="0" applyNumberFormat="1" applyFont="1" applyFill="1" applyBorder="1" applyAlignment="1">
      <alignment horizontal="center" vertical="center" wrapText="1"/>
    </xf>
    <xf numFmtId="49" fontId="91" fillId="17" borderId="19" xfId="0" applyNumberFormat="1" applyFont="1" applyFill="1" applyBorder="1" applyAlignment="1">
      <alignment horizontal="center" vertical="center" wrapText="1"/>
    </xf>
    <xf numFmtId="166" fontId="90" fillId="0" borderId="24" xfId="0" applyNumberFormat="1" applyFont="1" applyBorder="1" applyAlignment="1">
      <alignment horizontal="center" vertical="top"/>
    </xf>
    <xf numFmtId="9" fontId="90" fillId="21" borderId="19" xfId="22" applyFont="1" applyFill="1" applyBorder="1" applyAlignment="1">
      <alignment horizontal="center" vertical="top"/>
    </xf>
    <xf numFmtId="9" fontId="90" fillId="21" borderId="24" xfId="22" applyFont="1" applyFill="1" applyBorder="1" applyAlignment="1">
      <alignment horizontal="center" vertical="top"/>
    </xf>
    <xf numFmtId="0" fontId="90" fillId="0" borderId="14" xfId="0" applyFont="1" applyBorder="1" applyAlignment="1">
      <alignment horizontal="left" vertical="top" wrapText="1"/>
    </xf>
    <xf numFmtId="49" fontId="90" fillId="0" borderId="14" xfId="0" applyNumberFormat="1" applyFont="1" applyBorder="1" applyAlignment="1">
      <alignment horizontal="left" vertical="center" wrapText="1"/>
    </xf>
    <xf numFmtId="0" fontId="90" fillId="21" borderId="48" xfId="0" applyFont="1" applyFill="1" applyBorder="1" applyAlignment="1">
      <alignment horizontal="center" vertical="top"/>
    </xf>
    <xf numFmtId="0" fontId="90" fillId="21" borderId="24" xfId="0" applyFont="1" applyFill="1" applyBorder="1" applyAlignment="1">
      <alignment horizontal="center" vertical="top"/>
    </xf>
    <xf numFmtId="49" fontId="90" fillId="37" borderId="19" xfId="0" applyNumberFormat="1" applyFont="1" applyFill="1" applyBorder="1" applyAlignment="1">
      <alignment horizontal="center" vertical="center" wrapText="1"/>
    </xf>
    <xf numFmtId="49" fontId="90" fillId="37" borderId="24" xfId="0" applyNumberFormat="1" applyFont="1" applyFill="1" applyBorder="1" applyAlignment="1">
      <alignment horizontal="center" vertical="center" wrapText="1"/>
    </xf>
    <xf numFmtId="166" fontId="140" fillId="0" borderId="19" xfId="0" applyNumberFormat="1" applyFont="1" applyBorder="1" applyAlignment="1">
      <alignment vertical="center" wrapText="1"/>
    </xf>
    <xf numFmtId="166" fontId="140" fillId="0" borderId="24" xfId="0" applyNumberFormat="1" applyFont="1" applyBorder="1" applyAlignment="1">
      <alignment vertical="center" wrapText="1"/>
    </xf>
    <xf numFmtId="166" fontId="132" fillId="0" borderId="19" xfId="0" applyNumberFormat="1" applyFont="1" applyBorder="1" applyAlignment="1">
      <alignment vertical="center" wrapText="1"/>
    </xf>
    <xf numFmtId="166" fontId="132" fillId="0" borderId="21" xfId="0" applyNumberFormat="1" applyFont="1" applyBorder="1" applyAlignment="1">
      <alignment vertical="center"/>
    </xf>
    <xf numFmtId="166" fontId="91" fillId="35" borderId="19" xfId="0" applyNumberFormat="1" applyFont="1" applyFill="1" applyBorder="1" applyAlignment="1">
      <alignment vertical="center" wrapText="1"/>
    </xf>
    <xf numFmtId="166" fontId="91" fillId="35" borderId="24" xfId="0" applyNumberFormat="1" applyFont="1" applyFill="1" applyBorder="1" applyAlignment="1">
      <alignment vertical="center"/>
    </xf>
    <xf numFmtId="166" fontId="91" fillId="35" borderId="21" xfId="0" applyNumberFormat="1" applyFont="1" applyFill="1" applyBorder="1" applyAlignment="1">
      <alignment vertical="center"/>
    </xf>
    <xf numFmtId="0" fontId="90" fillId="4" borderId="6" xfId="0" applyFont="1" applyFill="1" applyBorder="1" applyAlignment="1">
      <alignment vertical="center" wrapText="1"/>
    </xf>
    <xf numFmtId="0" fontId="90" fillId="4" borderId="7" xfId="0" applyFont="1" applyFill="1" applyBorder="1" applyAlignment="1">
      <alignment vertical="center" wrapText="1"/>
    </xf>
    <xf numFmtId="0" fontId="135" fillId="0" borderId="6" xfId="0" applyFont="1" applyBorder="1" applyAlignment="1">
      <alignment vertical="center" wrapText="1"/>
    </xf>
    <xf numFmtId="0" fontId="90" fillId="0" borderId="14" xfId="0" applyFont="1" applyBorder="1" applyAlignment="1">
      <alignment horizontal="center" vertical="center" textRotation="90" wrapText="1"/>
    </xf>
    <xf numFmtId="49" fontId="90" fillId="0" borderId="58" xfId="0" applyNumberFormat="1" applyFont="1" applyBorder="1" applyAlignment="1">
      <alignment vertical="center"/>
    </xf>
    <xf numFmtId="49" fontId="91" fillId="31" borderId="14" xfId="0" applyNumberFormat="1" applyFont="1" applyFill="1" applyBorder="1" applyAlignment="1">
      <alignment horizontal="center" vertical="center" wrapText="1"/>
    </xf>
    <xf numFmtId="49" fontId="91" fillId="31" borderId="21" xfId="0" applyNumberFormat="1" applyFont="1" applyFill="1" applyBorder="1" applyAlignment="1">
      <alignment horizontal="center" vertical="center" wrapText="1"/>
    </xf>
    <xf numFmtId="49" fontId="90" fillId="0" borderId="94" xfId="0" applyNumberFormat="1" applyFont="1" applyBorder="1" applyAlignment="1">
      <alignment vertical="center" wrapText="1"/>
    </xf>
    <xf numFmtId="49" fontId="90" fillId="0" borderId="97" xfId="0" applyNumberFormat="1" applyFont="1" applyBorder="1" applyAlignment="1">
      <alignment vertical="center" wrapText="1"/>
    </xf>
    <xf numFmtId="49" fontId="90" fillId="0" borderId="105" xfId="0" applyNumberFormat="1" applyFont="1" applyBorder="1" applyAlignment="1">
      <alignment vertical="center" wrapText="1"/>
    </xf>
    <xf numFmtId="49" fontId="91" fillId="31" borderId="21" xfId="0" applyNumberFormat="1" applyFont="1" applyFill="1" applyBorder="1" applyAlignment="1">
      <alignment vertical="center" wrapText="1"/>
    </xf>
    <xf numFmtId="49" fontId="91" fillId="31" borderId="14" xfId="0" applyNumberFormat="1" applyFont="1" applyFill="1" applyBorder="1" applyAlignment="1">
      <alignment vertical="center" wrapText="1"/>
    </xf>
    <xf numFmtId="0" fontId="90" fillId="11" borderId="14" xfId="0" applyFont="1" applyFill="1" applyBorder="1" applyAlignment="1">
      <alignment horizontal="center" vertical="center" wrapText="1"/>
    </xf>
    <xf numFmtId="0" fontId="133" fillId="11" borderId="14" xfId="0" applyFont="1" applyFill="1" applyBorder="1" applyAlignment="1">
      <alignment horizontal="center" vertical="center" wrapText="1"/>
    </xf>
    <xf numFmtId="49" fontId="91" fillId="31" borderId="21" xfId="0" applyNumberFormat="1" applyFont="1" applyFill="1" applyBorder="1" applyAlignment="1">
      <alignment vertical="center" textRotation="90"/>
    </xf>
    <xf numFmtId="49" fontId="91" fillId="31" borderId="14" xfId="0" applyNumberFormat="1" applyFont="1" applyFill="1" applyBorder="1" applyAlignment="1">
      <alignment vertical="center" textRotation="90"/>
    </xf>
    <xf numFmtId="49" fontId="91" fillId="0" borderId="19" xfId="0" applyNumberFormat="1" applyFont="1" applyBorder="1" applyAlignment="1">
      <alignment vertical="center" textRotation="90"/>
    </xf>
    <xf numFmtId="49" fontId="91" fillId="0" borderId="24" xfId="0" applyNumberFormat="1" applyFont="1" applyBorder="1" applyAlignment="1">
      <alignment vertical="center" textRotation="90"/>
    </xf>
    <xf numFmtId="49" fontId="91" fillId="0" borderId="21" xfId="0" applyNumberFormat="1" applyFont="1" applyBorder="1" applyAlignment="1">
      <alignment vertical="center" textRotation="90"/>
    </xf>
    <xf numFmtId="49" fontId="132" fillId="31" borderId="21" xfId="0" applyNumberFormat="1" applyFont="1" applyFill="1" applyBorder="1" applyAlignment="1">
      <alignment vertical="center" wrapText="1"/>
    </xf>
    <xf numFmtId="49" fontId="132" fillId="31" borderId="14" xfId="0" applyNumberFormat="1" applyFont="1" applyFill="1" applyBorder="1" applyAlignment="1">
      <alignment vertical="center" wrapText="1"/>
    </xf>
    <xf numFmtId="49" fontId="91" fillId="31" borderId="9" xfId="0" applyNumberFormat="1" applyFont="1" applyFill="1" applyBorder="1" applyAlignment="1">
      <alignment vertical="center"/>
    </xf>
    <xf numFmtId="49" fontId="91" fillId="31" borderId="6" xfId="0" applyNumberFormat="1" applyFont="1" applyFill="1" applyBorder="1" applyAlignment="1">
      <alignment vertical="center"/>
    </xf>
    <xf numFmtId="166" fontId="91" fillId="37" borderId="19" xfId="0" applyNumberFormat="1" applyFont="1" applyFill="1" applyBorder="1" applyAlignment="1">
      <alignment vertical="center" wrapText="1"/>
    </xf>
    <xf numFmtId="166" fontId="91" fillId="37" borderId="21" xfId="0" applyNumberFormat="1" applyFont="1" applyFill="1" applyBorder="1" applyAlignment="1">
      <alignment vertical="center"/>
    </xf>
    <xf numFmtId="166" fontId="90" fillId="0" borderId="32" xfId="0" applyNumberFormat="1" applyFont="1" applyBorder="1" applyAlignment="1">
      <alignment horizontal="center" vertical="center"/>
    </xf>
    <xf numFmtId="166" fontId="90" fillId="0" borderId="33" xfId="0" applyNumberFormat="1" applyFont="1" applyBorder="1" applyAlignment="1">
      <alignment horizontal="center" vertical="center"/>
    </xf>
    <xf numFmtId="166" fontId="90" fillId="37" borderId="19" xfId="0" applyNumberFormat="1" applyFont="1" applyFill="1" applyBorder="1" applyAlignment="1">
      <alignment horizontal="center" vertical="center"/>
    </xf>
    <xf numFmtId="166" fontId="90" fillId="37" borderId="21" xfId="0" applyNumberFormat="1" applyFont="1" applyFill="1" applyBorder="1" applyAlignment="1">
      <alignment horizontal="center" vertical="center"/>
    </xf>
    <xf numFmtId="49" fontId="90" fillId="0" borderId="9" xfId="0" applyNumberFormat="1" applyFont="1" applyBorder="1" applyAlignment="1">
      <alignment vertical="center" wrapText="1"/>
    </xf>
    <xf numFmtId="0" fontId="90" fillId="17" borderId="15" xfId="0" applyFont="1" applyFill="1" applyBorder="1" applyAlignment="1">
      <alignment horizontal="center" vertical="center" wrapText="1"/>
    </xf>
    <xf numFmtId="0" fontId="90" fillId="17" borderId="35" xfId="0" applyFont="1" applyFill="1" applyBorder="1" applyAlignment="1">
      <alignment horizontal="center" vertical="center" wrapText="1"/>
    </xf>
    <xf numFmtId="0" fontId="90" fillId="17" borderId="17" xfId="0" applyFont="1" applyFill="1" applyBorder="1" applyAlignment="1">
      <alignment horizontal="center" vertical="center" wrapText="1"/>
    </xf>
    <xf numFmtId="49" fontId="90" fillId="31" borderId="19" xfId="0" applyNumberFormat="1" applyFont="1" applyFill="1" applyBorder="1" applyAlignment="1">
      <alignment vertical="center"/>
    </xf>
    <xf numFmtId="49" fontId="90" fillId="31" borderId="21" xfId="0" applyNumberFormat="1" applyFont="1" applyFill="1" applyBorder="1" applyAlignment="1">
      <alignment vertical="center"/>
    </xf>
    <xf numFmtId="49" fontId="90" fillId="0" borderId="21" xfId="0" applyNumberFormat="1" applyFont="1" applyBorder="1" applyAlignment="1">
      <alignment vertical="center"/>
    </xf>
    <xf numFmtId="0" fontId="91" fillId="31" borderId="66" xfId="0" applyFont="1" applyFill="1" applyBorder="1" applyAlignment="1">
      <alignment vertical="center" wrapText="1"/>
    </xf>
    <xf numFmtId="0" fontId="91" fillId="31" borderId="100" xfId="0" applyFont="1" applyFill="1" applyBorder="1" applyAlignment="1">
      <alignment vertical="center" wrapText="1"/>
    </xf>
    <xf numFmtId="0" fontId="91" fillId="31" borderId="58" xfId="0" applyFont="1" applyFill="1" applyBorder="1" applyAlignment="1">
      <alignment vertical="center" textRotation="90" wrapText="1"/>
    </xf>
    <xf numFmtId="0" fontId="91" fillId="31" borderId="9" xfId="0" applyFont="1" applyFill="1" applyBorder="1" applyAlignment="1">
      <alignment vertical="center" textRotation="90" wrapText="1"/>
    </xf>
    <xf numFmtId="0" fontId="91" fillId="31" borderId="101" xfId="0" applyFont="1" applyFill="1" applyBorder="1" applyAlignment="1">
      <alignment vertical="center" wrapText="1"/>
    </xf>
    <xf numFmtId="0" fontId="91" fillId="31" borderId="7" xfId="0" applyFont="1" applyFill="1" applyBorder="1" applyAlignment="1">
      <alignment vertical="center" textRotation="90" wrapText="1"/>
    </xf>
    <xf numFmtId="166" fontId="90" fillId="0" borderId="57" xfId="0" applyNumberFormat="1" applyFont="1" applyBorder="1" applyAlignment="1">
      <alignment horizontal="center" vertical="center"/>
    </xf>
    <xf numFmtId="0" fontId="15" fillId="31" borderId="19" xfId="0" applyFont="1" applyFill="1" applyBorder="1" applyAlignment="1">
      <alignment vertical="center" wrapText="1"/>
    </xf>
    <xf numFmtId="0" fontId="15" fillId="31" borderId="21" xfId="0" applyFont="1" applyFill="1" applyBorder="1" applyAlignment="1">
      <alignment vertical="center" wrapText="1"/>
    </xf>
    <xf numFmtId="49" fontId="90" fillId="31" borderId="19" xfId="0" applyNumberFormat="1" applyFont="1" applyFill="1" applyBorder="1" applyAlignment="1">
      <alignment horizontal="center" vertical="center" wrapText="1"/>
    </xf>
    <xf numFmtId="49" fontId="90" fillId="31" borderId="24" xfId="0" applyNumberFormat="1" applyFont="1" applyFill="1" applyBorder="1" applyAlignment="1">
      <alignment horizontal="center" vertical="center" wrapText="1"/>
    </xf>
    <xf numFmtId="49" fontId="90" fillId="31" borderId="21" xfId="0" applyNumberFormat="1" applyFont="1" applyFill="1" applyBorder="1" applyAlignment="1">
      <alignment horizontal="center" vertical="center" wrapText="1"/>
    </xf>
    <xf numFmtId="49" fontId="76" fillId="0" borderId="0" xfId="0" applyNumberFormat="1" applyFont="1" applyAlignment="1">
      <alignment horizontal="left" vertical="top" wrapText="1"/>
    </xf>
    <xf numFmtId="49" fontId="124" fillId="0" borderId="0" xfId="0" applyNumberFormat="1" applyFont="1" applyAlignment="1">
      <alignment horizontal="center"/>
    </xf>
    <xf numFmtId="49" fontId="90" fillId="0" borderId="9" xfId="0" applyNumberFormat="1" applyFont="1" applyBorder="1" applyAlignment="1">
      <alignment horizontal="left" vertical="center"/>
    </xf>
    <xf numFmtId="49" fontId="90" fillId="0" borderId="18" xfId="0" applyNumberFormat="1" applyFont="1" applyBorder="1" applyAlignment="1">
      <alignment horizontal="left" vertical="center"/>
    </xf>
    <xf numFmtId="49" fontId="90" fillId="0" borderId="7" xfId="0" applyNumberFormat="1" applyFont="1" applyBorder="1" applyAlignment="1">
      <alignment horizontal="left" vertical="center"/>
    </xf>
    <xf numFmtId="49" fontId="91" fillId="0" borderId="21" xfId="0" applyNumberFormat="1" applyFont="1" applyBorder="1" applyAlignment="1">
      <alignment horizontal="left" vertical="center" textRotation="90"/>
    </xf>
    <xf numFmtId="49" fontId="91" fillId="0" borderId="14" xfId="0" applyNumberFormat="1" applyFont="1" applyBorder="1" applyAlignment="1">
      <alignment horizontal="left" vertical="center" textRotation="90"/>
    </xf>
    <xf numFmtId="49" fontId="91" fillId="0" borderId="14" xfId="0" applyNumberFormat="1" applyFont="1" applyBorder="1" applyAlignment="1">
      <alignment horizontal="left" vertical="center" wrapText="1"/>
    </xf>
    <xf numFmtId="49" fontId="90" fillId="0" borderId="6" xfId="0" applyNumberFormat="1" applyFont="1" applyBorder="1" applyAlignment="1">
      <alignment horizontal="left" vertical="center"/>
    </xf>
    <xf numFmtId="0" fontId="92" fillId="0" borderId="0" xfId="0" applyFont="1" applyAlignment="1">
      <alignment horizontal="center" vertical="center"/>
    </xf>
    <xf numFmtId="0" fontId="91" fillId="17" borderId="19" xfId="0" applyFont="1" applyFill="1" applyBorder="1" applyAlignment="1">
      <alignment horizontal="left" vertical="center"/>
    </xf>
    <xf numFmtId="0" fontId="91" fillId="17" borderId="14" xfId="0" applyFont="1" applyFill="1" applyBorder="1" applyAlignment="1">
      <alignment horizontal="left" vertical="center"/>
    </xf>
    <xf numFmtId="0" fontId="90" fillId="19" borderId="14" xfId="0" applyFont="1" applyFill="1" applyBorder="1" applyAlignment="1">
      <alignment horizontal="left" vertical="center" wrapText="1"/>
    </xf>
    <xf numFmtId="166" fontId="90" fillId="37" borderId="19" xfId="0" applyNumberFormat="1" applyFont="1" applyFill="1" applyBorder="1" applyAlignment="1">
      <alignment horizontal="left" vertical="center"/>
    </xf>
    <xf numFmtId="166" fontId="90" fillId="37" borderId="21" xfId="0" applyNumberFormat="1" applyFont="1" applyFill="1" applyBorder="1" applyAlignment="1">
      <alignment horizontal="left" vertical="center"/>
    </xf>
    <xf numFmtId="49" fontId="90" fillId="37" borderId="21" xfId="0" applyNumberFormat="1" applyFont="1" applyFill="1" applyBorder="1" applyAlignment="1">
      <alignment horizontal="center" vertical="center" wrapText="1"/>
    </xf>
    <xf numFmtId="0" fontId="90" fillId="4" borderId="6" xfId="0" applyFont="1" applyFill="1" applyBorder="1" applyAlignment="1">
      <alignment horizontal="left" vertical="center" wrapText="1"/>
    </xf>
    <xf numFmtId="0" fontId="91" fillId="4" borderId="6" xfId="0" applyFont="1" applyFill="1" applyBorder="1" applyAlignment="1">
      <alignment horizontal="left" vertical="center" textRotation="90" wrapText="1"/>
    </xf>
    <xf numFmtId="166" fontId="91" fillId="0" borderId="21" xfId="0" applyNumberFormat="1" applyFont="1" applyBorder="1" applyAlignment="1">
      <alignment horizontal="left" vertical="center"/>
    </xf>
    <xf numFmtId="166" fontId="90" fillId="0" borderId="19" xfId="0" applyNumberFormat="1" applyFont="1" applyBorder="1" applyAlignment="1">
      <alignment horizontal="left" vertical="center"/>
    </xf>
    <xf numFmtId="166" fontId="90" fillId="0" borderId="24" xfId="0" applyNumberFormat="1" applyFont="1" applyBorder="1" applyAlignment="1">
      <alignment horizontal="left" vertical="center"/>
    </xf>
    <xf numFmtId="166" fontId="90" fillId="0" borderId="21" xfId="0" applyNumberFormat="1" applyFont="1" applyBorder="1" applyAlignment="1">
      <alignment horizontal="left" vertical="center"/>
    </xf>
    <xf numFmtId="166" fontId="91" fillId="37" borderId="19" xfId="0" applyNumberFormat="1" applyFont="1" applyFill="1" applyBorder="1" applyAlignment="1">
      <alignment horizontal="left" vertical="center" wrapText="1"/>
    </xf>
    <xf numFmtId="166" fontId="91" fillId="37" borderId="21" xfId="0" applyNumberFormat="1" applyFont="1" applyFill="1" applyBorder="1" applyAlignment="1">
      <alignment horizontal="left" vertical="center"/>
    </xf>
    <xf numFmtId="0" fontId="91" fillId="31" borderId="15" xfId="0" applyFont="1" applyFill="1" applyBorder="1" applyAlignment="1">
      <alignment horizontal="left" vertical="center" wrapText="1"/>
    </xf>
    <xf numFmtId="0" fontId="91" fillId="31" borderId="35" xfId="0" applyFont="1" applyFill="1" applyBorder="1" applyAlignment="1">
      <alignment horizontal="left" vertical="center" wrapText="1"/>
    </xf>
    <xf numFmtId="0" fontId="91" fillId="31" borderId="17" xfId="0" applyFont="1" applyFill="1" applyBorder="1" applyAlignment="1">
      <alignment horizontal="left" vertical="center" wrapText="1"/>
    </xf>
    <xf numFmtId="0" fontId="91" fillId="38" borderId="6" xfId="0" applyFont="1" applyFill="1" applyBorder="1" applyAlignment="1">
      <alignment horizontal="left" vertical="center" textRotation="90" wrapText="1"/>
    </xf>
    <xf numFmtId="49" fontId="90" fillId="37" borderId="19" xfId="0" applyNumberFormat="1" applyFont="1" applyFill="1" applyBorder="1" applyAlignment="1">
      <alignment horizontal="left" vertical="center" wrapText="1"/>
    </xf>
    <xf numFmtId="49" fontId="90" fillId="37" borderId="21" xfId="0" applyNumberFormat="1" applyFont="1" applyFill="1" applyBorder="1" applyAlignment="1">
      <alignment horizontal="left" vertical="center" wrapText="1"/>
    </xf>
    <xf numFmtId="49" fontId="91" fillId="37" borderId="21" xfId="0" applyNumberFormat="1" applyFont="1" applyFill="1" applyBorder="1" applyAlignment="1">
      <alignment horizontal="left" vertical="center" wrapText="1"/>
    </xf>
    <xf numFmtId="49" fontId="91" fillId="37" borderId="14" xfId="0" applyNumberFormat="1" applyFont="1" applyFill="1" applyBorder="1" applyAlignment="1">
      <alignment horizontal="left" vertical="center" wrapText="1"/>
    </xf>
    <xf numFmtId="0" fontId="90" fillId="4" borderId="14" xfId="0" applyFont="1" applyFill="1" applyBorder="1" applyAlignment="1">
      <alignment horizontal="left" vertical="center" wrapText="1"/>
    </xf>
    <xf numFmtId="0" fontId="90" fillId="0" borderId="6" xfId="0" applyFont="1" applyBorder="1" applyAlignment="1">
      <alignment horizontal="left" vertical="center" wrapText="1"/>
    </xf>
    <xf numFmtId="0" fontId="90" fillId="0" borderId="7" xfId="0" applyFont="1" applyBorder="1" applyAlignment="1">
      <alignment horizontal="left" vertical="center" wrapText="1"/>
    </xf>
    <xf numFmtId="0" fontId="91" fillId="0" borderId="6" xfId="0" applyFont="1" applyBorder="1" applyAlignment="1">
      <alignment horizontal="left" vertical="center" textRotation="90" wrapText="1"/>
    </xf>
    <xf numFmtId="0" fontId="91" fillId="0" borderId="7" xfId="0" applyFont="1" applyBorder="1" applyAlignment="1">
      <alignment horizontal="left" vertical="center" textRotation="90" wrapText="1"/>
    </xf>
    <xf numFmtId="49" fontId="90" fillId="37" borderId="14" xfId="0" applyNumberFormat="1" applyFont="1" applyFill="1" applyBorder="1" applyAlignment="1">
      <alignment horizontal="left" vertical="center" wrapText="1"/>
    </xf>
    <xf numFmtId="0" fontId="90" fillId="4" borderId="7" xfId="0" applyFont="1" applyFill="1" applyBorder="1" applyAlignment="1">
      <alignment horizontal="left" vertical="center" wrapText="1"/>
    </xf>
    <xf numFmtId="0" fontId="91" fillId="4" borderId="7" xfId="0" applyFont="1" applyFill="1" applyBorder="1" applyAlignment="1">
      <alignment horizontal="left" vertical="center" textRotation="90" wrapText="1"/>
    </xf>
    <xf numFmtId="49" fontId="90" fillId="37" borderId="6" xfId="0" applyNumberFormat="1" applyFont="1" applyFill="1" applyBorder="1" applyAlignment="1">
      <alignment horizontal="left" vertical="center"/>
    </xf>
    <xf numFmtId="0" fontId="90" fillId="38" borderId="6" xfId="0" applyFont="1" applyFill="1" applyBorder="1" applyAlignment="1">
      <alignment horizontal="left" vertical="center" wrapText="1"/>
    </xf>
    <xf numFmtId="166" fontId="90" fillId="0" borderId="14" xfId="0" applyNumberFormat="1" applyFont="1" applyBorder="1" applyAlignment="1">
      <alignment horizontal="left" vertical="center"/>
    </xf>
    <xf numFmtId="49" fontId="90" fillId="0" borderId="96" xfId="0" applyNumberFormat="1" applyFont="1" applyBorder="1" applyAlignment="1">
      <alignment horizontal="left" vertical="center"/>
    </xf>
    <xf numFmtId="49" fontId="90" fillId="0" borderId="97" xfId="0" applyNumberFormat="1" applyFont="1" applyBorder="1" applyAlignment="1">
      <alignment horizontal="left" vertical="center"/>
    </xf>
    <xf numFmtId="49" fontId="90" fillId="0" borderId="95" xfId="0" applyNumberFormat="1" applyFont="1" applyBorder="1" applyAlignment="1">
      <alignment horizontal="left" vertical="center"/>
    </xf>
    <xf numFmtId="49" fontId="91" fillId="0" borderId="19" xfId="0" applyNumberFormat="1" applyFont="1" applyBorder="1" applyAlignment="1">
      <alignment horizontal="left" vertical="center" textRotation="90"/>
    </xf>
    <xf numFmtId="49" fontId="91" fillId="0" borderId="24" xfId="0" applyNumberFormat="1" applyFont="1" applyBorder="1" applyAlignment="1">
      <alignment horizontal="left" vertical="center" textRotation="90"/>
    </xf>
    <xf numFmtId="0" fontId="90" fillId="21" borderId="19" xfId="0" applyFont="1" applyFill="1" applyBorder="1" applyAlignment="1">
      <alignment horizontal="left" vertical="center"/>
    </xf>
    <xf numFmtId="0" fontId="90" fillId="21" borderId="24" xfId="0" applyFont="1" applyFill="1" applyBorder="1" applyAlignment="1">
      <alignment horizontal="left" vertical="center"/>
    </xf>
    <xf numFmtId="0" fontId="90" fillId="21" borderId="21" xfId="0" applyFont="1" applyFill="1" applyBorder="1" applyAlignment="1">
      <alignment horizontal="left" vertical="center"/>
    </xf>
    <xf numFmtId="166" fontId="90" fillId="21" borderId="19" xfId="0" applyNumberFormat="1" applyFont="1" applyFill="1" applyBorder="1" applyAlignment="1">
      <alignment horizontal="left" vertical="center"/>
    </xf>
    <xf numFmtId="166" fontId="90" fillId="21" borderId="24" xfId="0" applyNumberFormat="1" applyFont="1" applyFill="1" applyBorder="1" applyAlignment="1">
      <alignment horizontal="left" vertical="center"/>
    </xf>
    <xf numFmtId="166" fontId="90" fillId="21" borderId="21" xfId="0" applyNumberFormat="1" applyFont="1" applyFill="1" applyBorder="1" applyAlignment="1">
      <alignment horizontal="left" vertical="center"/>
    </xf>
    <xf numFmtId="9" fontId="90" fillId="21" borderId="19" xfId="22" applyFont="1" applyFill="1" applyBorder="1" applyAlignment="1">
      <alignment horizontal="left" vertical="center"/>
    </xf>
    <xf numFmtId="9" fontId="90" fillId="21" borderId="24" xfId="22" applyFont="1" applyFill="1" applyBorder="1" applyAlignment="1">
      <alignment horizontal="left" vertical="center"/>
    </xf>
    <xf numFmtId="9" fontId="90" fillId="21" borderId="21" xfId="22" applyFont="1" applyFill="1" applyBorder="1" applyAlignment="1">
      <alignment horizontal="left" vertical="center"/>
    </xf>
    <xf numFmtId="166" fontId="90" fillId="21" borderId="48" xfId="0" applyNumberFormat="1" applyFont="1" applyFill="1" applyBorder="1" applyAlignment="1">
      <alignment horizontal="left" vertical="center"/>
    </xf>
    <xf numFmtId="0" fontId="91" fillId="0" borderId="14" xfId="0" applyFont="1" applyBorder="1" applyAlignment="1">
      <alignment horizontal="left" vertical="center"/>
    </xf>
    <xf numFmtId="0" fontId="90" fillId="0" borderId="122" xfId="0" applyFont="1" applyBorder="1" applyAlignment="1">
      <alignment horizontal="center" vertical="center" textRotation="90" wrapText="1"/>
    </xf>
    <xf numFmtId="0" fontId="90" fillId="0" borderId="65" xfId="0" applyFont="1" applyBorder="1" applyAlignment="1">
      <alignment horizontal="center" vertical="center" textRotation="90" wrapText="1"/>
    </xf>
    <xf numFmtId="0" fontId="133" fillId="11" borderId="24" xfId="0" applyFont="1" applyFill="1" applyBorder="1" applyAlignment="1">
      <alignment horizontal="center" vertical="center" wrapText="1"/>
    </xf>
    <xf numFmtId="49" fontId="132" fillId="0" borderId="21" xfId="0" applyNumberFormat="1" applyFont="1" applyBorder="1" applyAlignment="1">
      <alignment horizontal="left" vertical="center" wrapText="1"/>
    </xf>
    <xf numFmtId="49" fontId="132" fillId="0" borderId="14" xfId="0" applyNumberFormat="1" applyFont="1" applyBorder="1" applyAlignment="1">
      <alignment horizontal="left" vertical="center" wrapText="1"/>
    </xf>
    <xf numFmtId="49" fontId="91" fillId="0" borderId="19" xfId="0" applyNumberFormat="1" applyFont="1" applyBorder="1" applyAlignment="1">
      <alignment horizontal="center" vertical="top" wrapText="1"/>
    </xf>
    <xf numFmtId="49" fontId="91" fillId="0" borderId="24" xfId="0" applyNumberFormat="1" applyFont="1" applyBorder="1" applyAlignment="1">
      <alignment horizontal="center" vertical="top" wrapText="1"/>
    </xf>
    <xf numFmtId="49" fontId="91" fillId="0" borderId="21" xfId="0" applyNumberFormat="1" applyFont="1" applyBorder="1" applyAlignment="1">
      <alignment horizontal="center" vertical="top" wrapText="1"/>
    </xf>
    <xf numFmtId="49" fontId="132" fillId="0" borderId="21" xfId="0" applyNumberFormat="1" applyFont="1" applyBorder="1" applyAlignment="1">
      <alignment vertical="top" wrapText="1"/>
    </xf>
    <xf numFmtId="49" fontId="132" fillId="0" borderId="14" xfId="0" applyNumberFormat="1" applyFont="1" applyBorder="1" applyAlignment="1">
      <alignment vertical="top" wrapText="1"/>
    </xf>
    <xf numFmtId="49" fontId="132" fillId="0" borderId="21" xfId="0" applyNumberFormat="1" applyFont="1" applyBorder="1" applyAlignment="1">
      <alignment horizontal="center" vertical="top" wrapText="1"/>
    </xf>
    <xf numFmtId="49" fontId="132" fillId="0" borderId="14" xfId="0" applyNumberFormat="1" applyFont="1" applyBorder="1" applyAlignment="1">
      <alignment horizontal="center" vertical="top" wrapText="1"/>
    </xf>
    <xf numFmtId="49" fontId="91" fillId="0" borderId="19" xfId="0" applyNumberFormat="1" applyFont="1" applyBorder="1" applyAlignment="1">
      <alignment horizontal="left" vertical="top" wrapText="1"/>
    </xf>
    <xf numFmtId="49" fontId="91" fillId="0" borderId="21" xfId="0" applyNumberFormat="1" applyFont="1" applyBorder="1" applyAlignment="1">
      <alignment horizontal="left" vertical="top" wrapText="1"/>
    </xf>
    <xf numFmtId="0" fontId="91" fillId="4" borderId="6" xfId="0" applyFont="1" applyFill="1" applyBorder="1" applyAlignment="1">
      <alignment vertical="top" textRotation="90" wrapText="1"/>
    </xf>
    <xf numFmtId="0" fontId="91" fillId="4" borderId="7" xfId="0" applyFont="1" applyFill="1" applyBorder="1" applyAlignment="1">
      <alignment vertical="top" textRotation="90" wrapText="1"/>
    </xf>
    <xf numFmtId="166" fontId="91" fillId="0" borderId="19" xfId="0" applyNumberFormat="1" applyFont="1" applyBorder="1" applyAlignment="1">
      <alignment vertical="top" wrapText="1"/>
    </xf>
    <xf numFmtId="166" fontId="91" fillId="0" borderId="21" xfId="0" applyNumberFormat="1" applyFont="1" applyBorder="1" applyAlignment="1">
      <alignment vertical="top"/>
    </xf>
    <xf numFmtId="49" fontId="90" fillId="0" borderId="6" xfId="0" applyNumberFormat="1" applyFont="1" applyBorder="1" applyAlignment="1">
      <alignment vertical="top"/>
    </xf>
    <xf numFmtId="0" fontId="76" fillId="0" borderId="0" xfId="0" applyFont="1" applyAlignment="1">
      <alignment vertical="top" wrapText="1"/>
    </xf>
    <xf numFmtId="49" fontId="90" fillId="0" borderId="7" xfId="0" applyNumberFormat="1" applyFont="1" applyBorder="1" applyAlignment="1">
      <alignment vertical="top"/>
    </xf>
    <xf numFmtId="0" fontId="90" fillId="0" borderId="6" xfId="0" applyFont="1" applyBorder="1" applyAlignment="1">
      <alignment vertical="top" wrapText="1"/>
    </xf>
    <xf numFmtId="0" fontId="90" fillId="0" borderId="7" xfId="0" applyFont="1" applyBorder="1" applyAlignment="1">
      <alignment vertical="top" wrapText="1"/>
    </xf>
    <xf numFmtId="166" fontId="91" fillId="0" borderId="24" xfId="0" applyNumberFormat="1" applyFont="1" applyBorder="1" applyAlignment="1">
      <alignment vertical="top" wrapText="1"/>
    </xf>
    <xf numFmtId="166" fontId="91" fillId="0" borderId="24" xfId="0" applyNumberFormat="1" applyFont="1" applyBorder="1" applyAlignment="1">
      <alignment vertical="top"/>
    </xf>
    <xf numFmtId="166" fontId="91" fillId="0" borderId="14" xfId="0" applyNumberFormat="1" applyFont="1" applyBorder="1" applyAlignment="1">
      <alignment vertical="top" wrapText="1"/>
    </xf>
    <xf numFmtId="166" fontId="91" fillId="0" borderId="14" xfId="0" applyNumberFormat="1" applyFont="1" applyBorder="1" applyAlignment="1">
      <alignment vertical="top"/>
    </xf>
    <xf numFmtId="166" fontId="91" fillId="0" borderId="19" xfId="0" applyNumberFormat="1" applyFont="1" applyBorder="1" applyAlignment="1">
      <alignment vertical="top"/>
    </xf>
    <xf numFmtId="0" fontId="90" fillId="0" borderId="9" xfId="0" applyFont="1" applyBorder="1" applyAlignment="1">
      <alignment vertical="top" wrapText="1"/>
    </xf>
    <xf numFmtId="0" fontId="91" fillId="4" borderId="9" xfId="0" applyFont="1" applyFill="1" applyBorder="1" applyAlignment="1">
      <alignment vertical="top" textRotation="90" wrapText="1"/>
    </xf>
    <xf numFmtId="49" fontId="90" fillId="27" borderId="19" xfId="0" applyNumberFormat="1" applyFont="1" applyFill="1" applyBorder="1" applyAlignment="1">
      <alignment horizontal="center" vertical="top"/>
    </xf>
    <xf numFmtId="49" fontId="90" fillId="27" borderId="21" xfId="0" applyNumberFormat="1" applyFont="1" applyFill="1" applyBorder="1" applyAlignment="1">
      <alignment horizontal="center" vertical="top"/>
    </xf>
    <xf numFmtId="49" fontId="90" fillId="0" borderId="9" xfId="0" applyNumberFormat="1" applyFont="1" applyBorder="1" applyAlignment="1">
      <alignment vertical="top"/>
    </xf>
    <xf numFmtId="49" fontId="91" fillId="0" borderId="21" xfId="0" applyNumberFormat="1" applyFont="1" applyBorder="1" applyAlignment="1">
      <alignment vertical="top" textRotation="90"/>
    </xf>
    <xf numFmtId="49" fontId="91" fillId="0" borderId="14" xfId="0" applyNumberFormat="1" applyFont="1" applyBorder="1" applyAlignment="1">
      <alignment vertical="top" textRotation="90"/>
    </xf>
    <xf numFmtId="49" fontId="91" fillId="0" borderId="14" xfId="0" applyNumberFormat="1" applyFont="1" applyBorder="1" applyAlignment="1">
      <alignment horizontal="center" vertical="top" wrapText="1"/>
    </xf>
    <xf numFmtId="0" fontId="91" fillId="4" borderId="14" xfId="0" applyFont="1" applyFill="1" applyBorder="1" applyAlignment="1">
      <alignment vertical="top" textRotation="90" wrapText="1"/>
    </xf>
    <xf numFmtId="49" fontId="90" fillId="0" borderId="14" xfId="0" applyNumberFormat="1" applyFont="1" applyBorder="1" applyAlignment="1">
      <alignment vertical="top"/>
    </xf>
    <xf numFmtId="0" fontId="91" fillId="27" borderId="19" xfId="0" applyFont="1" applyFill="1" applyBorder="1" applyAlignment="1">
      <alignment horizontal="left" vertical="top" wrapText="1"/>
    </xf>
    <xf numFmtId="0" fontId="91" fillId="27" borderId="21" xfId="0" applyFont="1" applyFill="1" applyBorder="1" applyAlignment="1">
      <alignment horizontal="left" vertical="top" wrapText="1"/>
    </xf>
    <xf numFmtId="49" fontId="91" fillId="17" borderId="24" xfId="0" applyNumberFormat="1" applyFont="1" applyFill="1" applyBorder="1" applyAlignment="1">
      <alignment vertical="top" wrapText="1"/>
    </xf>
    <xf numFmtId="49" fontId="91" fillId="17" borderId="21" xfId="0" applyNumberFormat="1" applyFont="1" applyFill="1" applyBorder="1" applyAlignment="1">
      <alignment vertical="top" wrapText="1"/>
    </xf>
    <xf numFmtId="0" fontId="91" fillId="17" borderId="14" xfId="0" applyFont="1" applyFill="1" applyBorder="1" applyAlignment="1">
      <alignment vertical="top"/>
    </xf>
    <xf numFmtId="0" fontId="90" fillId="0" borderId="19" xfId="0" applyFont="1" applyBorder="1" applyAlignment="1">
      <alignment horizontal="center" vertical="top"/>
    </xf>
    <xf numFmtId="0" fontId="90" fillId="0" borderId="24" xfId="0" applyFont="1" applyBorder="1" applyAlignment="1">
      <alignment horizontal="center" vertical="top"/>
    </xf>
    <xf numFmtId="0" fontId="90" fillId="0" borderId="21" xfId="0" applyFont="1" applyBorder="1" applyAlignment="1">
      <alignment horizontal="center" vertical="top"/>
    </xf>
    <xf numFmtId="0" fontId="72" fillId="0" borderId="0" xfId="0" applyFont="1" applyAlignment="1">
      <alignment vertical="top"/>
    </xf>
    <xf numFmtId="166" fontId="90" fillId="0" borderId="14" xfId="0" applyNumberFormat="1" applyFont="1" applyBorder="1" applyAlignment="1">
      <alignment horizontal="center" vertical="top"/>
    </xf>
    <xf numFmtId="0" fontId="91" fillId="0" borderId="0" xfId="0" applyFont="1" applyAlignment="1">
      <alignment horizontal="left" vertical="top"/>
    </xf>
    <xf numFmtId="49" fontId="91" fillId="0" borderId="24" xfId="0" applyNumberFormat="1" applyFont="1" applyBorder="1" applyAlignment="1">
      <alignment horizontal="left" vertical="top" wrapText="1"/>
    </xf>
    <xf numFmtId="49" fontId="91" fillId="0" borderId="31" xfId="0" applyNumberFormat="1" applyFont="1" applyBorder="1" applyAlignment="1">
      <alignment horizontal="center" vertical="top" wrapText="1"/>
    </xf>
    <xf numFmtId="49" fontId="91" fillId="0" borderId="32" xfId="0" applyNumberFormat="1" applyFont="1" applyBorder="1" applyAlignment="1">
      <alignment horizontal="center" vertical="top" wrapText="1"/>
    </xf>
    <xf numFmtId="49" fontId="91" fillId="0" borderId="65" xfId="0" applyNumberFormat="1" applyFont="1" applyBorder="1" applyAlignment="1">
      <alignment horizontal="center" vertical="top" wrapText="1"/>
    </xf>
    <xf numFmtId="49" fontId="91" fillId="0" borderId="57" xfId="0" applyNumberFormat="1" applyFont="1" applyBorder="1" applyAlignment="1">
      <alignment horizontal="center" vertical="top" wrapText="1"/>
    </xf>
    <xf numFmtId="49" fontId="91" fillId="0" borderId="37" xfId="0" applyNumberFormat="1" applyFont="1" applyBorder="1" applyAlignment="1">
      <alignment horizontal="center" vertical="top" wrapText="1"/>
    </xf>
    <xf numFmtId="49" fontId="91" fillId="0" borderId="33" xfId="0" applyNumberFormat="1" applyFont="1" applyBorder="1" applyAlignment="1">
      <alignment horizontal="center" vertical="top" wrapText="1"/>
    </xf>
    <xf numFmtId="49" fontId="90" fillId="0" borderId="31" xfId="0" applyNumberFormat="1" applyFont="1" applyBorder="1" applyAlignment="1">
      <alignment horizontal="center" vertical="top" wrapText="1"/>
    </xf>
    <xf numFmtId="49" fontId="90" fillId="0" borderId="32" xfId="0" applyNumberFormat="1" applyFont="1" applyBorder="1" applyAlignment="1">
      <alignment horizontal="center" vertical="top" wrapText="1"/>
    </xf>
    <xf numFmtId="49" fontId="90" fillId="0" borderId="37" xfId="0" applyNumberFormat="1" applyFont="1" applyBorder="1" applyAlignment="1">
      <alignment horizontal="center" vertical="top" wrapText="1"/>
    </xf>
    <xf numFmtId="49" fontId="90" fillId="0" borderId="33" xfId="0" applyNumberFormat="1" applyFont="1" applyBorder="1" applyAlignment="1">
      <alignment horizontal="center" vertical="top" wrapText="1"/>
    </xf>
    <xf numFmtId="49" fontId="90" fillId="27" borderId="14" xfId="0" applyNumberFormat="1" applyFont="1" applyFill="1" applyBorder="1" applyAlignment="1">
      <alignment horizontal="center" vertical="top" wrapText="1"/>
    </xf>
    <xf numFmtId="49" fontId="91" fillId="27" borderId="6" xfId="0" applyNumberFormat="1" applyFont="1" applyFill="1" applyBorder="1" applyAlignment="1">
      <alignment horizontal="right" vertical="top"/>
    </xf>
    <xf numFmtId="0" fontId="91" fillId="28" borderId="6" xfId="0" applyFont="1" applyFill="1" applyBorder="1" applyAlignment="1">
      <alignment vertical="top" wrapText="1"/>
    </xf>
    <xf numFmtId="0" fontId="91" fillId="28" borderId="8" xfId="0" applyFont="1" applyFill="1" applyBorder="1" applyAlignment="1">
      <alignment horizontal="center" vertical="center" textRotation="90" wrapText="1"/>
    </xf>
    <xf numFmtId="0" fontId="91" fillId="28" borderId="6" xfId="0" applyFont="1" applyFill="1" applyBorder="1" applyAlignment="1">
      <alignment horizontal="center" vertical="center" textRotation="90" wrapText="1"/>
    </xf>
    <xf numFmtId="166" fontId="91" fillId="27" borderId="19" xfId="0" applyNumberFormat="1" applyFont="1" applyFill="1" applyBorder="1" applyAlignment="1">
      <alignment horizontal="left" vertical="top" wrapText="1"/>
    </xf>
    <xf numFmtId="166" fontId="91" fillId="27" borderId="24" xfId="0" applyNumberFormat="1" applyFont="1" applyFill="1" applyBorder="1" applyAlignment="1">
      <alignment horizontal="left" vertical="top" wrapText="1"/>
    </xf>
    <xf numFmtId="166" fontId="91" fillId="27" borderId="21" xfId="0" applyNumberFormat="1" applyFont="1" applyFill="1" applyBorder="1" applyAlignment="1">
      <alignment horizontal="left" vertical="top"/>
    </xf>
    <xf numFmtId="49" fontId="91" fillId="27" borderId="21" xfId="0" applyNumberFormat="1" applyFont="1" applyFill="1" applyBorder="1" applyAlignment="1">
      <alignment vertical="top" wrapText="1"/>
    </xf>
    <xf numFmtId="49" fontId="91" fillId="27" borderId="14" xfId="0" applyNumberFormat="1" applyFont="1" applyFill="1" applyBorder="1" applyAlignment="1">
      <alignment vertical="top" wrapText="1"/>
    </xf>
    <xf numFmtId="49" fontId="90" fillId="27" borderId="21" xfId="0" applyNumberFormat="1" applyFont="1" applyFill="1" applyBorder="1" applyAlignment="1">
      <alignment horizontal="center" vertical="top" wrapText="1"/>
    </xf>
    <xf numFmtId="49" fontId="146" fillId="0" borderId="21" xfId="0" applyNumberFormat="1" applyFont="1" applyBorder="1" applyAlignment="1">
      <alignment vertical="top" wrapText="1"/>
    </xf>
    <xf numFmtId="49" fontId="146" fillId="0" borderId="14" xfId="0" applyNumberFormat="1" applyFont="1" applyBorder="1" applyAlignment="1">
      <alignment vertical="top" wrapText="1"/>
    </xf>
    <xf numFmtId="2" fontId="91" fillId="31" borderId="24" xfId="0" applyNumberFormat="1" applyFont="1" applyFill="1" applyBorder="1" applyAlignment="1">
      <alignment horizontal="left" vertical="top" wrapText="1"/>
    </xf>
    <xf numFmtId="2" fontId="91" fillId="31" borderId="21" xfId="0" applyNumberFormat="1" applyFont="1" applyFill="1" applyBorder="1" applyAlignment="1">
      <alignment horizontal="left" vertical="top" wrapText="1"/>
    </xf>
    <xf numFmtId="49" fontId="91" fillId="31" borderId="6" xfId="0" applyNumberFormat="1" applyFont="1" applyFill="1" applyBorder="1" applyAlignment="1">
      <alignment horizontal="right" vertical="top"/>
    </xf>
    <xf numFmtId="0" fontId="91" fillId="32" borderId="6" xfId="0" applyFont="1" applyFill="1" applyBorder="1" applyAlignment="1">
      <alignment vertical="top" wrapText="1"/>
    </xf>
    <xf numFmtId="0" fontId="91" fillId="32" borderId="8" xfId="0" applyFont="1" applyFill="1" applyBorder="1" applyAlignment="1">
      <alignment horizontal="center" vertical="center" textRotation="90" wrapText="1"/>
    </xf>
    <xf numFmtId="0" fontId="91" fillId="32" borderId="6" xfId="0" applyFont="1" applyFill="1" applyBorder="1" applyAlignment="1">
      <alignment horizontal="center" vertical="center" textRotation="90" wrapText="1"/>
    </xf>
    <xf numFmtId="166" fontId="91" fillId="31" borderId="32" xfId="0" applyNumberFormat="1" applyFont="1" applyFill="1" applyBorder="1" applyAlignment="1">
      <alignment horizontal="left" vertical="top" wrapText="1"/>
    </xf>
    <xf numFmtId="166" fontId="91" fillId="31" borderId="57" xfId="0" applyNumberFormat="1" applyFont="1" applyFill="1" applyBorder="1" applyAlignment="1">
      <alignment horizontal="left" vertical="top" wrapText="1"/>
    </xf>
    <xf numFmtId="166" fontId="91" fillId="31" borderId="21" xfId="0" applyNumberFormat="1" applyFont="1" applyFill="1" applyBorder="1" applyAlignment="1">
      <alignment horizontal="left" vertical="top"/>
    </xf>
    <xf numFmtId="49" fontId="90" fillId="30" borderId="15" xfId="0" applyNumberFormat="1" applyFont="1" applyFill="1" applyBorder="1" applyAlignment="1">
      <alignment vertical="center" wrapText="1"/>
    </xf>
    <xf numFmtId="49" fontId="90" fillId="30" borderId="17" xfId="0" applyNumberFormat="1" applyFont="1" applyFill="1" applyBorder="1" applyAlignment="1">
      <alignment vertical="center" wrapText="1"/>
    </xf>
    <xf numFmtId="1" fontId="90" fillId="31" borderId="19" xfId="0" applyNumberFormat="1" applyFont="1" applyFill="1" applyBorder="1" applyAlignment="1">
      <alignment horizontal="center" vertical="top" wrapText="1"/>
    </xf>
    <xf numFmtId="1" fontId="90" fillId="31" borderId="24" xfId="0" applyNumberFormat="1" applyFont="1" applyFill="1" applyBorder="1" applyAlignment="1">
      <alignment horizontal="center" vertical="top" wrapText="1"/>
    </xf>
    <xf numFmtId="1" fontId="90" fillId="31" borderId="21" xfId="0" applyNumberFormat="1" applyFont="1" applyFill="1" applyBorder="1" applyAlignment="1">
      <alignment horizontal="center" vertical="top" wrapText="1"/>
    </xf>
    <xf numFmtId="49" fontId="91" fillId="31" borderId="9" xfId="0" applyNumberFormat="1" applyFont="1" applyFill="1" applyBorder="1" applyAlignment="1">
      <alignment horizontal="right" vertical="top"/>
    </xf>
    <xf numFmtId="2" fontId="91" fillId="31" borderId="21" xfId="0" applyNumberFormat="1" applyFont="1" applyFill="1" applyBorder="1" applyAlignment="1">
      <alignment vertical="top" wrapText="1"/>
    </xf>
    <xf numFmtId="2" fontId="91" fillId="31" borderId="14" xfId="0" applyNumberFormat="1" applyFont="1" applyFill="1" applyBorder="1" applyAlignment="1">
      <alignment vertical="top" wrapText="1"/>
    </xf>
    <xf numFmtId="1" fontId="91" fillId="31" borderId="21" xfId="0" applyNumberFormat="1" applyFont="1" applyFill="1" applyBorder="1" applyAlignment="1">
      <alignment horizontal="center" vertical="center" textRotation="90"/>
    </xf>
    <xf numFmtId="1" fontId="91" fillId="31" borderId="14" xfId="0" applyNumberFormat="1" applyFont="1" applyFill="1" applyBorder="1" applyAlignment="1">
      <alignment horizontal="center" vertical="center" textRotation="90"/>
    </xf>
    <xf numFmtId="2" fontId="91" fillId="31" borderId="21" xfId="0" applyNumberFormat="1" applyFont="1" applyFill="1" applyBorder="1" applyAlignment="1">
      <alignment horizontal="left" vertical="center" wrapText="1"/>
    </xf>
    <xf numFmtId="2" fontId="91" fillId="31" borderId="14" xfId="0" applyNumberFormat="1" applyFont="1" applyFill="1" applyBorder="1" applyAlignment="1">
      <alignment horizontal="left" vertical="center"/>
    </xf>
    <xf numFmtId="2" fontId="91" fillId="31" borderId="21" xfId="0" applyNumberFormat="1" applyFont="1" applyFill="1" applyBorder="1" applyAlignment="1">
      <alignment horizontal="center" vertical="top" wrapText="1"/>
    </xf>
    <xf numFmtId="2" fontId="91" fillId="31" borderId="14" xfId="0" applyNumberFormat="1" applyFont="1" applyFill="1" applyBorder="1" applyAlignment="1">
      <alignment horizontal="center" vertical="top" wrapText="1"/>
    </xf>
    <xf numFmtId="1" fontId="91" fillId="31" borderId="21" xfId="0" applyNumberFormat="1" applyFont="1" applyFill="1" applyBorder="1" applyAlignment="1">
      <alignment horizontal="center" vertical="top" wrapText="1"/>
    </xf>
    <xf numFmtId="1" fontId="91" fillId="31" borderId="14" xfId="0" applyNumberFormat="1" applyFont="1" applyFill="1" applyBorder="1" applyAlignment="1">
      <alignment horizontal="center" vertical="top" wrapText="1"/>
    </xf>
    <xf numFmtId="2" fontId="91" fillId="31" borderId="19" xfId="0" applyNumberFormat="1" applyFont="1" applyFill="1" applyBorder="1" applyAlignment="1">
      <alignment horizontal="center" vertical="top" wrapText="1"/>
    </xf>
    <xf numFmtId="2" fontId="91" fillId="31" borderId="24" xfId="0" applyNumberFormat="1" applyFont="1" applyFill="1" applyBorder="1" applyAlignment="1">
      <alignment horizontal="center" vertical="top" wrapText="1"/>
    </xf>
    <xf numFmtId="2" fontId="90" fillId="31" borderId="21" xfId="0" applyNumberFormat="1" applyFont="1" applyFill="1" applyBorder="1" applyAlignment="1">
      <alignment horizontal="center" vertical="top" wrapText="1"/>
    </xf>
    <xf numFmtId="2" fontId="90" fillId="31" borderId="14" xfId="0" applyNumberFormat="1" applyFont="1" applyFill="1" applyBorder="1" applyAlignment="1">
      <alignment horizontal="center" vertical="top" wrapText="1"/>
    </xf>
    <xf numFmtId="1" fontId="90" fillId="31" borderId="14" xfId="0" applyNumberFormat="1" applyFont="1" applyFill="1" applyBorder="1" applyAlignment="1">
      <alignment horizontal="center" vertical="top" wrapText="1"/>
    </xf>
    <xf numFmtId="2" fontId="91" fillId="31" borderId="19" xfId="0" applyNumberFormat="1" applyFont="1" applyFill="1" applyBorder="1" applyAlignment="1">
      <alignment horizontal="left" vertical="top" wrapText="1"/>
    </xf>
    <xf numFmtId="49" fontId="90" fillId="0" borderId="9" xfId="0" applyNumberFormat="1" applyFont="1" applyBorder="1" applyAlignment="1">
      <alignment horizontal="left" vertical="top"/>
    </xf>
    <xf numFmtId="49" fontId="90" fillId="0" borderId="6" xfId="0" applyNumberFormat="1" applyFont="1" applyBorder="1" applyAlignment="1">
      <alignment horizontal="left" vertical="top"/>
    </xf>
    <xf numFmtId="2" fontId="90" fillId="0" borderId="21" xfId="0" applyNumberFormat="1" applyFont="1" applyBorder="1" applyAlignment="1">
      <alignment vertical="top" wrapText="1"/>
    </xf>
    <xf numFmtId="2" fontId="90" fillId="0" borderId="14" xfId="0" applyNumberFormat="1" applyFont="1" applyBorder="1" applyAlignment="1">
      <alignment vertical="top" wrapText="1"/>
    </xf>
    <xf numFmtId="1" fontId="91" fillId="0" borderId="21" xfId="0" applyNumberFormat="1" applyFont="1" applyBorder="1" applyAlignment="1">
      <alignment horizontal="center" vertical="center" textRotation="90"/>
    </xf>
    <xf numFmtId="1" fontId="91" fillId="0" borderId="14" xfId="0" applyNumberFormat="1" applyFont="1" applyBorder="1" applyAlignment="1">
      <alignment horizontal="center" vertical="center" textRotation="90"/>
    </xf>
    <xf numFmtId="2" fontId="91" fillId="0" borderId="19" xfId="0" applyNumberFormat="1" applyFont="1" applyBorder="1" applyAlignment="1">
      <alignment horizontal="left" vertical="center" wrapText="1"/>
    </xf>
    <xf numFmtId="2" fontId="91" fillId="0" borderId="24" xfId="0" applyNumberFormat="1" applyFont="1" applyBorder="1" applyAlignment="1">
      <alignment horizontal="left" vertical="center" wrapText="1"/>
    </xf>
    <xf numFmtId="2" fontId="91" fillId="0" borderId="21" xfId="0" applyNumberFormat="1" applyFont="1" applyBorder="1" applyAlignment="1">
      <alignment horizontal="left" vertical="center" wrapText="1"/>
    </xf>
    <xf numFmtId="2" fontId="91" fillId="0" borderId="21" xfId="0" applyNumberFormat="1" applyFont="1" applyBorder="1" applyAlignment="1">
      <alignment vertical="top" wrapText="1"/>
    </xf>
    <xf numFmtId="2" fontId="91" fillId="0" borderId="14" xfId="0" applyNumberFormat="1" applyFont="1" applyBorder="1" applyAlignment="1">
      <alignment vertical="top" wrapText="1"/>
    </xf>
    <xf numFmtId="2" fontId="90" fillId="0" borderId="21" xfId="0" applyNumberFormat="1" applyFont="1" applyBorder="1" applyAlignment="1">
      <alignment horizontal="center" vertical="top" wrapText="1"/>
    </xf>
    <xf numFmtId="2" fontId="90" fillId="0" borderId="14" xfId="0" applyNumberFormat="1" applyFont="1" applyBorder="1" applyAlignment="1">
      <alignment horizontal="center" vertical="top" wrapText="1"/>
    </xf>
    <xf numFmtId="167" fontId="90" fillId="31" borderId="21" xfId="0" applyNumberFormat="1" applyFont="1" applyFill="1" applyBorder="1" applyAlignment="1">
      <alignment horizontal="center" vertical="top" wrapText="1"/>
    </xf>
    <xf numFmtId="167" fontId="90" fillId="31" borderId="14" xfId="0" applyNumberFormat="1" applyFont="1" applyFill="1" applyBorder="1" applyAlignment="1">
      <alignment horizontal="center" vertical="top" wrapText="1"/>
    </xf>
    <xf numFmtId="166" fontId="91" fillId="31" borderId="21" xfId="0" applyNumberFormat="1" applyFont="1" applyFill="1" applyBorder="1" applyAlignment="1">
      <alignment horizontal="left" vertical="center" wrapText="1"/>
    </xf>
    <xf numFmtId="166" fontId="91" fillId="31" borderId="14" xfId="0" applyNumberFormat="1" applyFont="1" applyFill="1" applyBorder="1" applyAlignment="1">
      <alignment horizontal="left" vertical="center"/>
    </xf>
    <xf numFmtId="0" fontId="91" fillId="0" borderId="6" xfId="0" applyFont="1" applyBorder="1" applyAlignment="1">
      <alignment horizontal="center" vertical="center" textRotation="90" wrapText="1"/>
    </xf>
    <xf numFmtId="0" fontId="91" fillId="0" borderId="7" xfId="0" applyFont="1" applyBorder="1" applyAlignment="1">
      <alignment horizontal="center" vertical="center" textRotation="90" wrapText="1"/>
    </xf>
    <xf numFmtId="166" fontId="91" fillId="31" borderId="19" xfId="0" applyNumberFormat="1" applyFont="1" applyFill="1" applyBorder="1" applyAlignment="1">
      <alignment horizontal="left" vertical="top" wrapText="1"/>
    </xf>
    <xf numFmtId="166" fontId="91" fillId="31" borderId="24" xfId="0" applyNumberFormat="1" applyFont="1" applyFill="1" applyBorder="1" applyAlignment="1">
      <alignment horizontal="left" vertical="top" wrapText="1"/>
    </xf>
    <xf numFmtId="49" fontId="90" fillId="31" borderId="37" xfId="0" applyNumberFormat="1" applyFont="1" applyFill="1" applyBorder="1" applyAlignment="1">
      <alignment vertical="top" wrapText="1"/>
    </xf>
    <xf numFmtId="49" fontId="90" fillId="31" borderId="15" xfId="0" applyNumberFormat="1" applyFont="1" applyFill="1" applyBorder="1" applyAlignment="1">
      <alignment vertical="top" wrapText="1"/>
    </xf>
    <xf numFmtId="166" fontId="90" fillId="0" borderId="19" xfId="0" applyNumberFormat="1" applyFont="1" applyBorder="1" applyAlignment="1">
      <alignment vertical="center"/>
    </xf>
    <xf numFmtId="166" fontId="90" fillId="0" borderId="21" xfId="0" applyNumberFormat="1" applyFont="1" applyBorder="1" applyAlignment="1">
      <alignment vertical="center"/>
    </xf>
    <xf numFmtId="166" fontId="132" fillId="0" borderId="24" xfId="0" applyNumberFormat="1" applyFont="1" applyBorder="1" applyAlignment="1">
      <alignment horizontal="left" vertical="top" wrapText="1"/>
    </xf>
    <xf numFmtId="166" fontId="132" fillId="0" borderId="24" xfId="0" applyNumberFormat="1" applyFont="1" applyBorder="1" applyAlignment="1">
      <alignment horizontal="left" vertical="top"/>
    </xf>
    <xf numFmtId="0" fontId="133" fillId="4" borderId="6" xfId="0" applyFont="1" applyFill="1" applyBorder="1" applyAlignment="1">
      <alignment vertical="top" wrapText="1"/>
    </xf>
    <xf numFmtId="0" fontId="133" fillId="4" borderId="7" xfId="0" applyFont="1" applyFill="1" applyBorder="1" applyAlignment="1">
      <alignment vertical="top" wrapText="1"/>
    </xf>
    <xf numFmtId="49" fontId="90" fillId="0" borderId="9" xfId="0" applyNumberFormat="1" applyFont="1" applyBorder="1" applyAlignment="1">
      <alignment horizontal="center" vertical="top" wrapText="1"/>
    </xf>
    <xf numFmtId="2" fontId="90" fillId="0" borderId="19" xfId="0" applyNumberFormat="1" applyFont="1" applyBorder="1" applyAlignment="1">
      <alignment horizontal="center" vertical="center"/>
    </xf>
    <xf numFmtId="2" fontId="90" fillId="0" borderId="24" xfId="0" applyNumberFormat="1" applyFont="1" applyBorder="1" applyAlignment="1">
      <alignment horizontal="center" vertical="center"/>
    </xf>
    <xf numFmtId="2" fontId="90" fillId="0" borderId="21" xfId="0" applyNumberFormat="1" applyFont="1" applyBorder="1" applyAlignment="1">
      <alignment horizontal="center" vertical="center"/>
    </xf>
    <xf numFmtId="0" fontId="90" fillId="23" borderId="21" xfId="0" applyFont="1" applyFill="1" applyBorder="1" applyAlignment="1">
      <alignment horizontal="center" vertical="center" wrapText="1"/>
    </xf>
    <xf numFmtId="0" fontId="90" fillId="0" borderId="15" xfId="0" applyFont="1" applyBorder="1" applyAlignment="1">
      <alignment horizontal="center" vertical="center" wrapText="1"/>
    </xf>
    <xf numFmtId="0" fontId="90" fillId="0" borderId="35" xfId="0" applyFont="1" applyBorder="1" applyAlignment="1">
      <alignment horizontal="center" vertical="center" wrapText="1"/>
    </xf>
    <xf numFmtId="0" fontId="90" fillId="0" borderId="17" xfId="0" applyFont="1" applyBorder="1" applyAlignment="1">
      <alignment horizontal="center" vertical="center" wrapText="1"/>
    </xf>
    <xf numFmtId="0" fontId="76" fillId="0" borderId="0" xfId="0" applyFont="1" applyAlignment="1">
      <alignment horizontal="left" wrapText="1"/>
    </xf>
    <xf numFmtId="0" fontId="76" fillId="0" borderId="0" xfId="0" applyFont="1" applyAlignment="1">
      <alignment horizontal="left"/>
    </xf>
    <xf numFmtId="2" fontId="90" fillId="0" borderId="31" xfId="0" applyNumberFormat="1" applyFont="1" applyBorder="1" applyAlignment="1">
      <alignment horizontal="center" vertical="top" wrapText="1"/>
    </xf>
    <xf numFmtId="2" fontId="90" fillId="0" borderId="32" xfId="0" applyNumberFormat="1" applyFont="1" applyBorder="1" applyAlignment="1">
      <alignment horizontal="center" vertical="top" wrapText="1"/>
    </xf>
    <xf numFmtId="2" fontId="90" fillId="0" borderId="65" xfId="0" applyNumberFormat="1" applyFont="1" applyBorder="1" applyAlignment="1">
      <alignment horizontal="center" vertical="top" wrapText="1"/>
    </xf>
    <xf numFmtId="2" fontId="90" fillId="0" borderId="57" xfId="0" applyNumberFormat="1" applyFont="1" applyBorder="1" applyAlignment="1">
      <alignment horizontal="center" vertical="top" wrapText="1"/>
    </xf>
    <xf numFmtId="2" fontId="90" fillId="0" borderId="37" xfId="0" applyNumberFormat="1" applyFont="1" applyBorder="1" applyAlignment="1">
      <alignment horizontal="center" vertical="top" wrapText="1"/>
    </xf>
    <xf numFmtId="2" fontId="90" fillId="0" borderId="33" xfId="0" applyNumberFormat="1" applyFont="1" applyBorder="1" applyAlignment="1">
      <alignment horizontal="center" vertical="top" wrapText="1"/>
    </xf>
    <xf numFmtId="49" fontId="91" fillId="0" borderId="14" xfId="0" applyNumberFormat="1" applyFont="1" applyBorder="1" applyAlignment="1">
      <alignment horizontal="left" vertical="top" wrapText="1"/>
    </xf>
    <xf numFmtId="49" fontId="91" fillId="0" borderId="31" xfId="0" applyNumberFormat="1" applyFont="1" applyBorder="1" applyAlignment="1">
      <alignment horizontal="left" vertical="top" wrapText="1"/>
    </xf>
    <xf numFmtId="49" fontId="91" fillId="0" borderId="32" xfId="0" applyNumberFormat="1" applyFont="1" applyBorder="1" applyAlignment="1">
      <alignment horizontal="left" vertical="top" wrapText="1"/>
    </xf>
    <xf numFmtId="49" fontId="91" fillId="0" borderId="37" xfId="0" applyNumberFormat="1" applyFont="1" applyBorder="1" applyAlignment="1">
      <alignment horizontal="left" vertical="top" wrapText="1"/>
    </xf>
    <xf numFmtId="49" fontId="91" fillId="0" borderId="33" xfId="0" applyNumberFormat="1" applyFont="1" applyBorder="1" applyAlignment="1">
      <alignment horizontal="left" vertical="top" wrapText="1"/>
    </xf>
    <xf numFmtId="0" fontId="91" fillId="30" borderId="15" xfId="0" applyFont="1" applyFill="1" applyBorder="1" applyAlignment="1">
      <alignment vertical="center"/>
    </xf>
    <xf numFmtId="0" fontId="91" fillId="30" borderId="17" xfId="0" applyFont="1" applyFill="1" applyBorder="1" applyAlignment="1">
      <alignment vertical="center"/>
    </xf>
    <xf numFmtId="49" fontId="90" fillId="30" borderId="14" xfId="0" applyNumberFormat="1" applyFont="1" applyFill="1" applyBorder="1" applyAlignment="1">
      <alignment vertical="center" wrapText="1"/>
    </xf>
    <xf numFmtId="49" fontId="90" fillId="0" borderId="31" xfId="0" applyNumberFormat="1" applyFont="1" applyBorder="1" applyAlignment="1">
      <alignment horizontal="center" vertical="center" wrapText="1"/>
    </xf>
    <xf numFmtId="49" fontId="90" fillId="0" borderId="32" xfId="0" applyNumberFormat="1" applyFont="1" applyBorder="1" applyAlignment="1">
      <alignment horizontal="center" vertical="center" wrapText="1"/>
    </xf>
    <xf numFmtId="49" fontId="90" fillId="0" borderId="65" xfId="0" applyNumberFormat="1" applyFont="1" applyBorder="1" applyAlignment="1">
      <alignment horizontal="center" vertical="center" wrapText="1"/>
    </xf>
    <xf numFmtId="49" fontId="90" fillId="0" borderId="57" xfId="0" applyNumberFormat="1" applyFont="1" applyBorder="1" applyAlignment="1">
      <alignment horizontal="center" vertical="center" wrapText="1"/>
    </xf>
    <xf numFmtId="49" fontId="90" fillId="0" borderId="37" xfId="0" applyNumberFormat="1" applyFont="1" applyBorder="1" applyAlignment="1">
      <alignment horizontal="center" vertical="center" wrapText="1"/>
    </xf>
    <xf numFmtId="49" fontId="90" fillId="0" borderId="33" xfId="0" applyNumberFormat="1" applyFont="1" applyBorder="1" applyAlignment="1">
      <alignment horizontal="center" vertical="center" wrapText="1"/>
    </xf>
    <xf numFmtId="0" fontId="90" fillId="30" borderId="15" xfId="0" applyFont="1" applyFill="1" applyBorder="1" applyAlignment="1">
      <alignment vertical="center" wrapText="1"/>
    </xf>
    <xf numFmtId="0" fontId="90" fillId="30" borderId="17" xfId="0" applyFont="1" applyFill="1" applyBorder="1" applyAlignment="1">
      <alignment vertical="center"/>
    </xf>
    <xf numFmtId="49" fontId="91" fillId="0" borderId="31" xfId="0" applyNumberFormat="1" applyFont="1" applyBorder="1" applyAlignment="1">
      <alignment horizontal="center" vertical="center" wrapText="1"/>
    </xf>
    <xf numFmtId="49" fontId="91" fillId="0" borderId="32" xfId="0" applyNumberFormat="1" applyFont="1" applyBorder="1" applyAlignment="1">
      <alignment horizontal="center" vertical="center" wrapText="1"/>
    </xf>
    <xf numFmtId="49" fontId="91" fillId="0" borderId="65" xfId="0" applyNumberFormat="1" applyFont="1" applyBorder="1" applyAlignment="1">
      <alignment horizontal="center" vertical="center" wrapText="1"/>
    </xf>
    <xf numFmtId="49" fontId="91" fillId="0" borderId="57" xfId="0" applyNumberFormat="1" applyFont="1" applyBorder="1" applyAlignment="1">
      <alignment horizontal="center" vertical="center" wrapText="1"/>
    </xf>
    <xf numFmtId="49" fontId="91" fillId="0" borderId="37" xfId="0" applyNumberFormat="1" applyFont="1" applyBorder="1" applyAlignment="1">
      <alignment horizontal="center" vertical="center" wrapText="1"/>
    </xf>
    <xf numFmtId="49" fontId="91" fillId="0" borderId="33" xfId="0" applyNumberFormat="1" applyFont="1" applyBorder="1" applyAlignment="1">
      <alignment horizontal="center" vertical="center" wrapText="1"/>
    </xf>
    <xf numFmtId="49" fontId="90" fillId="0" borderId="65" xfId="0" applyNumberFormat="1" applyFont="1" applyBorder="1" applyAlignment="1">
      <alignment horizontal="center" vertical="top" wrapText="1"/>
    </xf>
    <xf numFmtId="49" fontId="90" fillId="0" borderId="57" xfId="0" applyNumberFormat="1" applyFont="1" applyBorder="1" applyAlignment="1">
      <alignment horizontal="center" vertical="top" wrapText="1"/>
    </xf>
    <xf numFmtId="0" fontId="90" fillId="30" borderId="15" xfId="0" applyFont="1" applyFill="1" applyBorder="1" applyAlignment="1">
      <alignment horizontal="left" vertical="center" wrapText="1"/>
    </xf>
    <xf numFmtId="0" fontId="90" fillId="30" borderId="17" xfId="0" applyFont="1" applyFill="1" applyBorder="1" applyAlignment="1">
      <alignment horizontal="left" vertical="center"/>
    </xf>
    <xf numFmtId="0" fontId="91" fillId="0" borderId="31" xfId="0" applyFont="1" applyBorder="1" applyAlignment="1">
      <alignment horizontal="center" vertical="center"/>
    </xf>
    <xf numFmtId="0" fontId="91" fillId="0" borderId="32" xfId="0" applyFont="1" applyBorder="1" applyAlignment="1">
      <alignment horizontal="center" vertical="center"/>
    </xf>
    <xf numFmtId="0" fontId="91" fillId="0" borderId="65" xfId="0" applyFont="1" applyBorder="1" applyAlignment="1">
      <alignment horizontal="center" vertical="center"/>
    </xf>
    <xf numFmtId="0" fontId="91" fillId="0" borderId="57" xfId="0" applyFont="1" applyBorder="1" applyAlignment="1">
      <alignment horizontal="center" vertical="center"/>
    </xf>
    <xf numFmtId="0" fontId="91" fillId="0" borderId="37" xfId="0" applyFont="1" applyBorder="1" applyAlignment="1">
      <alignment horizontal="center" vertical="center"/>
    </xf>
    <xf numFmtId="0" fontId="91" fillId="0" borderId="33" xfId="0" applyFont="1" applyBorder="1" applyAlignment="1">
      <alignment horizontal="center" vertical="center"/>
    </xf>
    <xf numFmtId="49" fontId="90" fillId="39" borderId="19" xfId="0" applyNumberFormat="1" applyFont="1" applyFill="1" applyBorder="1" applyAlignment="1">
      <alignment horizontal="left" vertical="top" wrapText="1"/>
    </xf>
    <xf numFmtId="49" fontId="90" fillId="39" borderId="24" xfId="0" applyNumberFormat="1" applyFont="1" applyFill="1" applyBorder="1" applyAlignment="1">
      <alignment horizontal="left" vertical="top" wrapText="1"/>
    </xf>
    <xf numFmtId="0" fontId="91" fillId="0" borderId="9" xfId="0" applyFont="1" applyBorder="1" applyAlignment="1">
      <alignment horizontal="center" vertical="center" textRotation="90" wrapText="1"/>
    </xf>
    <xf numFmtId="49" fontId="90" fillId="0" borderId="21" xfId="0" applyNumberFormat="1" applyFont="1" applyBorder="1" applyAlignment="1">
      <alignment horizontal="left" vertical="top" wrapText="1"/>
    </xf>
    <xf numFmtId="49" fontId="147" fillId="0" borderId="14" xfId="0" applyNumberFormat="1" applyFont="1" applyBorder="1" applyAlignment="1">
      <alignment horizontal="center" vertical="center" wrapText="1"/>
    </xf>
    <xf numFmtId="49" fontId="133" fillId="39" borderId="19" xfId="0" applyNumberFormat="1" applyFont="1" applyFill="1" applyBorder="1" applyAlignment="1">
      <alignment horizontal="center" vertical="center" wrapText="1"/>
    </xf>
    <xf numFmtId="49" fontId="133" fillId="39" borderId="21" xfId="0" applyNumberFormat="1" applyFont="1" applyFill="1" applyBorder="1" applyAlignment="1">
      <alignment horizontal="center" vertical="center" wrapText="1"/>
    </xf>
    <xf numFmtId="49" fontId="90" fillId="39" borderId="19" xfId="0" applyNumberFormat="1" applyFont="1" applyFill="1" applyBorder="1" applyAlignment="1">
      <alignment horizontal="center" vertical="center" wrapText="1"/>
    </xf>
    <xf numFmtId="49" fontId="90" fillId="39" borderId="24" xfId="0" applyNumberFormat="1" applyFont="1" applyFill="1" applyBorder="1" applyAlignment="1">
      <alignment horizontal="center" vertical="center" wrapText="1"/>
    </xf>
    <xf numFmtId="49" fontId="90" fillId="39" borderId="21" xfId="0" applyNumberFormat="1" applyFont="1" applyFill="1" applyBorder="1" applyAlignment="1">
      <alignment horizontal="center" vertical="center" wrapText="1"/>
    </xf>
    <xf numFmtId="49" fontId="133" fillId="0" borderId="19" xfId="0" applyNumberFormat="1" applyFont="1" applyBorder="1" applyAlignment="1">
      <alignment horizontal="center" vertical="center" wrapText="1"/>
    </xf>
    <xf numFmtId="0" fontId="91" fillId="0" borderId="34" xfId="0" applyFont="1" applyBorder="1" applyAlignment="1">
      <alignment horizontal="center" vertical="center" textRotation="90" wrapText="1"/>
    </xf>
    <xf numFmtId="0" fontId="91" fillId="0" borderId="54" xfId="0" applyFont="1" applyBorder="1" applyAlignment="1">
      <alignment horizontal="center" vertical="center" textRotation="90" wrapText="1"/>
    </xf>
    <xf numFmtId="0" fontId="91" fillId="0" borderId="23" xfId="0" applyFont="1" applyBorder="1" applyAlignment="1">
      <alignment horizontal="center" vertical="center" textRotation="90" wrapText="1"/>
    </xf>
    <xf numFmtId="0" fontId="91" fillId="0" borderId="19" xfId="0" applyFont="1" applyBorder="1" applyAlignment="1">
      <alignment horizontal="center" vertical="center" wrapText="1"/>
    </xf>
    <xf numFmtId="0" fontId="91" fillId="0" borderId="21" xfId="0" applyFont="1" applyBorder="1" applyAlignment="1">
      <alignment horizontal="center" vertical="center" wrapText="1"/>
    </xf>
    <xf numFmtId="0" fontId="91" fillId="4" borderId="16" xfId="0" applyFont="1" applyFill="1" applyBorder="1" applyAlignment="1">
      <alignment horizontal="center" vertical="center" textRotation="90" wrapText="1"/>
    </xf>
    <xf numFmtId="0" fontId="91" fillId="4" borderId="29" xfId="0" applyFont="1" applyFill="1" applyBorder="1" applyAlignment="1">
      <alignment horizontal="center" vertical="center" textRotation="90" wrapText="1"/>
    </xf>
    <xf numFmtId="49" fontId="147" fillId="0" borderId="14" xfId="0" applyNumberFormat="1" applyFont="1" applyBorder="1" applyAlignment="1">
      <alignment vertical="top" wrapText="1"/>
    </xf>
    <xf numFmtId="166" fontId="147" fillId="0" borderId="14" xfId="0" applyNumberFormat="1" applyFont="1" applyBorder="1" applyAlignment="1">
      <alignment horizontal="left" vertical="top" wrapText="1"/>
    </xf>
    <xf numFmtId="166" fontId="147" fillId="0" borderId="14" xfId="0" applyNumberFormat="1" applyFont="1" applyBorder="1" applyAlignment="1">
      <alignment horizontal="left" vertical="top"/>
    </xf>
    <xf numFmtId="49" fontId="143" fillId="0" borderId="14" xfId="0" applyNumberFormat="1" applyFont="1" applyBorder="1" applyAlignment="1">
      <alignment vertical="top" wrapText="1"/>
    </xf>
    <xf numFmtId="0" fontId="91" fillId="0" borderId="14" xfId="0" applyFont="1" applyBorder="1" applyAlignment="1">
      <alignment horizontal="left" vertical="top"/>
    </xf>
    <xf numFmtId="49" fontId="135" fillId="0" borderId="6" xfId="0" applyNumberFormat="1" applyFont="1" applyBorder="1" applyAlignment="1">
      <alignment horizontal="center" vertical="top"/>
    </xf>
    <xf numFmtId="0" fontId="135" fillId="0" borderId="6" xfId="0" applyFont="1" applyBorder="1" applyAlignment="1">
      <alignment vertical="top" wrapText="1"/>
    </xf>
    <xf numFmtId="0" fontId="137" fillId="0" borderId="6" xfId="0" applyFont="1" applyBorder="1" applyAlignment="1">
      <alignment horizontal="center" vertical="center" textRotation="90" wrapText="1"/>
    </xf>
    <xf numFmtId="0" fontId="91" fillId="39" borderId="9" xfId="0" applyFont="1" applyFill="1" applyBorder="1" applyAlignment="1">
      <alignment horizontal="center" vertical="center" textRotation="90" wrapText="1"/>
    </xf>
    <xf numFmtId="0" fontId="91" fillId="39" borderId="6" xfId="0" applyFont="1" applyFill="1" applyBorder="1" applyAlignment="1">
      <alignment horizontal="center" vertical="center" textRotation="90" wrapText="1"/>
    </xf>
    <xf numFmtId="166" fontId="132" fillId="39" borderId="19" xfId="0" applyNumberFormat="1" applyFont="1" applyFill="1" applyBorder="1" applyAlignment="1">
      <alignment horizontal="left" vertical="top" wrapText="1"/>
    </xf>
    <xf numFmtId="166" fontId="132" fillId="39" borderId="21" xfId="0" applyNumberFormat="1" applyFont="1" applyFill="1" applyBorder="1" applyAlignment="1">
      <alignment horizontal="left" vertical="top"/>
    </xf>
    <xf numFmtId="49" fontId="90" fillId="39" borderId="6" xfId="0" applyNumberFormat="1" applyFont="1" applyFill="1" applyBorder="1" applyAlignment="1">
      <alignment horizontal="center" vertical="top"/>
    </xf>
    <xf numFmtId="0" fontId="90" fillId="39" borderId="9" xfId="0" applyFont="1" applyFill="1" applyBorder="1" applyAlignment="1">
      <alignment vertical="top" wrapText="1"/>
    </xf>
    <xf numFmtId="0" fontId="90" fillId="39" borderId="6" xfId="0" applyFont="1" applyFill="1" applyBorder="1" applyAlignment="1">
      <alignment vertical="top" wrapText="1"/>
    </xf>
    <xf numFmtId="166" fontId="90" fillId="39" borderId="19" xfId="0" applyNumberFormat="1" applyFont="1" applyFill="1" applyBorder="1" applyAlignment="1">
      <alignment horizontal="center" vertical="top"/>
    </xf>
    <xf numFmtId="166" fontId="90" fillId="39" borderId="21" xfId="0" applyNumberFormat="1" applyFont="1" applyFill="1" applyBorder="1" applyAlignment="1">
      <alignment horizontal="center" vertical="top"/>
    </xf>
    <xf numFmtId="0" fontId="137" fillId="0" borderId="7" xfId="0" applyFont="1" applyBorder="1" applyAlignment="1">
      <alignment horizontal="center" vertical="center" textRotation="90" wrapText="1"/>
    </xf>
    <xf numFmtId="49" fontId="90" fillId="39" borderId="7" xfId="0" applyNumberFormat="1" applyFont="1" applyFill="1" applyBorder="1" applyAlignment="1">
      <alignment horizontal="center" vertical="top"/>
    </xf>
    <xf numFmtId="0" fontId="90" fillId="39" borderId="7" xfId="0" applyFont="1" applyFill="1" applyBorder="1" applyAlignment="1">
      <alignment vertical="top" wrapText="1"/>
    </xf>
    <xf numFmtId="49" fontId="90" fillId="39" borderId="9" xfId="0" applyNumberFormat="1" applyFont="1" applyFill="1" applyBorder="1" applyAlignment="1">
      <alignment horizontal="center" vertical="top"/>
    </xf>
    <xf numFmtId="0" fontId="91" fillId="39" borderId="21" xfId="0" applyFont="1" applyFill="1" applyBorder="1" applyAlignment="1">
      <alignment horizontal="center" vertical="center" textRotation="90" wrapText="1"/>
    </xf>
    <xf numFmtId="0" fontId="91" fillId="39" borderId="14" xfId="0" applyFont="1" applyFill="1" applyBorder="1" applyAlignment="1">
      <alignment horizontal="center" vertical="center" textRotation="90" wrapText="1"/>
    </xf>
    <xf numFmtId="0" fontId="91" fillId="0" borderId="14" xfId="0" applyFont="1" applyBorder="1" applyAlignment="1">
      <alignment horizontal="center" vertical="center" textRotation="90" wrapText="1"/>
    </xf>
    <xf numFmtId="0" fontId="91" fillId="39" borderId="7" xfId="0" applyFont="1" applyFill="1" applyBorder="1" applyAlignment="1">
      <alignment horizontal="center" vertical="center" textRotation="90" wrapText="1"/>
    </xf>
    <xf numFmtId="49" fontId="90" fillId="39" borderId="21" xfId="0" applyNumberFormat="1" applyFont="1" applyFill="1" applyBorder="1" applyAlignment="1">
      <alignment horizontal="left" vertical="top" wrapText="1"/>
    </xf>
    <xf numFmtId="49" fontId="90" fillId="37" borderId="8" xfId="0" applyNumberFormat="1" applyFont="1" applyFill="1" applyBorder="1" applyAlignment="1">
      <alignment horizontal="center" vertical="top"/>
    </xf>
    <xf numFmtId="49" fontId="90" fillId="38" borderId="14" xfId="0" applyNumberFormat="1" applyFont="1" applyFill="1" applyBorder="1" applyAlignment="1">
      <alignment horizontal="left" vertical="top" wrapText="1"/>
    </xf>
    <xf numFmtId="0" fontId="91" fillId="38" borderId="14" xfId="0" applyFont="1" applyFill="1" applyBorder="1" applyAlignment="1">
      <alignment horizontal="center" vertical="center" textRotation="90" wrapText="1"/>
    </xf>
    <xf numFmtId="49" fontId="90" fillId="0" borderId="8" xfId="0" applyNumberFormat="1" applyFont="1" applyBorder="1" applyAlignment="1">
      <alignment horizontal="center" vertical="top"/>
    </xf>
    <xf numFmtId="49" fontId="90" fillId="37" borderId="6" xfId="0" applyNumberFormat="1" applyFont="1" applyFill="1" applyBorder="1" applyAlignment="1">
      <alignment horizontal="center" vertical="top"/>
    </xf>
    <xf numFmtId="0" fontId="90" fillId="37" borderId="6" xfId="0" applyFont="1" applyFill="1" applyBorder="1" applyAlignment="1">
      <alignment vertical="top" wrapText="1"/>
    </xf>
    <xf numFmtId="49" fontId="90" fillId="37" borderId="19" xfId="0" applyNumberFormat="1" applyFont="1" applyFill="1" applyBorder="1" applyAlignment="1">
      <alignment horizontal="left" vertical="top" wrapText="1"/>
    </xf>
    <xf numFmtId="49" fontId="90" fillId="37" borderId="24" xfId="0" applyNumberFormat="1" applyFont="1" applyFill="1" applyBorder="1" applyAlignment="1">
      <alignment horizontal="left" vertical="top" wrapText="1"/>
    </xf>
    <xf numFmtId="49" fontId="90" fillId="37" borderId="21" xfId="0" applyNumberFormat="1" applyFont="1" applyFill="1" applyBorder="1" applyAlignment="1">
      <alignment horizontal="left" vertical="top" wrapText="1"/>
    </xf>
    <xf numFmtId="0" fontId="91" fillId="37" borderId="6" xfId="0" applyFont="1" applyFill="1" applyBorder="1" applyAlignment="1">
      <alignment horizontal="center" vertical="center" textRotation="90" wrapText="1"/>
    </xf>
    <xf numFmtId="49" fontId="90" fillId="0" borderId="9" xfId="0" applyNumberFormat="1" applyFont="1" applyBorder="1" applyAlignment="1">
      <alignment horizontal="left" vertical="top" wrapText="1"/>
    </xf>
    <xf numFmtId="49" fontId="90" fillId="0" borderId="7" xfId="0" applyNumberFormat="1" applyFont="1" applyBorder="1" applyAlignment="1">
      <alignment horizontal="left" vertical="top" wrapText="1"/>
    </xf>
    <xf numFmtId="166" fontId="91" fillId="37" borderId="32" xfId="0" applyNumberFormat="1" applyFont="1" applyFill="1" applyBorder="1" applyAlignment="1">
      <alignment horizontal="left" vertical="top" wrapText="1"/>
    </xf>
    <xf numFmtId="166" fontId="91" fillId="37" borderId="33" xfId="0" applyNumberFormat="1" applyFont="1" applyFill="1" applyBorder="1" applyAlignment="1">
      <alignment horizontal="left" vertical="top"/>
    </xf>
    <xf numFmtId="166" fontId="90" fillId="37" borderId="19" xfId="0" applyNumberFormat="1" applyFont="1" applyFill="1" applyBorder="1" applyAlignment="1">
      <alignment horizontal="center" vertical="top"/>
    </xf>
    <xf numFmtId="166" fontId="90" fillId="37" borderId="21" xfId="0" applyNumberFormat="1" applyFont="1" applyFill="1" applyBorder="1" applyAlignment="1">
      <alignment horizontal="center" vertical="top"/>
    </xf>
    <xf numFmtId="49" fontId="90" fillId="4" borderId="14" xfId="0" applyNumberFormat="1" applyFont="1" applyFill="1" applyBorder="1" applyAlignment="1">
      <alignment horizontal="left" vertical="top" wrapText="1"/>
    </xf>
    <xf numFmtId="0" fontId="91" fillId="0" borderId="19" xfId="0" applyFont="1" applyBorder="1" applyAlignment="1">
      <alignment horizontal="center"/>
    </xf>
    <xf numFmtId="0" fontId="91" fillId="0" borderId="21" xfId="0" applyFont="1" applyBorder="1" applyAlignment="1">
      <alignment horizontal="center"/>
    </xf>
    <xf numFmtId="0" fontId="91" fillId="39" borderId="19" xfId="0" applyFont="1" applyFill="1" applyBorder="1" applyAlignment="1">
      <alignment horizontal="center"/>
    </xf>
    <xf numFmtId="0" fontId="91" fillId="39" borderId="24" xfId="0" applyFont="1" applyFill="1" applyBorder="1" applyAlignment="1">
      <alignment horizontal="center"/>
    </xf>
    <xf numFmtId="0" fontId="91" fillId="39" borderId="21" xfId="0" applyFont="1" applyFill="1" applyBorder="1" applyAlignment="1">
      <alignment horizontal="center"/>
    </xf>
    <xf numFmtId="49" fontId="90" fillId="4" borderId="19" xfId="0" applyNumberFormat="1" applyFont="1" applyFill="1" applyBorder="1" applyAlignment="1">
      <alignment horizontal="left" vertical="top" wrapText="1"/>
    </xf>
    <xf numFmtId="49" fontId="90" fillId="4" borderId="21" xfId="0" applyNumberFormat="1" applyFont="1" applyFill="1" applyBorder="1" applyAlignment="1">
      <alignment horizontal="left" vertical="top" wrapText="1"/>
    </xf>
    <xf numFmtId="0" fontId="91" fillId="0" borderId="19" xfId="0" applyFont="1" applyBorder="1" applyAlignment="1">
      <alignment horizontal="center" vertical="center" textRotation="90" wrapText="1"/>
    </xf>
    <xf numFmtId="0" fontId="91" fillId="0" borderId="21" xfId="0" applyFont="1" applyBorder="1" applyAlignment="1">
      <alignment horizontal="center" vertical="center" textRotation="90" wrapText="1"/>
    </xf>
    <xf numFmtId="166" fontId="91" fillId="37" borderId="14" xfId="0" applyNumberFormat="1" applyFont="1" applyFill="1" applyBorder="1" applyAlignment="1">
      <alignment horizontal="left" vertical="top" wrapText="1"/>
    </xf>
    <xf numFmtId="166" fontId="91" fillId="37" borderId="14" xfId="0" applyNumberFormat="1" applyFont="1" applyFill="1" applyBorder="1" applyAlignment="1">
      <alignment horizontal="left" vertical="top"/>
    </xf>
    <xf numFmtId="1" fontId="90" fillId="0" borderId="19" xfId="0" applyNumberFormat="1" applyFont="1" applyBorder="1" applyAlignment="1">
      <alignment horizontal="center" vertical="top"/>
    </xf>
    <xf numFmtId="1" fontId="90" fillId="0" borderId="21" xfId="0" applyNumberFormat="1" applyFont="1" applyBorder="1" applyAlignment="1">
      <alignment horizontal="center" vertical="top"/>
    </xf>
    <xf numFmtId="1" fontId="90" fillId="37" borderId="19" xfId="0" applyNumberFormat="1" applyFont="1" applyFill="1" applyBorder="1" applyAlignment="1">
      <alignment horizontal="center" vertical="top"/>
    </xf>
    <xf numFmtId="1" fontId="90" fillId="37" borderId="21" xfId="0" applyNumberFormat="1" applyFont="1" applyFill="1" applyBorder="1" applyAlignment="1">
      <alignment horizontal="center" vertical="top"/>
    </xf>
    <xf numFmtId="166" fontId="91" fillId="39" borderId="19" xfId="0" applyNumberFormat="1" applyFont="1" applyFill="1" applyBorder="1" applyAlignment="1">
      <alignment horizontal="left" vertical="top" wrapText="1"/>
    </xf>
    <xf numFmtId="166" fontId="91" fillId="39" borderId="24" xfId="0" applyNumberFormat="1" applyFont="1" applyFill="1" applyBorder="1" applyAlignment="1">
      <alignment horizontal="left" vertical="top"/>
    </xf>
    <xf numFmtId="166" fontId="91" fillId="39" borderId="21" xfId="0" applyNumberFormat="1" applyFont="1" applyFill="1" applyBorder="1" applyAlignment="1">
      <alignment horizontal="left" vertical="top"/>
    </xf>
    <xf numFmtId="166" fontId="91" fillId="0" borderId="32" xfId="0" applyNumberFormat="1" applyFont="1" applyBorder="1" applyAlignment="1">
      <alignment horizontal="left" vertical="top" wrapText="1"/>
    </xf>
    <xf numFmtId="166" fontId="91" fillId="0" borderId="33" xfId="0" applyNumberFormat="1" applyFont="1" applyBorder="1" applyAlignment="1">
      <alignment horizontal="left" vertical="top"/>
    </xf>
    <xf numFmtId="49" fontId="90" fillId="0" borderId="19" xfId="0" applyNumberFormat="1" applyFont="1" applyBorder="1" applyAlignment="1">
      <alignment horizontal="center" vertical="top"/>
    </xf>
    <xf numFmtId="49" fontId="90" fillId="0" borderId="21" xfId="0" applyNumberFormat="1" applyFont="1" applyBorder="1" applyAlignment="1">
      <alignment horizontal="center" vertical="top"/>
    </xf>
    <xf numFmtId="0" fontId="96" fillId="0" borderId="19" xfId="0" applyFont="1" applyBorder="1" applyAlignment="1">
      <alignment horizontal="center" vertical="top" wrapText="1"/>
    </xf>
    <xf numFmtId="0" fontId="96" fillId="0" borderId="24" xfId="0" applyFont="1" applyBorder="1" applyAlignment="1">
      <alignment horizontal="center" vertical="top" wrapText="1"/>
    </xf>
    <xf numFmtId="0" fontId="96" fillId="0" borderId="21" xfId="0" applyFont="1" applyBorder="1" applyAlignment="1">
      <alignment horizontal="center" vertical="top" wrapText="1"/>
    </xf>
    <xf numFmtId="0" fontId="95" fillId="0" borderId="19" xfId="0" applyFont="1" applyBorder="1" applyAlignment="1">
      <alignment horizontal="center" vertical="center" wrapText="1"/>
    </xf>
    <xf numFmtId="0" fontId="95" fillId="0" borderId="24" xfId="0" applyFont="1" applyBorder="1" applyAlignment="1">
      <alignment horizontal="center" vertical="center" wrapText="1"/>
    </xf>
    <xf numFmtId="0" fontId="95" fillId="0" borderId="21" xfId="0" applyFont="1" applyBorder="1" applyAlignment="1">
      <alignment horizontal="center" vertical="center" wrapText="1"/>
    </xf>
    <xf numFmtId="0" fontId="95" fillId="0" borderId="37" xfId="0" applyFont="1" applyBorder="1" applyAlignment="1">
      <alignment horizontal="center" vertical="center" wrapText="1"/>
    </xf>
    <xf numFmtId="0" fontId="95" fillId="0" borderId="31" xfId="0" applyFont="1" applyBorder="1" applyAlignment="1">
      <alignment horizontal="center" vertical="center" wrapText="1"/>
    </xf>
    <xf numFmtId="0" fontId="95" fillId="0" borderId="65" xfId="0" applyFont="1" applyBorder="1" applyAlignment="1">
      <alignment horizontal="center" vertical="center" wrapText="1"/>
    </xf>
    <xf numFmtId="0" fontId="95" fillId="0" borderId="19" xfId="0" applyFont="1" applyBorder="1" applyAlignment="1">
      <alignment horizontal="justify" vertical="center" wrapText="1"/>
    </xf>
    <xf numFmtId="0" fontId="95" fillId="0" borderId="21" xfId="0" applyFont="1" applyBorder="1" applyAlignment="1">
      <alignment horizontal="justify" vertical="center" wrapText="1"/>
    </xf>
    <xf numFmtId="0" fontId="96" fillId="21" borderId="14" xfId="0" applyFont="1" applyFill="1" applyBorder="1" applyAlignment="1">
      <alignment horizontal="center" vertical="center" wrapText="1"/>
    </xf>
    <xf numFmtId="0" fontId="96" fillId="25" borderId="14" xfId="0" applyFont="1" applyFill="1" applyBorder="1" applyAlignment="1">
      <alignment horizontal="center" vertical="center" wrapText="1"/>
    </xf>
    <xf numFmtId="0" fontId="96" fillId="25" borderId="21" xfId="0" applyFont="1" applyFill="1" applyBorder="1" applyAlignment="1">
      <alignment horizontal="center" vertical="center" wrapText="1"/>
    </xf>
    <xf numFmtId="0" fontId="99" fillId="25" borderId="14" xfId="0" applyFont="1" applyFill="1" applyBorder="1" applyAlignment="1">
      <alignment horizontal="center" vertical="center"/>
    </xf>
    <xf numFmtId="0" fontId="99" fillId="25" borderId="21" xfId="0" applyFont="1" applyFill="1" applyBorder="1" applyAlignment="1">
      <alignment horizontal="center" vertical="center"/>
    </xf>
    <xf numFmtId="0" fontId="100" fillId="0" borderId="14" xfId="0" applyFont="1" applyBorder="1" applyAlignment="1">
      <alignment horizontal="justify" vertical="center" wrapText="1"/>
    </xf>
    <xf numFmtId="0" fontId="95" fillId="0" borderId="14" xfId="0" applyFont="1" applyBorder="1" applyAlignment="1">
      <alignment horizontal="center" vertical="center" wrapText="1"/>
    </xf>
    <xf numFmtId="0" fontId="95" fillId="0" borderId="14" xfId="0" applyFont="1" applyBorder="1" applyAlignment="1">
      <alignment horizontal="justify" vertical="center" wrapText="1"/>
    </xf>
    <xf numFmtId="0" fontId="96" fillId="0" borderId="14" xfId="0" applyFont="1" applyBorder="1" applyAlignment="1">
      <alignment horizontal="center" vertical="top" wrapText="1"/>
    </xf>
    <xf numFmtId="0" fontId="96" fillId="0" borderId="14" xfId="0" applyFont="1" applyBorder="1" applyAlignment="1">
      <alignment horizontal="center" vertical="center" wrapText="1"/>
    </xf>
    <xf numFmtId="0" fontId="96" fillId="25" borderId="14" xfId="0" applyFont="1" applyFill="1" applyBorder="1" applyAlignment="1">
      <alignment horizontal="center" vertical="center"/>
    </xf>
    <xf numFmtId="0" fontId="102" fillId="0" borderId="15" xfId="0" applyFont="1" applyBorder="1" applyAlignment="1">
      <alignment horizontal="center" vertical="center" wrapText="1"/>
    </xf>
    <xf numFmtId="0" fontId="102" fillId="0" borderId="35" xfId="0" applyFont="1" applyBorder="1" applyAlignment="1">
      <alignment horizontal="center" vertical="center" wrapText="1"/>
    </xf>
    <xf numFmtId="0" fontId="102" fillId="0" borderId="17" xfId="0" applyFont="1" applyBorder="1" applyAlignment="1">
      <alignment horizontal="center" vertical="center" wrapText="1"/>
    </xf>
    <xf numFmtId="0" fontId="97" fillId="0" borderId="14" xfId="0" applyFont="1" applyBorder="1" applyAlignment="1">
      <alignment horizontal="center" vertical="center" wrapText="1"/>
    </xf>
    <xf numFmtId="0" fontId="97" fillId="0" borderId="65" xfId="0" applyFont="1" applyBorder="1" applyAlignment="1">
      <alignment horizontal="center" vertical="center" wrapText="1"/>
    </xf>
    <xf numFmtId="0" fontId="95" fillId="0" borderId="38" xfId="0" applyFont="1" applyBorder="1" applyAlignment="1">
      <alignment horizontal="left"/>
    </xf>
    <xf numFmtId="0" fontId="97" fillId="0" borderId="14" xfId="0" applyFont="1" applyBorder="1" applyAlignment="1">
      <alignment horizontal="justify" vertical="center" wrapText="1"/>
    </xf>
    <xf numFmtId="2" fontId="76" fillId="0" borderId="19" xfId="0" applyNumberFormat="1" applyFont="1" applyBorder="1" applyAlignment="1">
      <alignment horizontal="center" vertical="center" wrapText="1"/>
    </xf>
    <xf numFmtId="2" fontId="76" fillId="0" borderId="21" xfId="0" applyNumberFormat="1" applyFont="1" applyBorder="1" applyAlignment="1">
      <alignment horizontal="center" vertical="center" wrapText="1"/>
    </xf>
    <xf numFmtId="2" fontId="76" fillId="0" borderId="24" xfId="0" applyNumberFormat="1" applyFont="1" applyBorder="1" applyAlignment="1">
      <alignment horizontal="center" vertical="center" wrapText="1"/>
    </xf>
    <xf numFmtId="0" fontId="76" fillId="0" borderId="14" xfId="0" applyFont="1" applyBorder="1" applyAlignment="1">
      <alignment vertical="center" wrapText="1"/>
    </xf>
    <xf numFmtId="2" fontId="76" fillId="0" borderId="14" xfId="0" applyNumberFormat="1" applyFont="1" applyBorder="1" applyAlignment="1">
      <alignment horizontal="left" vertical="center" wrapText="1"/>
    </xf>
    <xf numFmtId="0" fontId="72" fillId="24" borderId="14" xfId="0" applyFont="1" applyFill="1" applyBorder="1" applyAlignment="1">
      <alignment horizontal="center" vertical="center"/>
    </xf>
    <xf numFmtId="0" fontId="76" fillId="0" borderId="14" xfId="0" applyFont="1" applyBorder="1" applyAlignment="1">
      <alignment vertical="center"/>
    </xf>
    <xf numFmtId="0" fontId="76" fillId="0" borderId="15" xfId="0" applyFont="1" applyBorder="1" applyAlignment="1">
      <alignment vertical="center" wrapText="1"/>
    </xf>
    <xf numFmtId="0" fontId="76" fillId="0" borderId="35" xfId="0" applyFont="1" applyBorder="1" applyAlignment="1">
      <alignment vertical="center"/>
    </xf>
    <xf numFmtId="0" fontId="76" fillId="0" borderId="17" xfId="0" applyFont="1" applyBorder="1" applyAlignment="1">
      <alignment vertical="center"/>
    </xf>
    <xf numFmtId="0" fontId="76" fillId="0" borderId="15" xfId="0" applyFont="1" applyBorder="1" applyAlignment="1">
      <alignment horizontal="center" vertical="center"/>
    </xf>
    <xf numFmtId="0" fontId="76" fillId="0" borderId="35" xfId="0" applyFont="1" applyBorder="1" applyAlignment="1">
      <alignment horizontal="center" vertical="center"/>
    </xf>
    <xf numFmtId="0" fontId="76" fillId="0" borderId="17" xfId="0" applyFont="1" applyBorder="1" applyAlignment="1">
      <alignment horizontal="center" vertical="center"/>
    </xf>
    <xf numFmtId="0" fontId="21" fillId="12" borderId="76" xfId="0" applyFont="1" applyFill="1" applyBorder="1" applyAlignment="1">
      <alignment vertical="center" wrapText="1"/>
    </xf>
    <xf numFmtId="0" fontId="21" fillId="12" borderId="77" xfId="0" applyFont="1" applyFill="1" applyBorder="1" applyAlignment="1">
      <alignment vertical="center" wrapText="1"/>
    </xf>
    <xf numFmtId="0" fontId="14" fillId="0" borderId="76" xfId="0" applyFont="1" applyBorder="1" applyAlignment="1">
      <alignment vertical="center" wrapText="1"/>
    </xf>
    <xf numFmtId="0" fontId="14" fillId="0" borderId="78" xfId="0" applyFont="1" applyBorder="1" applyAlignment="1">
      <alignment vertical="center" wrapText="1"/>
    </xf>
    <xf numFmtId="0" fontId="29" fillId="11" borderId="76" xfId="0" applyFont="1" applyFill="1" applyBorder="1" applyAlignment="1">
      <alignment vertical="center" wrapText="1"/>
    </xf>
    <xf numFmtId="0" fontId="29" fillId="11" borderId="77" xfId="0" applyFont="1" applyFill="1" applyBorder="1" applyAlignment="1">
      <alignment vertical="center" wrapText="1"/>
    </xf>
    <xf numFmtId="0" fontId="14" fillId="11" borderId="77" xfId="0" applyFont="1" applyFill="1" applyBorder="1" applyAlignment="1">
      <alignment vertical="top" wrapText="1"/>
    </xf>
    <xf numFmtId="0" fontId="14" fillId="0" borderId="0" xfId="0" applyFont="1"/>
    <xf numFmtId="0" fontId="13" fillId="0" borderId="68" xfId="0" applyFont="1" applyBorder="1" applyAlignment="1">
      <alignment vertical="center"/>
    </xf>
    <xf numFmtId="0" fontId="13" fillId="0" borderId="73"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74" xfId="0" applyFont="1" applyBorder="1" applyAlignment="1">
      <alignment horizontal="center" vertical="center" wrapText="1"/>
    </xf>
    <xf numFmtId="0" fontId="13" fillId="0" borderId="75"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71" xfId="0" applyFont="1" applyBorder="1" applyAlignment="1">
      <alignment horizontal="center" vertical="center" wrapText="1"/>
    </xf>
    <xf numFmtId="0" fontId="13" fillId="14" borderId="76" xfId="0" applyFont="1" applyFill="1" applyBorder="1" applyAlignment="1">
      <alignment vertical="center"/>
    </xf>
    <xf numFmtId="0" fontId="13" fillId="14" borderId="77" xfId="0" applyFont="1" applyFill="1" applyBorder="1" applyAlignment="1">
      <alignment vertical="center"/>
    </xf>
    <xf numFmtId="0" fontId="14" fillId="14" borderId="77" xfId="0" applyFont="1" applyFill="1" applyBorder="1" applyAlignment="1">
      <alignment vertical="top"/>
    </xf>
    <xf numFmtId="0" fontId="67" fillId="14" borderId="76" xfId="0" applyFont="1" applyFill="1" applyBorder="1" applyAlignment="1">
      <alignment vertical="center"/>
    </xf>
    <xf numFmtId="0" fontId="67" fillId="14" borderId="77" xfId="0" applyFont="1" applyFill="1" applyBorder="1" applyAlignment="1">
      <alignment vertical="center"/>
    </xf>
    <xf numFmtId="0" fontId="21" fillId="13" borderId="76" xfId="0" applyFont="1" applyFill="1" applyBorder="1" applyAlignment="1">
      <alignment vertical="center" wrapText="1"/>
    </xf>
    <xf numFmtId="0" fontId="21" fillId="13" borderId="77" xfId="0" applyFont="1" applyFill="1" applyBorder="1" applyAlignment="1">
      <alignment vertical="center" wrapText="1"/>
    </xf>
    <xf numFmtId="0" fontId="14" fillId="13" borderId="77" xfId="0" applyFont="1" applyFill="1" applyBorder="1" applyAlignment="1">
      <alignment wrapText="1"/>
    </xf>
    <xf numFmtId="0" fontId="14" fillId="12" borderId="77" xfId="0" applyFont="1" applyFill="1" applyBorder="1" applyAlignment="1">
      <alignment vertical="top" wrapText="1"/>
    </xf>
    <xf numFmtId="0" fontId="67" fillId="14" borderId="76" xfId="0" applyFont="1" applyFill="1" applyBorder="1" applyAlignment="1">
      <alignment vertical="center" wrapText="1"/>
    </xf>
    <xf numFmtId="0" fontId="67" fillId="14" borderId="77" xfId="0" applyFont="1" applyFill="1" applyBorder="1" applyAlignment="1">
      <alignment vertical="center" wrapText="1"/>
    </xf>
    <xf numFmtId="0" fontId="14" fillId="14" borderId="77" xfId="0" applyFont="1" applyFill="1" applyBorder="1" applyAlignment="1">
      <alignment vertical="top" wrapText="1"/>
    </xf>
    <xf numFmtId="0" fontId="14" fillId="0" borderId="73" xfId="0" applyFont="1" applyBorder="1" applyAlignment="1">
      <alignment vertical="center" wrapText="1"/>
    </xf>
    <xf numFmtId="0" fontId="14" fillId="0" borderId="70" xfId="0" applyFont="1" applyBorder="1" applyAlignment="1">
      <alignment vertical="center" wrapText="1"/>
    </xf>
    <xf numFmtId="0" fontId="14" fillId="0" borderId="69" xfId="0" applyFont="1" applyBorder="1" applyAlignment="1">
      <alignment vertical="center" wrapText="1"/>
    </xf>
    <xf numFmtId="0" fontId="16" fillId="0" borderId="73" xfId="0" applyFont="1" applyBorder="1" applyAlignment="1">
      <alignment vertical="center" wrapText="1"/>
    </xf>
    <xf numFmtId="0" fontId="16" fillId="0" borderId="70" xfId="0" applyFont="1" applyBorder="1" applyAlignment="1">
      <alignment vertical="center" wrapText="1"/>
    </xf>
    <xf numFmtId="0" fontId="16" fillId="0" borderId="69" xfId="0" applyFont="1" applyBorder="1" applyAlignment="1">
      <alignment vertical="center" wrapText="1"/>
    </xf>
    <xf numFmtId="0" fontId="14" fillId="0" borderId="74" xfId="0" applyFont="1" applyBorder="1" applyAlignment="1">
      <alignment vertical="center" wrapText="1"/>
    </xf>
    <xf numFmtId="0" fontId="14" fillId="0" borderId="75" xfId="0" applyFont="1" applyBorder="1" applyAlignment="1">
      <alignment vertical="center" wrapText="1"/>
    </xf>
    <xf numFmtId="0" fontId="14" fillId="0" borderId="55" xfId="0" applyFont="1" applyBorder="1" applyAlignment="1">
      <alignment vertical="center" wrapText="1"/>
    </xf>
    <xf numFmtId="0" fontId="14" fillId="0" borderId="71" xfId="0" applyFont="1" applyBorder="1" applyAlignment="1">
      <alignment vertical="center" wrapText="1"/>
    </xf>
    <xf numFmtId="0" fontId="16" fillId="0" borderId="76" xfId="0" applyFont="1" applyBorder="1" applyAlignment="1">
      <alignment vertical="center" wrapText="1"/>
    </xf>
    <xf numFmtId="0" fontId="16" fillId="0" borderId="78" xfId="0" applyFont="1" applyBorder="1" applyAlignment="1">
      <alignment vertical="center" wrapText="1"/>
    </xf>
    <xf numFmtId="0" fontId="15" fillId="0" borderId="76" xfId="0" applyFont="1" applyBorder="1" applyAlignment="1">
      <alignment vertical="center" wrapText="1"/>
    </xf>
    <xf numFmtId="0" fontId="15" fillId="0" borderId="78" xfId="0" applyFont="1" applyBorder="1" applyAlignment="1">
      <alignment vertical="center" wrapText="1"/>
    </xf>
    <xf numFmtId="0" fontId="68" fillId="0" borderId="73" xfId="0" applyFont="1" applyBorder="1" applyAlignment="1">
      <alignment vertical="center" wrapText="1"/>
    </xf>
    <xf numFmtId="0" fontId="68" fillId="0" borderId="69" xfId="0" applyFont="1" applyBorder="1" applyAlignment="1">
      <alignment vertical="center" wrapText="1"/>
    </xf>
    <xf numFmtId="0" fontId="14" fillId="0" borderId="76" xfId="0" applyFont="1" applyBorder="1" applyAlignment="1">
      <alignment wrapText="1"/>
    </xf>
    <xf numFmtId="0" fontId="14" fillId="0" borderId="78" xfId="0" applyFont="1" applyBorder="1" applyAlignment="1">
      <alignment wrapText="1"/>
    </xf>
    <xf numFmtId="0" fontId="68" fillId="0" borderId="76" xfId="0" applyFont="1" applyBorder="1" applyAlignment="1">
      <alignment vertical="center" wrapText="1"/>
    </xf>
    <xf numFmtId="0" fontId="68" fillId="0" borderId="78" xfId="0" applyFont="1" applyBorder="1" applyAlignment="1">
      <alignment vertical="center" wrapText="1"/>
    </xf>
    <xf numFmtId="0" fontId="68" fillId="14" borderId="73" xfId="0" applyFont="1" applyFill="1" applyBorder="1" applyAlignment="1">
      <alignment vertical="center" wrapText="1"/>
    </xf>
    <xf numFmtId="0" fontId="68" fillId="14" borderId="69" xfId="0" applyFont="1" applyFill="1" applyBorder="1" applyAlignment="1">
      <alignment vertical="center" wrapText="1"/>
    </xf>
    <xf numFmtId="0" fontId="68" fillId="0" borderId="70" xfId="0" applyFont="1" applyBorder="1" applyAlignment="1">
      <alignment vertical="center" wrapText="1"/>
    </xf>
    <xf numFmtId="3" fontId="14" fillId="0" borderId="76" xfId="0" applyNumberFormat="1" applyFont="1" applyBorder="1" applyAlignment="1">
      <alignment vertical="center" wrapText="1"/>
    </xf>
    <xf numFmtId="3" fontId="14" fillId="0" borderId="78" xfId="0" applyNumberFormat="1" applyFont="1" applyBorder="1" applyAlignment="1">
      <alignment vertical="center" wrapText="1"/>
    </xf>
    <xf numFmtId="0" fontId="70" fillId="13" borderId="76" xfId="0" applyFont="1" applyFill="1" applyBorder="1" applyAlignment="1">
      <alignment vertical="center" wrapText="1"/>
    </xf>
    <xf numFmtId="0" fontId="70" fillId="13" borderId="77" xfId="0" applyFont="1" applyFill="1" applyBorder="1" applyAlignment="1">
      <alignment vertical="center" wrapText="1"/>
    </xf>
    <xf numFmtId="0" fontId="14" fillId="14" borderId="73" xfId="0" applyFont="1" applyFill="1" applyBorder="1" applyAlignment="1">
      <alignment vertical="center" wrapText="1"/>
    </xf>
    <xf numFmtId="0" fontId="14" fillId="14" borderId="69" xfId="0" applyFont="1" applyFill="1" applyBorder="1" applyAlignment="1">
      <alignment vertical="center" wrapText="1"/>
    </xf>
    <xf numFmtId="0" fontId="14" fillId="0" borderId="74" xfId="0" applyFont="1" applyBorder="1" applyAlignment="1">
      <alignment horizontal="justify" vertical="center" wrapText="1"/>
    </xf>
    <xf numFmtId="0" fontId="14" fillId="0" borderId="55" xfId="0" applyFont="1" applyBorder="1" applyAlignment="1">
      <alignment horizontal="justify" vertical="center" wrapText="1"/>
    </xf>
    <xf numFmtId="0" fontId="14" fillId="0" borderId="73" xfId="0" applyFont="1" applyBorder="1" applyAlignment="1">
      <alignment horizontal="justify" vertical="center" wrapText="1"/>
    </xf>
    <xf numFmtId="0" fontId="14" fillId="0" borderId="69" xfId="0" applyFont="1" applyBorder="1" applyAlignment="1">
      <alignment horizontal="justify" vertical="center" wrapText="1"/>
    </xf>
    <xf numFmtId="0" fontId="16" fillId="0" borderId="73" xfId="0" applyFont="1" applyBorder="1" applyAlignment="1">
      <alignment horizontal="justify" vertical="center" wrapText="1"/>
    </xf>
    <xf numFmtId="0" fontId="16" fillId="0" borderId="69" xfId="0" applyFont="1" applyBorder="1" applyAlignment="1">
      <alignment horizontal="justify" vertical="center" wrapText="1"/>
    </xf>
    <xf numFmtId="0" fontId="14" fillId="0" borderId="75" xfId="0" applyFont="1" applyBorder="1" applyAlignment="1">
      <alignment horizontal="justify" vertical="center" wrapText="1"/>
    </xf>
    <xf numFmtId="0" fontId="14" fillId="0" borderId="71" xfId="0" applyFont="1" applyBorder="1" applyAlignment="1">
      <alignment horizontal="justify" vertical="center" wrapText="1"/>
    </xf>
    <xf numFmtId="0" fontId="67" fillId="14" borderId="76" xfId="0" applyFont="1" applyFill="1" applyBorder="1" applyAlignment="1">
      <alignment horizontal="justify" vertical="center" wrapText="1"/>
    </xf>
    <xf numFmtId="0" fontId="67" fillId="14" borderId="77" xfId="0" applyFont="1" applyFill="1" applyBorder="1" applyAlignment="1">
      <alignment horizontal="justify" vertical="center" wrapText="1"/>
    </xf>
    <xf numFmtId="0" fontId="71" fillId="11" borderId="76" xfId="0" applyFont="1" applyFill="1" applyBorder="1" applyAlignment="1">
      <alignment vertical="center" wrapText="1"/>
    </xf>
    <xf numFmtId="0" fontId="71" fillId="11" borderId="77" xfId="0" applyFont="1" applyFill="1" applyBorder="1" applyAlignment="1">
      <alignment vertical="center" wrapText="1"/>
    </xf>
    <xf numFmtId="0" fontId="14" fillId="15" borderId="76" xfId="0" applyFont="1" applyFill="1" applyBorder="1" applyAlignment="1">
      <alignment vertical="center" wrapText="1"/>
    </xf>
    <xf numFmtId="0" fontId="14" fillId="15" borderId="78" xfId="0" applyFont="1" applyFill="1" applyBorder="1" applyAlignment="1">
      <alignment vertical="center" wrapText="1"/>
    </xf>
    <xf numFmtId="0" fontId="67" fillId="14" borderId="76" xfId="0" applyFont="1" applyFill="1" applyBorder="1" applyAlignment="1">
      <alignment horizontal="left" vertical="center" wrapText="1"/>
    </xf>
    <xf numFmtId="0" fontId="67" fillId="14" borderId="77" xfId="0" applyFont="1" applyFill="1" applyBorder="1" applyAlignment="1">
      <alignment horizontal="left" vertical="center" wrapText="1"/>
    </xf>
    <xf numFmtId="0" fontId="20" fillId="0" borderId="76" xfId="0" applyFont="1" applyBorder="1" applyAlignment="1">
      <alignment vertical="center" wrapText="1"/>
    </xf>
    <xf numFmtId="0" fontId="20" fillId="0" borderId="78" xfId="0" applyFont="1" applyBorder="1" applyAlignment="1">
      <alignment vertical="center" wrapText="1"/>
    </xf>
    <xf numFmtId="0" fontId="14" fillId="0" borderId="14" xfId="0" applyFont="1" applyBorder="1" applyAlignment="1">
      <alignment vertical="center" wrapText="1"/>
    </xf>
    <xf numFmtId="0" fontId="14" fillId="0" borderId="14" xfId="0" applyFont="1" applyBorder="1" applyAlignment="1">
      <alignment horizontal="justify" vertical="center" wrapText="1"/>
    </xf>
    <xf numFmtId="49" fontId="13" fillId="2" borderId="0" xfId="0" applyNumberFormat="1" applyFont="1" applyFill="1" applyAlignment="1">
      <alignment horizontal="center" vertical="top"/>
    </xf>
    <xf numFmtId="49" fontId="13" fillId="2" borderId="57" xfId="0" applyNumberFormat="1" applyFont="1" applyFill="1" applyBorder="1" applyAlignment="1">
      <alignment horizontal="center" vertical="top"/>
    </xf>
    <xf numFmtId="49" fontId="21" fillId="8" borderId="6" xfId="0" applyNumberFormat="1" applyFont="1" applyFill="1" applyBorder="1" applyAlignment="1">
      <alignment horizontal="left" vertical="top" wrapText="1"/>
    </xf>
    <xf numFmtId="49" fontId="21" fillId="8" borderId="8" xfId="0" applyNumberFormat="1" applyFont="1" applyFill="1" applyBorder="1" applyAlignment="1">
      <alignment horizontal="left" vertical="top" wrapText="1"/>
    </xf>
    <xf numFmtId="0" fontId="29" fillId="6" borderId="6" xfId="0" applyFont="1" applyFill="1" applyBorder="1" applyAlignment="1">
      <alignment horizontal="center" vertical="top" wrapText="1"/>
    </xf>
    <xf numFmtId="0" fontId="29" fillId="6" borderId="8" xfId="0" applyFont="1" applyFill="1" applyBorder="1" applyAlignment="1">
      <alignment horizontal="center" vertical="top" wrapText="1"/>
    </xf>
    <xf numFmtId="0" fontId="21" fillId="5" borderId="6" xfId="0" applyFont="1" applyFill="1" applyBorder="1" applyAlignment="1">
      <alignment wrapText="1"/>
    </xf>
    <xf numFmtId="0" fontId="21" fillId="5" borderId="8" xfId="0" applyFont="1" applyFill="1" applyBorder="1" applyAlignment="1">
      <alignment wrapText="1"/>
    </xf>
    <xf numFmtId="49" fontId="18" fillId="2" borderId="6" xfId="0" applyNumberFormat="1" applyFont="1" applyFill="1" applyBorder="1" applyAlignment="1">
      <alignment vertical="top" wrapText="1"/>
    </xf>
    <xf numFmtId="49" fontId="18" fillId="2" borderId="8" xfId="0" applyNumberFormat="1" applyFont="1" applyFill="1" applyBorder="1" applyAlignment="1">
      <alignment vertical="top" wrapText="1"/>
    </xf>
    <xf numFmtId="49" fontId="13" fillId="2" borderId="6" xfId="0" applyNumberFormat="1" applyFont="1" applyFill="1" applyBorder="1" applyAlignment="1">
      <alignment vertical="top"/>
    </xf>
    <xf numFmtId="49" fontId="13" fillId="2" borderId="8" xfId="0" applyNumberFormat="1" applyFont="1" applyFill="1" applyBorder="1" applyAlignment="1">
      <alignment vertical="top"/>
    </xf>
    <xf numFmtId="49" fontId="18" fillId="2" borderId="7" xfId="0" applyNumberFormat="1" applyFont="1" applyFill="1" applyBorder="1" applyAlignment="1">
      <alignment vertical="top" wrapText="1"/>
    </xf>
    <xf numFmtId="49" fontId="50" fillId="2" borderId="6" xfId="0" applyNumberFormat="1" applyFont="1" applyFill="1" applyBorder="1" applyAlignment="1">
      <alignment vertical="top" wrapText="1"/>
    </xf>
    <xf numFmtId="49" fontId="50" fillId="2" borderId="8" xfId="0" applyNumberFormat="1" applyFont="1" applyFill="1" applyBorder="1" applyAlignment="1">
      <alignment vertical="top" wrapText="1"/>
    </xf>
    <xf numFmtId="49" fontId="18" fillId="2" borderId="16" xfId="0" applyNumberFormat="1" applyFont="1" applyFill="1" applyBorder="1" applyAlignment="1">
      <alignment horizontal="left" vertical="top" wrapText="1"/>
    </xf>
    <xf numFmtId="49" fontId="18" fillId="2" borderId="22" xfId="0" applyNumberFormat="1" applyFont="1" applyFill="1" applyBorder="1" applyAlignment="1">
      <alignment horizontal="left" vertical="top" wrapText="1"/>
    </xf>
    <xf numFmtId="49" fontId="18" fillId="2" borderId="57" xfId="0" applyNumberFormat="1" applyFont="1" applyFill="1" applyBorder="1" applyAlignment="1">
      <alignment horizontal="left" vertical="top" wrapText="1"/>
    </xf>
    <xf numFmtId="49" fontId="18" fillId="2" borderId="8" xfId="0" applyNumberFormat="1" applyFont="1" applyFill="1" applyBorder="1" applyAlignment="1">
      <alignment horizontal="justify" vertical="justify" wrapText="1"/>
    </xf>
    <xf numFmtId="49" fontId="18" fillId="2" borderId="10" xfId="0" applyNumberFormat="1" applyFont="1" applyFill="1" applyBorder="1" applyAlignment="1">
      <alignment horizontal="justify" vertical="justify" wrapText="1"/>
    </xf>
    <xf numFmtId="0" fontId="30" fillId="6" borderId="6" xfId="0" applyFont="1" applyFill="1" applyBorder="1" applyAlignment="1">
      <alignment horizontal="center" vertical="top" wrapText="1"/>
    </xf>
    <xf numFmtId="0" fontId="30" fillId="6" borderId="8" xfId="0" applyFont="1" applyFill="1" applyBorder="1" applyAlignment="1">
      <alignment horizontal="center" vertical="top" wrapText="1"/>
    </xf>
    <xf numFmtId="49" fontId="18" fillId="2" borderId="6" xfId="0" applyNumberFormat="1" applyFont="1" applyFill="1" applyBorder="1" applyAlignment="1">
      <alignment horizontal="justify" vertical="top" wrapText="1"/>
    </xf>
    <xf numFmtId="49" fontId="18" fillId="2" borderId="8" xfId="0" applyNumberFormat="1" applyFont="1" applyFill="1" applyBorder="1" applyAlignment="1">
      <alignment horizontal="justify" vertical="top" wrapText="1"/>
    </xf>
    <xf numFmtId="0" fontId="21" fillId="5" borderId="10" xfId="0" applyFont="1" applyFill="1" applyBorder="1" applyAlignment="1">
      <alignment wrapText="1"/>
    </xf>
    <xf numFmtId="0" fontId="29" fillId="6" borderId="9" xfId="0" applyFont="1" applyFill="1" applyBorder="1" applyAlignment="1">
      <alignment horizontal="center" vertical="top" wrapText="1"/>
    </xf>
    <xf numFmtId="0" fontId="29" fillId="6" borderId="16" xfId="0" applyFont="1" applyFill="1" applyBorder="1" applyAlignment="1">
      <alignment horizontal="center" vertical="top" wrapText="1"/>
    </xf>
    <xf numFmtId="0" fontId="14" fillId="0" borderId="6" xfId="0" applyFont="1" applyBorder="1" applyAlignment="1">
      <alignment horizontal="left" wrapText="1"/>
    </xf>
    <xf numFmtId="49" fontId="18" fillId="2" borderId="7" xfId="0" applyNumberFormat="1" applyFont="1" applyFill="1" applyBorder="1" applyAlignment="1">
      <alignment horizontal="justify" vertical="top" wrapText="1"/>
    </xf>
    <xf numFmtId="49" fontId="18" fillId="2" borderId="29" xfId="0" applyNumberFormat="1" applyFont="1" applyFill="1" applyBorder="1" applyAlignment="1">
      <alignment horizontal="justify" vertical="top" wrapText="1"/>
    </xf>
    <xf numFmtId="49" fontId="18" fillId="2" borderId="31" xfId="0" applyNumberFormat="1" applyFont="1" applyFill="1" applyBorder="1" applyAlignment="1">
      <alignment vertical="top" wrapText="1"/>
    </xf>
    <xf numFmtId="49" fontId="18" fillId="2" borderId="36" xfId="0" applyNumberFormat="1" applyFont="1" applyFill="1" applyBorder="1" applyAlignment="1">
      <alignment vertical="top" wrapText="1"/>
    </xf>
    <xf numFmtId="49" fontId="18" fillId="2" borderId="37" xfId="0" applyNumberFormat="1" applyFont="1" applyFill="1" applyBorder="1" applyAlignment="1">
      <alignment vertical="top" wrapText="1"/>
    </xf>
    <xf numFmtId="49" fontId="18" fillId="2" borderId="38" xfId="0" applyNumberFormat="1" applyFont="1" applyFill="1" applyBorder="1" applyAlignment="1">
      <alignment vertical="top" wrapText="1"/>
    </xf>
    <xf numFmtId="0" fontId="35" fillId="0" borderId="6" xfId="0" applyFont="1" applyBorder="1" applyAlignment="1">
      <alignment horizontal="center" vertical="center" wrapText="1"/>
    </xf>
    <xf numFmtId="49" fontId="13" fillId="2" borderId="31" xfId="0" applyNumberFormat="1" applyFont="1" applyFill="1" applyBorder="1" applyAlignment="1">
      <alignment vertical="top"/>
    </xf>
    <xf numFmtId="49" fontId="13" fillId="2" borderId="36" xfId="0" applyNumberFormat="1" applyFont="1" applyFill="1" applyBorder="1" applyAlignment="1">
      <alignment vertical="top"/>
    </xf>
    <xf numFmtId="0" fontId="22" fillId="5" borderId="6" xfId="0" applyFont="1" applyFill="1" applyBorder="1" applyAlignment="1">
      <alignment horizontal="justify" wrapText="1"/>
    </xf>
    <xf numFmtId="0" fontId="22" fillId="5" borderId="8" xfId="0" applyFont="1" applyFill="1" applyBorder="1" applyAlignment="1">
      <alignment horizontal="justify" wrapText="1"/>
    </xf>
    <xf numFmtId="49" fontId="18" fillId="2" borderId="29" xfId="0" applyNumberFormat="1" applyFont="1" applyFill="1" applyBorder="1" applyAlignment="1">
      <alignment vertical="top" wrapText="1"/>
    </xf>
    <xf numFmtId="0" fontId="21" fillId="5" borderId="31" xfId="0" applyFont="1" applyFill="1" applyBorder="1" applyAlignment="1">
      <alignment wrapText="1"/>
    </xf>
    <xf numFmtId="0" fontId="21" fillId="5" borderId="36" xfId="0" applyFont="1" applyFill="1" applyBorder="1" applyAlignment="1">
      <alignment wrapText="1"/>
    </xf>
    <xf numFmtId="0" fontId="29" fillId="6" borderId="31" xfId="0" applyFont="1" applyFill="1" applyBorder="1" applyAlignment="1">
      <alignment horizontal="center" vertical="top" wrapText="1"/>
    </xf>
    <xf numFmtId="0" fontId="29" fillId="6" borderId="36" xfId="0" applyFont="1" applyFill="1" applyBorder="1" applyAlignment="1">
      <alignment horizontal="center" vertical="top" wrapText="1"/>
    </xf>
    <xf numFmtId="0" fontId="21" fillId="5" borderId="15" xfId="0" applyFont="1" applyFill="1" applyBorder="1" applyAlignment="1">
      <alignment wrapText="1"/>
    </xf>
    <xf numFmtId="0" fontId="21" fillId="5" borderId="35" xfId="0" applyFont="1" applyFill="1" applyBorder="1" applyAlignment="1">
      <alignment wrapText="1"/>
    </xf>
    <xf numFmtId="49" fontId="18" fillId="2" borderId="15" xfId="0" applyNumberFormat="1" applyFont="1" applyFill="1" applyBorder="1" applyAlignment="1">
      <alignment vertical="top" wrapText="1"/>
    </xf>
    <xf numFmtId="49" fontId="18" fillId="2" borderId="35" xfId="0" applyNumberFormat="1" applyFont="1" applyFill="1" applyBorder="1" applyAlignment="1">
      <alignment vertical="top" wrapText="1"/>
    </xf>
    <xf numFmtId="0" fontId="21" fillId="5" borderId="37" xfId="0" applyFont="1" applyFill="1" applyBorder="1" applyAlignment="1">
      <alignment wrapText="1"/>
    </xf>
    <xf numFmtId="0" fontId="21" fillId="5" borderId="38" xfId="0" applyFont="1" applyFill="1" applyBorder="1" applyAlignment="1">
      <alignment wrapText="1"/>
    </xf>
    <xf numFmtId="49" fontId="36" fillId="2" borderId="15" xfId="0" applyNumberFormat="1" applyFont="1" applyFill="1" applyBorder="1" applyAlignment="1">
      <alignment vertical="top" wrapText="1"/>
    </xf>
    <xf numFmtId="49" fontId="36" fillId="2" borderId="35" xfId="0" applyNumberFormat="1" applyFont="1" applyFill="1" applyBorder="1" applyAlignment="1">
      <alignment vertical="top" wrapText="1"/>
    </xf>
    <xf numFmtId="0" fontId="25" fillId="7" borderId="14" xfId="0" applyFont="1" applyFill="1" applyBorder="1" applyAlignment="1">
      <alignment vertical="top" wrapText="1"/>
    </xf>
    <xf numFmtId="0" fontId="25" fillId="0" borderId="14" xfId="0" applyFont="1" applyBorder="1" applyAlignment="1">
      <alignment horizontal="center" wrapText="1"/>
    </xf>
    <xf numFmtId="0" fontId="21" fillId="5" borderId="65" xfId="0" applyFont="1" applyFill="1" applyBorder="1" applyAlignment="1">
      <alignment wrapText="1"/>
    </xf>
    <xf numFmtId="0" fontId="21" fillId="5" borderId="0" xfId="0" applyFont="1" applyFill="1" applyAlignment="1">
      <alignment wrapText="1"/>
    </xf>
    <xf numFmtId="0" fontId="25" fillId="0" borderId="19" xfId="0" applyFont="1" applyBorder="1" applyAlignment="1">
      <alignment horizontal="center" wrapText="1"/>
    </xf>
    <xf numFmtId="0" fontId="25" fillId="0" borderId="24" xfId="0" applyFont="1" applyBorder="1" applyAlignment="1">
      <alignment horizontal="center" wrapText="1"/>
    </xf>
    <xf numFmtId="49" fontId="36" fillId="2" borderId="31" xfId="0" applyNumberFormat="1" applyFont="1" applyFill="1" applyBorder="1" applyAlignment="1">
      <alignment vertical="top" wrapText="1"/>
    </xf>
    <xf numFmtId="49" fontId="36" fillId="2" borderId="36" xfId="0" applyNumberFormat="1" applyFont="1" applyFill="1" applyBorder="1" applyAlignment="1">
      <alignment vertical="top" wrapText="1"/>
    </xf>
    <xf numFmtId="49" fontId="36" fillId="2" borderId="38" xfId="0" applyNumberFormat="1" applyFont="1" applyFill="1" applyBorder="1" applyAlignment="1">
      <alignment vertical="top" wrapText="1"/>
    </xf>
    <xf numFmtId="0" fontId="31" fillId="0" borderId="0" xfId="0" applyFont="1" applyAlignment="1">
      <alignment horizontal="center"/>
    </xf>
    <xf numFmtId="0" fontId="29" fillId="6" borderId="66" xfId="0" applyFont="1" applyFill="1" applyBorder="1" applyAlignment="1">
      <alignment horizontal="center" vertical="top" wrapText="1"/>
    </xf>
    <xf numFmtId="0" fontId="29" fillId="6" borderId="58" xfId="0" applyFont="1" applyFill="1" applyBorder="1" applyAlignment="1">
      <alignment horizontal="center" vertical="top" wrapText="1"/>
    </xf>
    <xf numFmtId="0" fontId="29" fillId="6" borderId="67" xfId="0" applyFont="1" applyFill="1" applyBorder="1" applyAlignment="1">
      <alignment horizontal="center" vertical="top" wrapText="1"/>
    </xf>
    <xf numFmtId="49" fontId="18" fillId="2" borderId="6" xfId="0" applyNumberFormat="1" applyFont="1" applyFill="1" applyBorder="1" applyAlignment="1">
      <alignment vertical="top"/>
    </xf>
    <xf numFmtId="49" fontId="18" fillId="2" borderId="8" xfId="0" applyNumberFormat="1" applyFont="1" applyFill="1" applyBorder="1" applyAlignment="1">
      <alignment vertical="top"/>
    </xf>
    <xf numFmtId="49" fontId="18" fillId="2" borderId="15" xfId="0" applyNumberFormat="1" applyFont="1" applyFill="1" applyBorder="1" applyAlignment="1">
      <alignment vertical="top"/>
    </xf>
    <xf numFmtId="49" fontId="18" fillId="2" borderId="35" xfId="0" applyNumberFormat="1" applyFont="1" applyFill="1" applyBorder="1" applyAlignment="1">
      <alignment vertical="top"/>
    </xf>
    <xf numFmtId="0" fontId="34" fillId="0" borderId="7"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9" xfId="0" applyFont="1" applyBorder="1" applyAlignment="1">
      <alignment horizontal="center" vertical="center" wrapText="1"/>
    </xf>
    <xf numFmtId="0" fontId="21" fillId="5" borderId="40" xfId="0" applyFont="1" applyFill="1" applyBorder="1" applyAlignment="1">
      <alignment wrapText="1"/>
    </xf>
    <xf numFmtId="0" fontId="21" fillId="5" borderId="20" xfId="0" applyFont="1" applyFill="1" applyBorder="1" applyAlignment="1">
      <alignment wrapText="1"/>
    </xf>
    <xf numFmtId="0" fontId="21" fillId="5" borderId="63" xfId="0" applyFont="1" applyFill="1" applyBorder="1" applyAlignment="1">
      <alignment wrapText="1"/>
    </xf>
    <xf numFmtId="49" fontId="13" fillId="2" borderId="60" xfId="0" applyNumberFormat="1" applyFont="1" applyFill="1" applyBorder="1" applyAlignment="1">
      <alignment vertical="top"/>
    </xf>
    <xf numFmtId="49" fontId="13" fillId="2" borderId="61" xfId="0" applyNumberFormat="1" applyFont="1" applyFill="1" applyBorder="1" applyAlignment="1">
      <alignment vertical="top"/>
    </xf>
    <xf numFmtId="49" fontId="13" fillId="2" borderId="64" xfId="0" applyNumberFormat="1" applyFont="1" applyFill="1" applyBorder="1" applyAlignment="1">
      <alignment vertical="top"/>
    </xf>
    <xf numFmtId="49" fontId="18" fillId="2" borderId="13" xfId="0" applyNumberFormat="1" applyFont="1" applyFill="1" applyBorder="1" applyAlignment="1">
      <alignment vertical="top"/>
    </xf>
    <xf numFmtId="49" fontId="18" fillId="2" borderId="62" xfId="0" applyNumberFormat="1" applyFont="1" applyFill="1" applyBorder="1" applyAlignment="1">
      <alignment vertical="top"/>
    </xf>
    <xf numFmtId="49" fontId="18" fillId="2" borderId="59" xfId="0" applyNumberFormat="1" applyFont="1" applyFill="1" applyBorder="1" applyAlignment="1">
      <alignment vertical="top"/>
    </xf>
    <xf numFmtId="0" fontId="32" fillId="0" borderId="7"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9" xfId="0" applyFont="1" applyBorder="1" applyAlignment="1">
      <alignment horizontal="center" vertical="center" wrapText="1"/>
    </xf>
    <xf numFmtId="0" fontId="51" fillId="0" borderId="0" xfId="0" applyFont="1" applyAlignment="1">
      <alignment horizontal="center" wrapText="1"/>
    </xf>
    <xf numFmtId="0" fontId="51" fillId="0" borderId="19" xfId="0" applyFont="1" applyBorder="1" applyAlignment="1">
      <alignment horizontal="left" vertical="top" wrapText="1"/>
    </xf>
    <xf numFmtId="0" fontId="51" fillId="0" borderId="24" xfId="0" applyFont="1" applyBorder="1" applyAlignment="1">
      <alignment horizontal="left" vertical="top" wrapText="1"/>
    </xf>
    <xf numFmtId="0" fontId="51" fillId="0" borderId="21" xfId="0" applyFont="1" applyBorder="1" applyAlignment="1">
      <alignment horizontal="left" vertical="top" wrapText="1"/>
    </xf>
    <xf numFmtId="0" fontId="51" fillId="0" borderId="19" xfId="0" applyFont="1" applyBorder="1" applyAlignment="1">
      <alignment horizontal="center" vertical="top" wrapText="1"/>
    </xf>
    <xf numFmtId="0" fontId="51" fillId="0" borderId="24" xfId="0" applyFont="1" applyBorder="1" applyAlignment="1">
      <alignment horizontal="center" vertical="top" wrapText="1"/>
    </xf>
    <xf numFmtId="0" fontId="51" fillId="0" borderId="21" xfId="0" applyFont="1" applyBorder="1" applyAlignment="1">
      <alignment horizontal="center" vertical="top" wrapText="1"/>
    </xf>
  </cellXfs>
  <cellStyles count="23">
    <cellStyle name="Comma 2" xfId="1" xr:uid="{00000000-0005-0000-0000-000000000000}"/>
    <cellStyle name="Comma 3" xfId="2" xr:uid="{00000000-0005-0000-0000-000001000000}"/>
    <cellStyle name="Excel Built-in Normal" xfId="3" xr:uid="{00000000-0005-0000-0000-000002000000}"/>
    <cellStyle name="Explanatory Text" xfId="4" xr:uid="{00000000-0005-0000-0000-000003000000}"/>
    <cellStyle name="Good" xfId="5" xr:uid="{00000000-0005-0000-0000-000004000000}"/>
    <cellStyle name="Heading 1" xfId="6" xr:uid="{00000000-0005-0000-0000-000005000000}"/>
    <cellStyle name="Heading 2" xfId="7" xr:uid="{00000000-0005-0000-0000-000006000000}"/>
    <cellStyle name="Heading 3" xfId="8" xr:uid="{00000000-0005-0000-0000-000007000000}"/>
    <cellStyle name="Heading 4" xfId="9" xr:uid="{00000000-0005-0000-0000-000008000000}"/>
    <cellStyle name="Įprastas" xfId="0" builtinId="0"/>
    <cellStyle name="Kablelis" xfId="21" builtinId="3"/>
    <cellStyle name="Normal 2" xfId="10" xr:uid="{00000000-0005-0000-0000-00000B000000}"/>
    <cellStyle name="Normal 3" xfId="11" xr:uid="{00000000-0005-0000-0000-00000C000000}"/>
    <cellStyle name="Normal_1234LENT" xfId="12" xr:uid="{00000000-0005-0000-0000-00000D000000}"/>
    <cellStyle name="Output" xfId="13" xr:uid="{00000000-0005-0000-0000-00000E000000}"/>
    <cellStyle name="Paprastas 2" xfId="14" xr:uid="{00000000-0005-0000-0000-00000F000000}"/>
    <cellStyle name="Paprastas 3" xfId="15" xr:uid="{00000000-0005-0000-0000-000010000000}"/>
    <cellStyle name="Paprastas_Aplinkos" xfId="16" xr:uid="{00000000-0005-0000-0000-000011000000}"/>
    <cellStyle name="Procentai" xfId="22" builtinId="5"/>
    <cellStyle name="Title" xfId="17" xr:uid="{00000000-0005-0000-0000-000013000000}"/>
    <cellStyle name="Total" xfId="18" xr:uid="{00000000-0005-0000-0000-000014000000}"/>
    <cellStyle name="Warning Text" xfId="19" xr:uid="{00000000-0005-0000-0000-000015000000}"/>
    <cellStyle name="Обычный 2" xfId="20" xr:uid="{00000000-0005-0000-0000-00001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E6E6E6"/>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B3B3B3"/>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t-L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'IV skyrius. Programos'!$N$7</c:f>
              <c:strCache>
                <c:ptCount val="1"/>
                <c:pt idx="0">
                  <c:v>2023</c:v>
                </c:pt>
              </c:strCache>
            </c:strRef>
          </c:tx>
          <c:spPr>
            <a:solidFill>
              <a:schemeClr val="accent1"/>
            </a:solidFill>
            <a:ln>
              <a:noFill/>
            </a:ln>
            <a:effectLst/>
          </c:spPr>
          <c:invertIfNegative val="0"/>
          <c:cat>
            <c:multiLvlStrRef>
              <c:f>'IV skyrius. Programos'!$O$6:$Y$6</c:f>
            </c:multiLvlStrRef>
          </c:cat>
          <c:val>
            <c:numRef>
              <c:f>'IV skyrius. Programos'!$O$7:$Y$7</c:f>
            </c:numRef>
          </c:val>
          <c:extLst>
            <c:ext xmlns:c16="http://schemas.microsoft.com/office/drawing/2014/chart" uri="{C3380CC4-5D6E-409C-BE32-E72D297353CC}">
              <c16:uniqueId val="{00000000-95FE-4B91-8C5A-95447D8AA219}"/>
            </c:ext>
          </c:extLst>
        </c:ser>
        <c:ser>
          <c:idx val="1"/>
          <c:order val="1"/>
          <c:tx>
            <c:strRef>
              <c:f>'IV skyrius. Programos'!$N$8</c:f>
              <c:strCache>
                <c:ptCount val="1"/>
                <c:pt idx="0">
                  <c:v>2024</c:v>
                </c:pt>
              </c:strCache>
            </c:strRef>
          </c:tx>
          <c:spPr>
            <a:solidFill>
              <a:schemeClr val="accent2"/>
            </a:solidFill>
            <a:ln>
              <a:noFill/>
            </a:ln>
            <a:effectLst/>
          </c:spPr>
          <c:invertIfNegative val="0"/>
          <c:cat>
            <c:multiLvlStrRef>
              <c:f>'IV skyrius. Programos'!$O$6:$Y$6</c:f>
            </c:multiLvlStrRef>
          </c:cat>
          <c:val>
            <c:numRef>
              <c:f>'IV skyrius. Programos'!$O$8:$Y$8</c:f>
            </c:numRef>
          </c:val>
          <c:extLst>
            <c:ext xmlns:c16="http://schemas.microsoft.com/office/drawing/2014/chart" uri="{C3380CC4-5D6E-409C-BE32-E72D297353CC}">
              <c16:uniqueId val="{00000001-95FE-4B91-8C5A-95447D8AA219}"/>
            </c:ext>
          </c:extLst>
        </c:ser>
        <c:ser>
          <c:idx val="2"/>
          <c:order val="2"/>
          <c:tx>
            <c:strRef>
              <c:f>'IV skyrius. Programos'!$N$9</c:f>
              <c:strCache>
                <c:ptCount val="1"/>
                <c:pt idx="0">
                  <c:v>2025</c:v>
                </c:pt>
              </c:strCache>
            </c:strRef>
          </c:tx>
          <c:spPr>
            <a:solidFill>
              <a:schemeClr val="accent3"/>
            </a:solidFill>
            <a:ln>
              <a:noFill/>
            </a:ln>
            <a:effectLst/>
          </c:spPr>
          <c:invertIfNegative val="0"/>
          <c:cat>
            <c:multiLvlStrRef>
              <c:f>'IV skyrius. Programos'!$O$6:$Y$6</c:f>
            </c:multiLvlStrRef>
          </c:cat>
          <c:val>
            <c:numRef>
              <c:f>'IV skyrius. Programos'!$O$9:$Y$9</c:f>
            </c:numRef>
          </c:val>
          <c:extLst>
            <c:ext xmlns:c16="http://schemas.microsoft.com/office/drawing/2014/chart" uri="{C3380CC4-5D6E-409C-BE32-E72D297353CC}">
              <c16:uniqueId val="{00000002-95FE-4B91-8C5A-95447D8AA219}"/>
            </c:ext>
          </c:extLst>
        </c:ser>
        <c:ser>
          <c:idx val="3"/>
          <c:order val="3"/>
          <c:tx>
            <c:strRef>
              <c:f>'IV skyrius. Programos'!$N$10</c:f>
              <c:strCache>
                <c:ptCount val="1"/>
                <c:pt idx="0">
                  <c:v>2026</c:v>
                </c:pt>
              </c:strCache>
            </c:strRef>
          </c:tx>
          <c:spPr>
            <a:solidFill>
              <a:schemeClr val="accent4"/>
            </a:solidFill>
            <a:ln>
              <a:noFill/>
            </a:ln>
            <a:effectLst/>
          </c:spPr>
          <c:invertIfNegative val="0"/>
          <c:cat>
            <c:multiLvlStrRef>
              <c:f>'IV skyrius. Programos'!$O$6:$Y$6</c:f>
            </c:multiLvlStrRef>
          </c:cat>
          <c:val>
            <c:numRef>
              <c:f>'IV skyrius. Programos'!$O$10:$Y$10</c:f>
            </c:numRef>
          </c:val>
          <c:extLst>
            <c:ext xmlns:c16="http://schemas.microsoft.com/office/drawing/2014/chart" uri="{C3380CC4-5D6E-409C-BE32-E72D297353CC}">
              <c16:uniqueId val="{00000003-95FE-4B91-8C5A-95447D8AA219}"/>
            </c:ext>
          </c:extLst>
        </c:ser>
        <c:dLbls>
          <c:showLegendKey val="0"/>
          <c:showVal val="0"/>
          <c:showCatName val="0"/>
          <c:showSerName val="0"/>
          <c:showPercent val="0"/>
          <c:showBubbleSize val="0"/>
        </c:dLbls>
        <c:gapWidth val="219"/>
        <c:overlap val="-27"/>
        <c:axId val="1197211119"/>
        <c:axId val="839328911"/>
      </c:barChart>
      <c:catAx>
        <c:axId val="1197211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39328911"/>
        <c:crosses val="autoZero"/>
        <c:auto val="1"/>
        <c:lblAlgn val="ctr"/>
        <c:lblOffset val="100"/>
        <c:noMultiLvlLbl val="0"/>
      </c:catAx>
      <c:valAx>
        <c:axId val="83932891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197211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11</xdr:col>
      <xdr:colOff>442546</xdr:colOff>
      <xdr:row>3</xdr:row>
      <xdr:rowOff>61545</xdr:rowOff>
    </xdr:from>
    <xdr:to>
      <xdr:col>17</xdr:col>
      <xdr:colOff>290146</xdr:colOff>
      <xdr:row>10</xdr:row>
      <xdr:rowOff>301868</xdr:rowOff>
    </xdr:to>
    <xdr:graphicFrame macro="">
      <xdr:nvGraphicFramePr>
        <xdr:cNvPr id="5" name="Diagrama 4">
          <a:extLst>
            <a:ext uri="{FF2B5EF4-FFF2-40B4-BE49-F238E27FC236}">
              <a16:creationId xmlns:a16="http://schemas.microsoft.com/office/drawing/2014/main" id="{1F209D8D-AE36-C43C-D2B6-B9014B6139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64478</xdr:colOff>
      <xdr:row>2</xdr:row>
      <xdr:rowOff>29308</xdr:rowOff>
    </xdr:from>
    <xdr:to>
      <xdr:col>9</xdr:col>
      <xdr:colOff>1055078</xdr:colOff>
      <xdr:row>3</xdr:row>
      <xdr:rowOff>87924</xdr:rowOff>
    </xdr:to>
    <xdr:pic>
      <xdr:nvPicPr>
        <xdr:cNvPr id="3" name="Paveikslėlis 2">
          <a:extLst>
            <a:ext uri="{FF2B5EF4-FFF2-40B4-BE49-F238E27FC236}">
              <a16:creationId xmlns:a16="http://schemas.microsoft.com/office/drawing/2014/main" id="{B661AD59-0499-A259-EBDC-EB8FE35A814B}"/>
            </a:ext>
          </a:extLst>
        </xdr:cNvPr>
        <xdr:cNvPicPr>
          <a:picLocks noChangeAspect="1"/>
        </xdr:cNvPicPr>
      </xdr:nvPicPr>
      <xdr:blipFill>
        <a:blip xmlns:r="http://schemas.openxmlformats.org/officeDocument/2006/relationships" r:embed="rId2"/>
        <a:stretch>
          <a:fillRect/>
        </a:stretch>
      </xdr:blipFill>
      <xdr:spPr>
        <a:xfrm>
          <a:off x="1318847" y="1324708"/>
          <a:ext cx="5814646" cy="2110154"/>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C600F-3CA1-484D-8676-44DBA94AE2DD}">
  <sheetPr>
    <pageSetUpPr fitToPage="1"/>
  </sheetPr>
  <dimension ref="B1:L23"/>
  <sheetViews>
    <sheetView showGridLines="0" tabSelected="1" workbookViewId="0">
      <pane xSplit="11" ySplit="4" topLeftCell="L5" activePane="bottomRight" state="frozen"/>
      <selection pane="topRight" activeCell="L1" sqref="L1"/>
      <selection pane="bottomLeft" activeCell="A7" sqref="A7"/>
      <selection pane="bottomRight" activeCell="S8" sqref="S8"/>
    </sheetView>
  </sheetViews>
  <sheetFormatPr defaultRowHeight="13.2"/>
  <cols>
    <col min="7" max="7" width="7.33203125" customWidth="1"/>
    <col min="8" max="8" width="7" customWidth="1"/>
    <col min="11" max="11" width="13" customWidth="1"/>
    <col min="12" max="12" width="2.44140625" customWidth="1"/>
  </cols>
  <sheetData>
    <row r="1" spans="2:12" ht="67.2" customHeight="1">
      <c r="B1" s="362"/>
      <c r="C1" s="363"/>
      <c r="D1" s="363"/>
      <c r="E1" s="363"/>
      <c r="F1" s="363"/>
      <c r="G1" s="363"/>
      <c r="H1" s="363"/>
      <c r="I1" s="1585" t="s">
        <v>3907</v>
      </c>
      <c r="J1" s="1585"/>
      <c r="K1" s="1585"/>
      <c r="L1" s="1586"/>
    </row>
    <row r="2" spans="2:12">
      <c r="B2" s="364"/>
      <c r="L2" s="365"/>
    </row>
    <row r="3" spans="2:12">
      <c r="B3" s="364"/>
      <c r="L3" s="365"/>
    </row>
    <row r="4" spans="2:12">
      <c r="B4" s="1582" t="s">
        <v>983</v>
      </c>
      <c r="C4" s="1583"/>
      <c r="D4" s="1583"/>
      <c r="E4" s="1583"/>
      <c r="F4" s="1583"/>
      <c r="G4" s="1583"/>
      <c r="H4" s="1583"/>
      <c r="I4" s="1583"/>
      <c r="J4" s="1583"/>
      <c r="K4" s="1583"/>
      <c r="L4" s="1584"/>
    </row>
    <row r="5" spans="2:12">
      <c r="B5" s="364"/>
      <c r="L5" s="365"/>
    </row>
    <row r="6" spans="2:12" ht="13.2" customHeight="1">
      <c r="B6" s="364"/>
      <c r="L6" s="365"/>
    </row>
    <row r="7" spans="2:12" ht="40.799999999999997" customHeight="1">
      <c r="B7" s="1587" t="s">
        <v>3888</v>
      </c>
      <c r="C7" s="1588"/>
      <c r="D7" s="1588"/>
      <c r="E7" s="1588"/>
      <c r="F7" s="1588"/>
      <c r="G7" s="1588"/>
      <c r="H7" s="1588"/>
      <c r="I7" s="1588"/>
      <c r="J7" s="1588"/>
      <c r="K7" s="1588"/>
      <c r="L7" s="1589"/>
    </row>
    <row r="8" spans="2:12" ht="13.5" customHeight="1">
      <c r="B8" s="435"/>
      <c r="C8" s="436"/>
      <c r="D8" s="436"/>
      <c r="E8" s="436"/>
      <c r="F8" s="436"/>
      <c r="G8" s="436"/>
      <c r="H8" s="436"/>
      <c r="I8" s="436"/>
      <c r="J8" s="436"/>
      <c r="K8" s="436"/>
      <c r="L8" s="365"/>
    </row>
    <row r="9" spans="2:12" ht="16.95" customHeight="1">
      <c r="B9" s="1590" t="s">
        <v>3887</v>
      </c>
      <c r="C9" s="1591"/>
      <c r="D9" s="1591"/>
      <c r="E9" s="1591"/>
      <c r="F9" s="1591"/>
      <c r="G9" s="1591"/>
      <c r="H9" s="1591"/>
      <c r="I9" s="1591"/>
      <c r="J9" s="1591"/>
      <c r="K9" s="1591"/>
      <c r="L9" s="1592"/>
    </row>
    <row r="10" spans="2:12" ht="13.2" customHeight="1">
      <c r="B10" s="435"/>
      <c r="C10" s="436"/>
      <c r="D10" s="436"/>
      <c r="E10" s="436"/>
      <c r="F10" s="436"/>
      <c r="G10" s="436"/>
      <c r="H10" s="436"/>
      <c r="I10" s="436"/>
      <c r="J10" s="436"/>
      <c r="K10" s="436"/>
      <c r="L10" s="365"/>
    </row>
    <row r="11" spans="2:12" ht="13.2" customHeight="1">
      <c r="B11" s="1579" t="s">
        <v>1087</v>
      </c>
      <c r="C11" s="1580"/>
      <c r="D11" s="1580"/>
      <c r="E11" s="1580"/>
      <c r="F11" s="1580"/>
      <c r="G11" s="1580"/>
      <c r="H11" s="1580"/>
      <c r="I11" s="1580"/>
      <c r="J11" s="1580"/>
      <c r="K11" s="1580"/>
      <c r="L11" s="1581"/>
    </row>
    <row r="12" spans="2:12">
      <c r="B12" s="1579"/>
      <c r="C12" s="1580"/>
      <c r="D12" s="1580"/>
      <c r="E12" s="1580"/>
      <c r="F12" s="1580"/>
      <c r="G12" s="1580"/>
      <c r="H12" s="1580"/>
      <c r="I12" s="1580"/>
      <c r="J12" s="1580"/>
      <c r="K12" s="1580"/>
      <c r="L12" s="1581"/>
    </row>
    <row r="13" spans="2:12">
      <c r="B13" s="1579"/>
      <c r="C13" s="1580"/>
      <c r="D13" s="1580"/>
      <c r="E13" s="1580"/>
      <c r="F13" s="1580"/>
      <c r="G13" s="1580"/>
      <c r="H13" s="1580"/>
      <c r="I13" s="1580"/>
      <c r="J13" s="1580"/>
      <c r="K13" s="1580"/>
      <c r="L13" s="1581"/>
    </row>
    <row r="14" spans="2:12">
      <c r="B14" s="1579"/>
      <c r="C14" s="1580"/>
      <c r="D14" s="1580"/>
      <c r="E14" s="1580"/>
      <c r="F14" s="1580"/>
      <c r="G14" s="1580"/>
      <c r="H14" s="1580"/>
      <c r="I14" s="1580"/>
      <c r="J14" s="1580"/>
      <c r="K14" s="1580"/>
      <c r="L14" s="1581"/>
    </row>
    <row r="15" spans="2:12" ht="9" customHeight="1">
      <c r="B15" s="1579"/>
      <c r="C15" s="1580"/>
      <c r="D15" s="1580"/>
      <c r="E15" s="1580"/>
      <c r="F15" s="1580"/>
      <c r="G15" s="1580"/>
      <c r="H15" s="1580"/>
      <c r="I15" s="1580"/>
      <c r="J15" s="1580"/>
      <c r="K15" s="1580"/>
      <c r="L15" s="1581"/>
    </row>
    <row r="16" spans="2:12">
      <c r="B16" s="435"/>
      <c r="C16" s="436"/>
      <c r="D16" s="436"/>
      <c r="E16" s="436"/>
      <c r="F16" s="436"/>
      <c r="G16" s="436"/>
      <c r="H16" s="436"/>
      <c r="I16" s="436"/>
      <c r="J16" s="436"/>
      <c r="K16" s="436"/>
      <c r="L16" s="365"/>
    </row>
    <row r="17" spans="2:12">
      <c r="B17" s="1582" t="s">
        <v>3889</v>
      </c>
      <c r="C17" s="1583"/>
      <c r="D17" s="1583"/>
      <c r="E17" s="1583"/>
      <c r="F17" s="1583"/>
      <c r="G17" s="1583"/>
      <c r="H17" s="1583"/>
      <c r="I17" s="1583"/>
      <c r="J17" s="1583"/>
      <c r="K17" s="1583"/>
      <c r="L17" s="1584"/>
    </row>
    <row r="18" spans="2:12">
      <c r="B18" s="435"/>
      <c r="C18" s="436"/>
      <c r="D18" s="436"/>
      <c r="E18" s="436"/>
      <c r="F18" s="436"/>
      <c r="G18" s="436"/>
      <c r="H18" s="436"/>
      <c r="I18" s="436"/>
      <c r="J18" s="436"/>
      <c r="K18" s="436"/>
      <c r="L18" s="365"/>
    </row>
    <row r="19" spans="2:12" ht="13.2" customHeight="1">
      <c r="B19" s="1579" t="s">
        <v>2495</v>
      </c>
      <c r="C19" s="1580"/>
      <c r="D19" s="1580"/>
      <c r="E19" s="1580"/>
      <c r="F19" s="1580"/>
      <c r="G19" s="1580"/>
      <c r="H19" s="1580"/>
      <c r="I19" s="1580"/>
      <c r="J19" s="1580"/>
      <c r="K19" s="1580"/>
      <c r="L19" s="434"/>
    </row>
    <row r="20" spans="2:12" ht="13.2" customHeight="1">
      <c r="B20" s="1579"/>
      <c r="C20" s="1580"/>
      <c r="D20" s="1580"/>
      <c r="E20" s="1580"/>
      <c r="F20" s="1580"/>
      <c r="G20" s="1580"/>
      <c r="H20" s="1580"/>
      <c r="I20" s="1580"/>
      <c r="J20" s="1580"/>
      <c r="K20" s="1580"/>
      <c r="L20" s="365"/>
    </row>
    <row r="21" spans="2:12">
      <c r="B21" s="1579"/>
      <c r="C21" s="1580"/>
      <c r="D21" s="1580"/>
      <c r="E21" s="1580"/>
      <c r="F21" s="1580"/>
      <c r="G21" s="1580"/>
      <c r="H21" s="1580"/>
      <c r="I21" s="1580"/>
      <c r="J21" s="1580"/>
      <c r="K21" s="1580"/>
      <c r="L21" s="365"/>
    </row>
    <row r="22" spans="2:12">
      <c r="B22" s="1579"/>
      <c r="C22" s="1580"/>
      <c r="D22" s="1580"/>
      <c r="E22" s="1580"/>
      <c r="F22" s="1580"/>
      <c r="G22" s="1580"/>
      <c r="H22" s="1580"/>
      <c r="I22" s="1580"/>
      <c r="J22" s="1580"/>
      <c r="K22" s="1580"/>
      <c r="L22" s="365"/>
    </row>
    <row r="23" spans="2:12" ht="232.8" customHeight="1" thickBot="1">
      <c r="B23" s="529"/>
      <c r="C23" s="530"/>
      <c r="D23" s="530"/>
      <c r="E23" s="530"/>
      <c r="F23" s="530"/>
      <c r="G23" s="530"/>
      <c r="H23" s="530"/>
      <c r="I23" s="530"/>
      <c r="J23" s="530"/>
      <c r="K23" s="530"/>
      <c r="L23" s="531"/>
    </row>
  </sheetData>
  <sheetProtection algorithmName="SHA-512" hashValue="xE1Cq3olOFzm5mmwlD82r0K1eQiS2WS4Pa5nuFU0Nk8sl2Zj28kvobocTV/Qw0GzdWDySuXdwVrhUPXd92fRVA==" saltValue="6dNYzwT8Vja9e+jm6k/Zqg==" spinCount="100000" sheet="1" objects="1" scenarios="1"/>
  <mergeCells count="7">
    <mergeCell ref="B11:L15"/>
    <mergeCell ref="B17:L17"/>
    <mergeCell ref="B19:K22"/>
    <mergeCell ref="I1:L1"/>
    <mergeCell ref="B4:L4"/>
    <mergeCell ref="B7:L7"/>
    <mergeCell ref="B9:L9"/>
  </mergeCells>
  <pageMargins left="0.7" right="0.7" top="0.75" bottom="0.75" header="0.3" footer="0.3"/>
  <pageSetup paperSize="9" scale="7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21249-DBE5-4A46-B058-5F9EB91E9643}">
  <dimension ref="B1:V87"/>
  <sheetViews>
    <sheetView zoomScale="70" zoomScaleNormal="70" workbookViewId="0">
      <pane xSplit="5" ySplit="9" topLeftCell="F10" activePane="bottomRight" state="frozen"/>
      <selection pane="topRight" activeCell="F1" sqref="F1"/>
      <selection pane="bottomLeft" activeCell="A12" sqref="A12"/>
      <selection pane="bottomRight" activeCell="G18" sqref="G18"/>
    </sheetView>
  </sheetViews>
  <sheetFormatPr defaultRowHeight="13.2"/>
  <cols>
    <col min="3" max="3" width="11" customWidth="1"/>
    <col min="4" max="4" width="60.6640625" customWidth="1"/>
    <col min="5" max="5" width="54.109375" customWidth="1"/>
    <col min="6" max="6" width="15.88671875" style="26" customWidth="1"/>
    <col min="7" max="7" width="18.44140625" style="26" customWidth="1"/>
    <col min="8" max="8" width="17.44140625" style="26" customWidth="1"/>
    <col min="9" max="9" width="20.5546875" style="26" customWidth="1"/>
    <col min="10" max="10" width="20.88671875" style="26" customWidth="1"/>
    <col min="11" max="11" width="21.6640625" style="26" customWidth="1"/>
    <col min="12" max="12" width="17.5546875" customWidth="1"/>
  </cols>
  <sheetData>
    <row r="1" spans="2:12" ht="13.8" thickBot="1">
      <c r="E1" s="370"/>
    </row>
    <row r="2" spans="2:12">
      <c r="B2" s="362"/>
      <c r="C2" s="363"/>
      <c r="D2" s="363"/>
      <c r="E2" s="371"/>
      <c r="F2" s="1541"/>
      <c r="G2" s="1541"/>
      <c r="H2" s="1541"/>
      <c r="I2" s="1541"/>
      <c r="J2" s="1541"/>
      <c r="K2" s="1541"/>
      <c r="L2" s="369"/>
    </row>
    <row r="3" spans="2:12" ht="15.6">
      <c r="B3" s="1594" t="s">
        <v>984</v>
      </c>
      <c r="C3" s="1595"/>
      <c r="D3" s="1595"/>
      <c r="E3" s="1595"/>
      <c r="F3" s="1595"/>
      <c r="G3" s="1595"/>
      <c r="H3" s="1595"/>
      <c r="I3" s="1595"/>
      <c r="J3" s="1595"/>
      <c r="K3" s="1595"/>
      <c r="L3" s="1596"/>
    </row>
    <row r="4" spans="2:12" ht="15.6">
      <c r="B4" s="1594" t="s">
        <v>1089</v>
      </c>
      <c r="C4" s="1595"/>
      <c r="D4" s="1595"/>
      <c r="E4" s="1595"/>
      <c r="F4" s="1595"/>
      <c r="G4" s="1595"/>
      <c r="H4" s="1595"/>
      <c r="I4" s="1595"/>
      <c r="J4" s="1595"/>
      <c r="K4" s="1595"/>
      <c r="L4" s="1596"/>
    </row>
    <row r="5" spans="2:12" ht="15.6">
      <c r="B5" s="364"/>
      <c r="E5" s="372"/>
      <c r="L5" s="365"/>
    </row>
    <row r="6" spans="2:12" ht="33" customHeight="1">
      <c r="B6" s="364"/>
      <c r="C6" s="1593" t="s">
        <v>3301</v>
      </c>
      <c r="D6" s="1593"/>
      <c r="L6" s="365"/>
    </row>
    <row r="7" spans="2:12" ht="52.5" customHeight="1">
      <c r="B7" s="364"/>
      <c r="C7" s="1609" t="s">
        <v>1348</v>
      </c>
      <c r="D7" s="1609" t="s">
        <v>985</v>
      </c>
      <c r="E7" s="1609" t="s">
        <v>986</v>
      </c>
      <c r="F7" s="1602" t="s">
        <v>1363</v>
      </c>
      <c r="G7" s="1604" t="s">
        <v>987</v>
      </c>
      <c r="H7" s="1604"/>
      <c r="I7" s="1604"/>
      <c r="J7" s="1602" t="s">
        <v>1092</v>
      </c>
      <c r="K7" s="1602" t="s">
        <v>1091</v>
      </c>
      <c r="L7" s="365"/>
    </row>
    <row r="8" spans="2:12" ht="15.75" customHeight="1">
      <c r="B8" s="364"/>
      <c r="C8" s="1610"/>
      <c r="D8" s="1610"/>
      <c r="E8" s="1610"/>
      <c r="F8" s="1603"/>
      <c r="G8" s="1542" t="s">
        <v>1051</v>
      </c>
      <c r="H8" s="1542" t="s">
        <v>1052</v>
      </c>
      <c r="I8" s="1542" t="s">
        <v>1088</v>
      </c>
      <c r="J8" s="1603"/>
      <c r="K8" s="1603"/>
      <c r="L8" s="365"/>
    </row>
    <row r="9" spans="2:12">
      <c r="B9" s="364"/>
      <c r="C9" s="373">
        <v>1</v>
      </c>
      <c r="D9" s="373">
        <v>2</v>
      </c>
      <c r="E9" s="373">
        <v>3</v>
      </c>
      <c r="F9" s="1543">
        <v>4</v>
      </c>
      <c r="G9" s="1543">
        <v>5</v>
      </c>
      <c r="H9" s="1543">
        <v>6</v>
      </c>
      <c r="I9" s="1543">
        <v>7</v>
      </c>
      <c r="J9" s="1543">
        <v>8</v>
      </c>
      <c r="K9" s="1543">
        <v>9</v>
      </c>
      <c r="L9" s="365"/>
    </row>
    <row r="10" spans="2:12" ht="50.4" customHeight="1">
      <c r="B10" s="364"/>
      <c r="C10" s="379" t="s">
        <v>1047</v>
      </c>
      <c r="D10" s="380" t="s">
        <v>3254</v>
      </c>
      <c r="E10" s="380" t="s">
        <v>1090</v>
      </c>
      <c r="F10" s="1544">
        <v>7470</v>
      </c>
      <c r="G10" s="1544">
        <v>7450</v>
      </c>
      <c r="H10" s="1544">
        <v>7460</v>
      </c>
      <c r="I10" s="1544">
        <v>7470</v>
      </c>
      <c r="J10" s="1544">
        <v>7470</v>
      </c>
      <c r="K10" s="1544">
        <v>8000</v>
      </c>
      <c r="L10" s="365"/>
    </row>
    <row r="11" spans="2:12" ht="43.5" customHeight="1">
      <c r="B11" s="364"/>
      <c r="C11" s="1605" t="s">
        <v>1112</v>
      </c>
      <c r="D11" s="1601" t="s">
        <v>1349</v>
      </c>
      <c r="E11" s="375" t="s">
        <v>1093</v>
      </c>
      <c r="F11" s="1545" t="s">
        <v>1095</v>
      </c>
      <c r="G11" s="1545">
        <v>889</v>
      </c>
      <c r="H11" s="1545">
        <v>890</v>
      </c>
      <c r="I11" s="1545">
        <v>891</v>
      </c>
      <c r="J11" s="1545" t="s">
        <v>1095</v>
      </c>
      <c r="K11" s="1545" t="s">
        <v>1097</v>
      </c>
      <c r="L11" s="365"/>
    </row>
    <row r="12" spans="2:12" ht="55.5" customHeight="1">
      <c r="B12" s="364"/>
      <c r="C12" s="1607"/>
      <c r="D12" s="1601"/>
      <c r="E12" s="375" t="s">
        <v>1094</v>
      </c>
      <c r="F12" s="1545" t="s">
        <v>1096</v>
      </c>
      <c r="G12" s="1546">
        <v>739</v>
      </c>
      <c r="H12" s="1546">
        <v>740</v>
      </c>
      <c r="I12" s="1546">
        <v>741</v>
      </c>
      <c r="J12" s="1545" t="s">
        <v>1096</v>
      </c>
      <c r="K12" s="1545" t="s">
        <v>1098</v>
      </c>
      <c r="L12" s="365"/>
    </row>
    <row r="13" spans="2:12" ht="55.5" customHeight="1">
      <c r="B13" s="364"/>
      <c r="C13" s="374" t="s">
        <v>1350</v>
      </c>
      <c r="D13" s="375" t="s">
        <v>1351</v>
      </c>
      <c r="E13" s="375" t="s">
        <v>1099</v>
      </c>
      <c r="F13" s="1545" t="s">
        <v>1107</v>
      </c>
      <c r="G13" s="1546">
        <v>14.78</v>
      </c>
      <c r="H13" s="1546">
        <v>14.8</v>
      </c>
      <c r="I13" s="1546">
        <v>15</v>
      </c>
      <c r="J13" s="1545" t="s">
        <v>1107</v>
      </c>
      <c r="K13" s="1545" t="s">
        <v>1103</v>
      </c>
      <c r="L13" s="365"/>
    </row>
    <row r="14" spans="2:12" ht="55.5" customHeight="1">
      <c r="B14" s="364"/>
      <c r="C14" s="1605"/>
      <c r="D14" s="1599"/>
      <c r="E14" s="375" t="s">
        <v>1100</v>
      </c>
      <c r="F14" s="1545" t="s">
        <v>1108</v>
      </c>
      <c r="G14" s="1546">
        <v>19.55</v>
      </c>
      <c r="H14" s="1546">
        <v>20</v>
      </c>
      <c r="I14" s="1546">
        <v>20</v>
      </c>
      <c r="J14" s="1545" t="s">
        <v>1108</v>
      </c>
      <c r="K14" s="1545" t="s">
        <v>1104</v>
      </c>
      <c r="L14" s="365"/>
    </row>
    <row r="15" spans="2:12" ht="43.5" customHeight="1">
      <c r="B15" s="364"/>
      <c r="C15" s="1606"/>
      <c r="D15" s="1608"/>
      <c r="E15" s="375" t="s">
        <v>1101</v>
      </c>
      <c r="F15" s="1545" t="s">
        <v>1109</v>
      </c>
      <c r="G15" s="1546">
        <v>1</v>
      </c>
      <c r="H15" s="1546">
        <v>0</v>
      </c>
      <c r="I15" s="1546">
        <v>0</v>
      </c>
      <c r="J15" s="1545" t="s">
        <v>1109</v>
      </c>
      <c r="K15" s="1545" t="s">
        <v>1105</v>
      </c>
      <c r="L15" s="365"/>
    </row>
    <row r="16" spans="2:12" ht="45.75" customHeight="1">
      <c r="B16" s="364"/>
      <c r="C16" s="1607"/>
      <c r="D16" s="1600"/>
      <c r="E16" s="375" t="s">
        <v>1102</v>
      </c>
      <c r="F16" s="1545" t="s">
        <v>1110</v>
      </c>
      <c r="G16" s="1546">
        <v>25</v>
      </c>
      <c r="H16" s="1546">
        <v>35</v>
      </c>
      <c r="I16" s="1546">
        <v>45</v>
      </c>
      <c r="J16" s="1545" t="s">
        <v>1110</v>
      </c>
      <c r="K16" s="1545" t="s">
        <v>1106</v>
      </c>
      <c r="L16" s="365"/>
    </row>
    <row r="17" spans="2:12" ht="55.5" customHeight="1">
      <c r="B17" s="364"/>
      <c r="C17" s="374" t="s">
        <v>1116</v>
      </c>
      <c r="D17" s="375" t="s">
        <v>1117</v>
      </c>
      <c r="E17" s="375" t="s">
        <v>1111</v>
      </c>
      <c r="F17" s="1545" t="s">
        <v>1118</v>
      </c>
      <c r="G17" s="1546">
        <v>2</v>
      </c>
      <c r="H17" s="1546">
        <v>2</v>
      </c>
      <c r="I17" s="1546">
        <v>3</v>
      </c>
      <c r="J17" s="1545" t="s">
        <v>1118</v>
      </c>
      <c r="K17" s="1545" t="s">
        <v>1119</v>
      </c>
      <c r="L17" s="365"/>
    </row>
    <row r="18" spans="2:12" ht="74.25" customHeight="1">
      <c r="B18" s="364"/>
      <c r="C18" s="379" t="s">
        <v>1048</v>
      </c>
      <c r="D18" s="380" t="s">
        <v>1352</v>
      </c>
      <c r="E18" s="380" t="s">
        <v>1120</v>
      </c>
      <c r="F18" s="1547" t="s">
        <v>1121</v>
      </c>
      <c r="G18" s="1547">
        <v>7855</v>
      </c>
      <c r="H18" s="1547">
        <v>8000</v>
      </c>
      <c r="I18" s="1547">
        <v>8100</v>
      </c>
      <c r="J18" s="1544" t="s">
        <v>1121</v>
      </c>
      <c r="K18" s="1544" t="s">
        <v>1122</v>
      </c>
      <c r="L18" s="365"/>
    </row>
    <row r="19" spans="2:12" ht="84.75" customHeight="1">
      <c r="B19" s="364"/>
      <c r="C19" s="374" t="s">
        <v>1123</v>
      </c>
      <c r="D19" s="375" t="s">
        <v>1353</v>
      </c>
      <c r="E19" s="375" t="s">
        <v>1124</v>
      </c>
      <c r="F19" s="1545" t="s">
        <v>1125</v>
      </c>
      <c r="G19" s="1546">
        <v>72</v>
      </c>
      <c r="H19" s="1546">
        <v>72</v>
      </c>
      <c r="I19" s="1546">
        <v>72</v>
      </c>
      <c r="J19" s="1545" t="s">
        <v>1125</v>
      </c>
      <c r="K19" s="1545" t="s">
        <v>1126</v>
      </c>
      <c r="L19" s="365"/>
    </row>
    <row r="20" spans="2:12" ht="93.75" customHeight="1">
      <c r="B20" s="364"/>
      <c r="C20" s="374" t="s">
        <v>1354</v>
      </c>
      <c r="D20" s="375" t="s">
        <v>1355</v>
      </c>
      <c r="E20" s="375" t="s">
        <v>1129</v>
      </c>
      <c r="F20" s="1545" t="s">
        <v>1109</v>
      </c>
      <c r="G20" s="1546">
        <v>4</v>
      </c>
      <c r="H20" s="1546">
        <v>1</v>
      </c>
      <c r="I20" s="1546">
        <v>1</v>
      </c>
      <c r="J20" s="1545" t="s">
        <v>1109</v>
      </c>
      <c r="K20" s="1545" t="s">
        <v>1128</v>
      </c>
      <c r="L20" s="365"/>
    </row>
    <row r="21" spans="2:12" ht="102" customHeight="1">
      <c r="B21" s="364"/>
      <c r="C21" s="374" t="s">
        <v>1130</v>
      </c>
      <c r="D21" s="375" t="s">
        <v>1356</v>
      </c>
      <c r="E21" s="375" t="s">
        <v>1131</v>
      </c>
      <c r="F21" s="1545" t="s">
        <v>1109</v>
      </c>
      <c r="G21" s="1546">
        <v>50</v>
      </c>
      <c r="H21" s="1546">
        <v>100</v>
      </c>
      <c r="I21" s="1546">
        <v>150</v>
      </c>
      <c r="J21" s="1545" t="s">
        <v>1109</v>
      </c>
      <c r="K21" s="1545" t="s">
        <v>1122</v>
      </c>
      <c r="L21" s="365"/>
    </row>
    <row r="22" spans="2:12" ht="184.5" customHeight="1">
      <c r="B22" s="364"/>
      <c r="C22" s="379" t="s">
        <v>1357</v>
      </c>
      <c r="D22" s="380" t="s">
        <v>1358</v>
      </c>
      <c r="E22" s="380" t="s">
        <v>1132</v>
      </c>
      <c r="F22" s="1544" t="s">
        <v>1109</v>
      </c>
      <c r="G22" s="1547">
        <v>50</v>
      </c>
      <c r="H22" s="1547">
        <v>75</v>
      </c>
      <c r="I22" s="1547">
        <v>98</v>
      </c>
      <c r="J22" s="1544" t="s">
        <v>1109</v>
      </c>
      <c r="K22" s="1544" t="s">
        <v>1133</v>
      </c>
      <c r="L22" s="365"/>
    </row>
    <row r="23" spans="2:12" ht="52.2" customHeight="1">
      <c r="B23" s="378"/>
      <c r="C23" s="1605" t="s">
        <v>1134</v>
      </c>
      <c r="D23" s="1599" t="s">
        <v>1135</v>
      </c>
      <c r="E23" s="375" t="s">
        <v>1136</v>
      </c>
      <c r="F23" s="1545" t="s">
        <v>1137</v>
      </c>
      <c r="G23" s="1546">
        <v>895</v>
      </c>
      <c r="H23" s="1546">
        <v>983</v>
      </c>
      <c r="I23" s="1546">
        <v>983</v>
      </c>
      <c r="J23" s="1545" t="s">
        <v>1137</v>
      </c>
      <c r="K23" s="1545" t="s">
        <v>1138</v>
      </c>
      <c r="L23" s="365"/>
    </row>
    <row r="24" spans="2:12" ht="48" customHeight="1" thickBot="1">
      <c r="B24" s="378"/>
      <c r="C24" s="1607"/>
      <c r="D24" s="1600"/>
      <c r="E24" s="375" t="s">
        <v>1139</v>
      </c>
      <c r="F24" s="1545" t="s">
        <v>1109</v>
      </c>
      <c r="G24" s="1546">
        <v>0</v>
      </c>
      <c r="H24" s="1546">
        <v>40</v>
      </c>
      <c r="I24" s="1546">
        <v>0</v>
      </c>
      <c r="J24" s="1545" t="s">
        <v>1109</v>
      </c>
      <c r="K24" s="1545" t="s">
        <v>1140</v>
      </c>
      <c r="L24" s="368"/>
    </row>
    <row r="25" spans="2:12" ht="69" customHeight="1">
      <c r="B25" s="378"/>
      <c r="C25" s="374" t="s">
        <v>1141</v>
      </c>
      <c r="D25" s="375" t="s">
        <v>1142</v>
      </c>
      <c r="E25" s="375" t="s">
        <v>1143</v>
      </c>
      <c r="F25" s="1545" t="s">
        <v>1109</v>
      </c>
      <c r="G25" s="1546">
        <v>0</v>
      </c>
      <c r="H25" s="1546">
        <v>35</v>
      </c>
      <c r="I25" s="1546">
        <v>45</v>
      </c>
      <c r="J25" s="1545" t="s">
        <v>1109</v>
      </c>
      <c r="K25" s="1545" t="s">
        <v>1144</v>
      </c>
      <c r="L25" s="365"/>
    </row>
    <row r="26" spans="2:12" ht="52.8">
      <c r="B26" s="378"/>
      <c r="C26" s="374" t="s">
        <v>1324</v>
      </c>
      <c r="D26" s="375" t="s">
        <v>1145</v>
      </c>
      <c r="E26" s="375" t="s">
        <v>1146</v>
      </c>
      <c r="F26" s="1545" t="s">
        <v>1109</v>
      </c>
      <c r="G26" s="1546">
        <v>3</v>
      </c>
      <c r="H26" s="1546">
        <v>3</v>
      </c>
      <c r="I26" s="1546">
        <v>3</v>
      </c>
      <c r="J26" s="1545" t="s">
        <v>1109</v>
      </c>
      <c r="K26" s="1545" t="s">
        <v>1147</v>
      </c>
      <c r="L26" s="365"/>
    </row>
    <row r="27" spans="2:12" ht="39.6">
      <c r="B27" s="376"/>
      <c r="C27" s="374" t="s">
        <v>1148</v>
      </c>
      <c r="D27" s="375" t="s">
        <v>1149</v>
      </c>
      <c r="E27" s="375" t="s">
        <v>1150</v>
      </c>
      <c r="F27" s="1545" t="s">
        <v>1109</v>
      </c>
      <c r="G27" s="1546">
        <v>1</v>
      </c>
      <c r="H27" s="1546">
        <v>1</v>
      </c>
      <c r="I27" s="1546">
        <v>1</v>
      </c>
      <c r="J27" s="1545" t="s">
        <v>1109</v>
      </c>
      <c r="K27" s="1545" t="s">
        <v>1128</v>
      </c>
      <c r="L27" s="365"/>
    </row>
    <row r="28" spans="2:12" ht="39.6">
      <c r="B28" s="364"/>
      <c r="C28" s="374" t="s">
        <v>1151</v>
      </c>
      <c r="D28" s="375" t="s">
        <v>1152</v>
      </c>
      <c r="E28" s="375" t="s">
        <v>509</v>
      </c>
      <c r="F28" s="1545" t="s">
        <v>1153</v>
      </c>
      <c r="G28" s="1546">
        <v>0</v>
      </c>
      <c r="H28" s="1546">
        <v>1</v>
      </c>
      <c r="I28" s="1546">
        <v>4</v>
      </c>
      <c r="J28" s="1545" t="s">
        <v>1153</v>
      </c>
      <c r="K28" s="1545" t="s">
        <v>1115</v>
      </c>
      <c r="L28" s="365"/>
    </row>
    <row r="29" spans="2:12" ht="80.400000000000006" customHeight="1">
      <c r="B29" s="364"/>
      <c r="C29" s="374" t="s">
        <v>1156</v>
      </c>
      <c r="D29" s="375" t="s">
        <v>1157</v>
      </c>
      <c r="E29" s="375" t="s">
        <v>1158</v>
      </c>
      <c r="F29" s="1545" t="s">
        <v>1109</v>
      </c>
      <c r="G29" s="1546">
        <v>80</v>
      </c>
      <c r="H29" s="1546">
        <v>82</v>
      </c>
      <c r="I29" s="1546">
        <v>85</v>
      </c>
      <c r="J29" s="1545" t="s">
        <v>1109</v>
      </c>
      <c r="K29" s="1545" t="s">
        <v>1159</v>
      </c>
      <c r="L29" s="365"/>
    </row>
    <row r="30" spans="2:12" ht="54" customHeight="1">
      <c r="B30" s="364"/>
      <c r="C30" s="379" t="s">
        <v>1325</v>
      </c>
      <c r="D30" s="380" t="s">
        <v>1162</v>
      </c>
      <c r="E30" s="380" t="s">
        <v>1163</v>
      </c>
      <c r="F30" s="1544" t="s">
        <v>1164</v>
      </c>
      <c r="G30" s="1547">
        <v>12</v>
      </c>
      <c r="H30" s="1547">
        <v>12</v>
      </c>
      <c r="I30" s="1547">
        <v>13</v>
      </c>
      <c r="J30" s="1544" t="s">
        <v>1164</v>
      </c>
      <c r="K30" s="1544" t="s">
        <v>1165</v>
      </c>
      <c r="L30" s="365"/>
    </row>
    <row r="31" spans="2:12" ht="39.6">
      <c r="B31" s="364"/>
      <c r="C31" s="374" t="s">
        <v>1166</v>
      </c>
      <c r="D31" s="375" t="s">
        <v>1167</v>
      </c>
      <c r="E31" s="375" t="s">
        <v>1168</v>
      </c>
      <c r="F31" s="1545" t="s">
        <v>1169</v>
      </c>
      <c r="G31" s="1546">
        <v>3000</v>
      </c>
      <c r="H31" s="1546">
        <v>3600</v>
      </c>
      <c r="I31" s="1546">
        <v>4000</v>
      </c>
      <c r="J31" s="1545" t="s">
        <v>1169</v>
      </c>
      <c r="K31" s="1545" t="s">
        <v>1170</v>
      </c>
      <c r="L31" s="365"/>
    </row>
    <row r="32" spans="2:12" ht="33.75" customHeight="1">
      <c r="B32" s="376"/>
      <c r="C32" s="374" t="s">
        <v>1171</v>
      </c>
      <c r="D32" s="375" t="s">
        <v>1172</v>
      </c>
      <c r="E32" s="375" t="s">
        <v>3164</v>
      </c>
      <c r="F32" s="1545" t="s">
        <v>1173</v>
      </c>
      <c r="G32" s="1546">
        <v>20</v>
      </c>
      <c r="H32" s="1546">
        <v>20</v>
      </c>
      <c r="I32" s="1546">
        <v>25</v>
      </c>
      <c r="J32" s="1545" t="s">
        <v>1173</v>
      </c>
      <c r="K32" s="1545" t="s">
        <v>1174</v>
      </c>
      <c r="L32" s="365"/>
    </row>
    <row r="33" spans="2:12" ht="52.8">
      <c r="B33" s="364"/>
      <c r="C33" s="374" t="s">
        <v>1175</v>
      </c>
      <c r="D33" s="375" t="s">
        <v>1176</v>
      </c>
      <c r="E33" s="375" t="s">
        <v>1177</v>
      </c>
      <c r="F33" s="1545" t="s">
        <v>1257</v>
      </c>
      <c r="G33" s="1546">
        <v>30</v>
      </c>
      <c r="H33" s="1546">
        <v>30</v>
      </c>
      <c r="I33" s="1546">
        <v>30</v>
      </c>
      <c r="J33" s="1545" t="s">
        <v>1178</v>
      </c>
      <c r="K33" s="1545" t="s">
        <v>1160</v>
      </c>
      <c r="L33" s="365"/>
    </row>
    <row r="34" spans="2:12" ht="41.25" customHeight="1">
      <c r="B34" s="364"/>
      <c r="C34" s="374" t="s">
        <v>1179</v>
      </c>
      <c r="D34" s="375" t="s">
        <v>1180</v>
      </c>
      <c r="E34" s="375" t="s">
        <v>1181</v>
      </c>
      <c r="F34" s="1545" t="s">
        <v>1109</v>
      </c>
      <c r="G34" s="1546">
        <v>40</v>
      </c>
      <c r="H34" s="1546">
        <v>50</v>
      </c>
      <c r="I34" s="1546">
        <v>60</v>
      </c>
      <c r="J34" s="1545" t="s">
        <v>1109</v>
      </c>
      <c r="K34" s="1545" t="s">
        <v>1159</v>
      </c>
      <c r="L34" s="365"/>
    </row>
    <row r="35" spans="2:12" ht="70.5" customHeight="1">
      <c r="B35" s="364"/>
      <c r="C35" s="374" t="s">
        <v>1182</v>
      </c>
      <c r="D35" s="375" t="s">
        <v>1183</v>
      </c>
      <c r="E35" s="375" t="s">
        <v>1184</v>
      </c>
      <c r="F35" s="1545" t="s">
        <v>1109</v>
      </c>
      <c r="G35" s="1546">
        <v>1</v>
      </c>
      <c r="H35" s="1546">
        <v>1</v>
      </c>
      <c r="I35" s="1546">
        <v>1.5</v>
      </c>
      <c r="J35" s="1545" t="s">
        <v>1109</v>
      </c>
      <c r="K35" s="1545" t="s">
        <v>1115</v>
      </c>
      <c r="L35" s="365"/>
    </row>
    <row r="36" spans="2:12" ht="59.4" customHeight="1">
      <c r="B36" s="364"/>
      <c r="C36" s="379" t="s">
        <v>1326</v>
      </c>
      <c r="D36" s="380" t="s">
        <v>1185</v>
      </c>
      <c r="E36" s="380" t="s">
        <v>1186</v>
      </c>
      <c r="F36" s="1544" t="s">
        <v>1109</v>
      </c>
      <c r="G36" s="1547">
        <v>40</v>
      </c>
      <c r="H36" s="1547">
        <v>50</v>
      </c>
      <c r="I36" s="1547">
        <v>60</v>
      </c>
      <c r="J36" s="1544" t="s">
        <v>1109</v>
      </c>
      <c r="K36" s="1544" t="s">
        <v>1187</v>
      </c>
      <c r="L36" s="365"/>
    </row>
    <row r="37" spans="2:12" ht="39.6">
      <c r="B37" s="376"/>
      <c r="C37" s="374" t="s">
        <v>1188</v>
      </c>
      <c r="D37" s="375" t="s">
        <v>1189</v>
      </c>
      <c r="E37" s="375" t="s">
        <v>1190</v>
      </c>
      <c r="F37" s="1545" t="s">
        <v>1191</v>
      </c>
      <c r="G37" s="1546">
        <v>20</v>
      </c>
      <c r="H37" s="1546">
        <v>30</v>
      </c>
      <c r="I37" s="1546">
        <v>50</v>
      </c>
      <c r="J37" s="1545" t="s">
        <v>1191</v>
      </c>
      <c r="K37" s="1545" t="s">
        <v>1192</v>
      </c>
      <c r="L37" s="365"/>
    </row>
    <row r="38" spans="2:12" ht="33" customHeight="1">
      <c r="B38" s="376"/>
      <c r="C38" s="374" t="s">
        <v>1193</v>
      </c>
      <c r="D38" s="375" t="s">
        <v>1194</v>
      </c>
      <c r="E38" s="375" t="s">
        <v>1195</v>
      </c>
      <c r="F38" s="1545" t="s">
        <v>1109</v>
      </c>
      <c r="G38" s="1546">
        <v>1</v>
      </c>
      <c r="H38" s="1546">
        <v>2</v>
      </c>
      <c r="I38" s="1546">
        <v>3</v>
      </c>
      <c r="J38" s="1545" t="s">
        <v>1109</v>
      </c>
      <c r="K38" s="1545" t="s">
        <v>1113</v>
      </c>
      <c r="L38" s="365"/>
    </row>
    <row r="39" spans="2:12" ht="39.6">
      <c r="B39" s="364"/>
      <c r="C39" s="374" t="s">
        <v>1196</v>
      </c>
      <c r="D39" s="375" t="s">
        <v>1197</v>
      </c>
      <c r="E39" s="375" t="s">
        <v>1198</v>
      </c>
      <c r="F39" s="1545" t="s">
        <v>1109</v>
      </c>
      <c r="G39" s="1546">
        <v>0</v>
      </c>
      <c r="H39" s="1546">
        <v>0</v>
      </c>
      <c r="I39" s="1546">
        <v>1</v>
      </c>
      <c r="J39" s="1545" t="s">
        <v>1109</v>
      </c>
      <c r="K39" s="1545" t="s">
        <v>1115</v>
      </c>
      <c r="L39" s="365"/>
    </row>
    <row r="40" spans="2:12" ht="39.6">
      <c r="B40" s="376"/>
      <c r="C40" s="374" t="s">
        <v>1199</v>
      </c>
      <c r="D40" s="375" t="s">
        <v>1200</v>
      </c>
      <c r="E40" s="375" t="s">
        <v>1201</v>
      </c>
      <c r="F40" s="1545" t="s">
        <v>1109</v>
      </c>
      <c r="G40" s="1546">
        <v>10</v>
      </c>
      <c r="H40" s="1546">
        <v>15</v>
      </c>
      <c r="I40" s="1546">
        <v>20</v>
      </c>
      <c r="J40" s="1545" t="s">
        <v>1109</v>
      </c>
      <c r="K40" s="1545" t="s">
        <v>1126</v>
      </c>
      <c r="L40" s="365"/>
    </row>
    <row r="41" spans="2:12" ht="37.5" customHeight="1">
      <c r="B41" s="376"/>
      <c r="C41" s="374" t="s">
        <v>1202</v>
      </c>
      <c r="D41" s="375" t="s">
        <v>1203</v>
      </c>
      <c r="E41" s="375" t="s">
        <v>1204</v>
      </c>
      <c r="F41" s="1545" t="s">
        <v>1109</v>
      </c>
      <c r="G41" s="1546">
        <v>10</v>
      </c>
      <c r="H41" s="1546">
        <v>15</v>
      </c>
      <c r="I41" s="1546">
        <v>20</v>
      </c>
      <c r="J41" s="1545" t="s">
        <v>1109</v>
      </c>
      <c r="K41" s="1545" t="s">
        <v>1126</v>
      </c>
      <c r="L41" s="365"/>
    </row>
    <row r="42" spans="2:12" ht="33.75" customHeight="1">
      <c r="B42" s="376"/>
      <c r="C42" s="374" t="s">
        <v>1205</v>
      </c>
      <c r="D42" s="375" t="s">
        <v>1206</v>
      </c>
      <c r="E42" s="375" t="s">
        <v>1207</v>
      </c>
      <c r="F42" s="1545" t="s">
        <v>1109</v>
      </c>
      <c r="G42" s="1546">
        <v>3</v>
      </c>
      <c r="H42" s="1546">
        <v>4</v>
      </c>
      <c r="I42" s="1546">
        <v>5</v>
      </c>
      <c r="J42" s="1545" t="s">
        <v>1109</v>
      </c>
      <c r="K42" s="1545" t="s">
        <v>1160</v>
      </c>
      <c r="L42" s="365"/>
    </row>
    <row r="43" spans="2:12" ht="44.25" customHeight="1">
      <c r="B43" s="376"/>
      <c r="C43" s="379" t="s">
        <v>1327</v>
      </c>
      <c r="D43" s="380" t="s">
        <v>1208</v>
      </c>
      <c r="E43" s="380" t="s">
        <v>1209</v>
      </c>
      <c r="F43" s="1544" t="s">
        <v>1210</v>
      </c>
      <c r="G43" s="1547">
        <v>75.47</v>
      </c>
      <c r="H43" s="1547">
        <v>76</v>
      </c>
      <c r="I43" s="1547">
        <v>76</v>
      </c>
      <c r="J43" s="1544" t="s">
        <v>1210</v>
      </c>
      <c r="K43" s="1544" t="s">
        <v>1211</v>
      </c>
      <c r="L43" s="365"/>
    </row>
    <row r="44" spans="2:12" ht="27.75" customHeight="1">
      <c r="B44" s="376"/>
      <c r="C44" s="374" t="s">
        <v>1212</v>
      </c>
      <c r="D44" s="375" t="s">
        <v>1213</v>
      </c>
      <c r="E44" s="375" t="s">
        <v>1328</v>
      </c>
      <c r="F44" s="1545" t="s">
        <v>1214</v>
      </c>
      <c r="G44" s="1546">
        <v>207.2</v>
      </c>
      <c r="H44" s="1546">
        <v>206</v>
      </c>
      <c r="I44" s="1546">
        <v>205</v>
      </c>
      <c r="J44" s="1545" t="s">
        <v>1214</v>
      </c>
      <c r="K44" s="1545" t="s">
        <v>1215</v>
      </c>
      <c r="L44" s="365"/>
    </row>
    <row r="45" spans="2:12" ht="39.6">
      <c r="B45" s="376"/>
      <c r="C45" s="1605" t="s">
        <v>1216</v>
      </c>
      <c r="D45" s="1599" t="s">
        <v>1217</v>
      </c>
      <c r="E45" s="375" t="s">
        <v>1218</v>
      </c>
      <c r="F45" s="1545" t="s">
        <v>1220</v>
      </c>
      <c r="G45" s="1546">
        <v>50</v>
      </c>
      <c r="H45" s="1546">
        <v>55</v>
      </c>
      <c r="I45" s="1546">
        <v>60</v>
      </c>
      <c r="J45" s="1545" t="s">
        <v>1220</v>
      </c>
      <c r="K45" s="1545" t="s">
        <v>1329</v>
      </c>
      <c r="L45" s="365"/>
    </row>
    <row r="46" spans="2:12" ht="39.6">
      <c r="B46" s="364"/>
      <c r="C46" s="1607"/>
      <c r="D46" s="1600"/>
      <c r="E46" s="375" t="s">
        <v>1219</v>
      </c>
      <c r="F46" s="1545" t="s">
        <v>1221</v>
      </c>
      <c r="G46" s="1546">
        <v>12</v>
      </c>
      <c r="H46" s="1546">
        <v>15</v>
      </c>
      <c r="I46" s="1546">
        <v>17</v>
      </c>
      <c r="J46" s="1545" t="s">
        <v>1221</v>
      </c>
      <c r="K46" s="1545" t="s">
        <v>1330</v>
      </c>
      <c r="L46" s="365"/>
    </row>
    <row r="47" spans="2:12" ht="39.75" customHeight="1">
      <c r="B47" s="376"/>
      <c r="C47" s="379" t="s">
        <v>1331</v>
      </c>
      <c r="D47" s="380" t="s">
        <v>1227</v>
      </c>
      <c r="E47" s="380" t="s">
        <v>1223</v>
      </c>
      <c r="F47" s="1544" t="s">
        <v>1224</v>
      </c>
      <c r="G47" s="1547">
        <v>8</v>
      </c>
      <c r="H47" s="1547">
        <v>9</v>
      </c>
      <c r="I47" s="1547">
        <v>9</v>
      </c>
      <c r="J47" s="1544" t="s">
        <v>1224</v>
      </c>
      <c r="K47" s="1544" t="s">
        <v>1225</v>
      </c>
      <c r="L47" s="365"/>
    </row>
    <row r="48" spans="2:12" ht="54" customHeight="1">
      <c r="B48" s="376"/>
      <c r="C48" s="374" t="s">
        <v>1226</v>
      </c>
      <c r="D48" s="375" t="s">
        <v>1227</v>
      </c>
      <c r="E48" s="375" t="s">
        <v>1332</v>
      </c>
      <c r="F48" s="1545" t="s">
        <v>1228</v>
      </c>
      <c r="G48" s="1546">
        <v>25</v>
      </c>
      <c r="H48" s="1546">
        <v>26</v>
      </c>
      <c r="I48" s="1546">
        <v>27</v>
      </c>
      <c r="J48" s="1545" t="s">
        <v>1228</v>
      </c>
      <c r="K48" s="1545" t="s">
        <v>1229</v>
      </c>
      <c r="L48" s="365"/>
    </row>
    <row r="49" spans="2:12" ht="33" customHeight="1">
      <c r="B49" s="376"/>
      <c r="C49" s="379" t="s">
        <v>1333</v>
      </c>
      <c r="D49" s="380" t="s">
        <v>1230</v>
      </c>
      <c r="E49" s="380" t="s">
        <v>1231</v>
      </c>
      <c r="F49" s="1544" t="s">
        <v>1232</v>
      </c>
      <c r="G49" s="1547">
        <v>12</v>
      </c>
      <c r="H49" s="1547">
        <v>12.5</v>
      </c>
      <c r="I49" s="1547">
        <v>12.7</v>
      </c>
      <c r="J49" s="1544" t="s">
        <v>1232</v>
      </c>
      <c r="K49" s="1544" t="s">
        <v>1233</v>
      </c>
      <c r="L49" s="365"/>
    </row>
    <row r="50" spans="2:12" ht="37.5" customHeight="1">
      <c r="B50" s="376"/>
      <c r="C50" s="374" t="s">
        <v>1234</v>
      </c>
      <c r="D50" s="375" t="s">
        <v>1235</v>
      </c>
      <c r="E50" s="375" t="s">
        <v>1236</v>
      </c>
      <c r="F50" s="1545" t="s">
        <v>1109</v>
      </c>
      <c r="G50" s="1546">
        <v>0</v>
      </c>
      <c r="H50" s="1546">
        <v>0</v>
      </c>
      <c r="I50" s="1546">
        <v>1</v>
      </c>
      <c r="J50" s="1545" t="s">
        <v>1109</v>
      </c>
      <c r="K50" s="1545" t="s">
        <v>1128</v>
      </c>
      <c r="L50" s="365"/>
    </row>
    <row r="51" spans="2:12" ht="26.4">
      <c r="B51" s="376"/>
      <c r="C51" s="374" t="s">
        <v>1237</v>
      </c>
      <c r="D51" s="375" t="s">
        <v>1238</v>
      </c>
      <c r="E51" s="375" t="s">
        <v>1239</v>
      </c>
      <c r="F51" s="1545" t="s">
        <v>1240</v>
      </c>
      <c r="G51" s="1546">
        <v>2</v>
      </c>
      <c r="H51" s="1546">
        <v>4</v>
      </c>
      <c r="I51" s="1546">
        <v>6</v>
      </c>
      <c r="J51" s="1545" t="s">
        <v>1240</v>
      </c>
      <c r="K51" s="1545" t="s">
        <v>1241</v>
      </c>
      <c r="L51" s="365"/>
    </row>
    <row r="52" spans="2:12" ht="91.5" customHeight="1">
      <c r="B52" s="376"/>
      <c r="C52" s="379" t="s">
        <v>1364</v>
      </c>
      <c r="D52" s="380" t="s">
        <v>1243</v>
      </c>
      <c r="E52" s="380" t="s">
        <v>1207</v>
      </c>
      <c r="F52" s="1544" t="s">
        <v>1191</v>
      </c>
      <c r="G52" s="1547">
        <v>10</v>
      </c>
      <c r="H52" s="1547">
        <v>12</v>
      </c>
      <c r="I52" s="1547">
        <v>15</v>
      </c>
      <c r="J52" s="1544" t="s">
        <v>1191</v>
      </c>
      <c r="K52" s="1544" t="s">
        <v>1126</v>
      </c>
      <c r="L52" s="365"/>
    </row>
    <row r="53" spans="2:12" ht="26.4">
      <c r="B53" s="376"/>
      <c r="C53" s="374" t="s">
        <v>1244</v>
      </c>
      <c r="D53" s="375" t="s">
        <v>1245</v>
      </c>
      <c r="E53" s="375" t="s">
        <v>1246</v>
      </c>
      <c r="F53" s="1545" t="s">
        <v>1242</v>
      </c>
      <c r="G53" s="1546">
        <v>85</v>
      </c>
      <c r="H53" s="1546">
        <v>85</v>
      </c>
      <c r="I53" s="1546">
        <v>85</v>
      </c>
      <c r="J53" s="1545" t="s">
        <v>1242</v>
      </c>
      <c r="K53" s="1545" t="s">
        <v>1106</v>
      </c>
      <c r="L53" s="365"/>
    </row>
    <row r="54" spans="2:12" ht="39.6">
      <c r="B54" s="376"/>
      <c r="C54" s="374" t="s">
        <v>1247</v>
      </c>
      <c r="D54" s="375" t="s">
        <v>1248</v>
      </c>
      <c r="E54" s="375" t="s">
        <v>1249</v>
      </c>
      <c r="F54" s="1545" t="s">
        <v>1114</v>
      </c>
      <c r="G54" s="1546">
        <v>0</v>
      </c>
      <c r="H54" s="1546">
        <v>0.1</v>
      </c>
      <c r="I54" s="1546">
        <v>0.3</v>
      </c>
      <c r="J54" s="1545" t="s">
        <v>1114</v>
      </c>
      <c r="K54" s="1545" t="s">
        <v>1115</v>
      </c>
      <c r="L54" s="365"/>
    </row>
    <row r="55" spans="2:12" ht="39.6">
      <c r="B55" s="376"/>
      <c r="C55" s="374" t="s">
        <v>1250</v>
      </c>
      <c r="D55" s="375" t="s">
        <v>1251</v>
      </c>
      <c r="E55" s="375" t="s">
        <v>1334</v>
      </c>
      <c r="F55" s="1545" t="s">
        <v>1109</v>
      </c>
      <c r="G55" s="1546">
        <v>2</v>
      </c>
      <c r="H55" s="1546">
        <v>3</v>
      </c>
      <c r="I55" s="1546">
        <v>5</v>
      </c>
      <c r="J55" s="1545" t="s">
        <v>1109</v>
      </c>
      <c r="K55" s="1545" t="s">
        <v>1106</v>
      </c>
      <c r="L55" s="365"/>
    </row>
    <row r="56" spans="2:12" ht="52.5" customHeight="1">
      <c r="B56" s="376"/>
      <c r="C56" s="379" t="s">
        <v>1335</v>
      </c>
      <c r="D56" s="380" t="s">
        <v>1252</v>
      </c>
      <c r="E56" s="380" t="s">
        <v>1336</v>
      </c>
      <c r="F56" s="1544" t="s">
        <v>1109</v>
      </c>
      <c r="G56" s="1547">
        <v>60</v>
      </c>
      <c r="H56" s="1547">
        <v>70</v>
      </c>
      <c r="I56" s="1547">
        <v>75</v>
      </c>
      <c r="J56" s="1544" t="s">
        <v>1109</v>
      </c>
      <c r="K56" s="1544" t="s">
        <v>1253</v>
      </c>
      <c r="L56" s="365"/>
    </row>
    <row r="57" spans="2:12" ht="26.4">
      <c r="B57" s="376"/>
      <c r="C57" s="374" t="s">
        <v>1254</v>
      </c>
      <c r="D57" s="375" t="s">
        <v>1255</v>
      </c>
      <c r="E57" s="375" t="s">
        <v>1256</v>
      </c>
      <c r="F57" s="1545" t="s">
        <v>1257</v>
      </c>
      <c r="G57" s="1546">
        <v>30</v>
      </c>
      <c r="H57" s="1546">
        <v>40</v>
      </c>
      <c r="I57" s="1546">
        <v>50</v>
      </c>
      <c r="J57" s="1545" t="s">
        <v>1257</v>
      </c>
      <c r="K57" s="1545" t="s">
        <v>1258</v>
      </c>
      <c r="L57" s="365"/>
    </row>
    <row r="58" spans="2:12" ht="33.75" customHeight="1">
      <c r="B58" s="376"/>
      <c r="C58" s="374" t="s">
        <v>1259</v>
      </c>
      <c r="D58" s="375" t="s">
        <v>1260</v>
      </c>
      <c r="E58" s="375" t="s">
        <v>1261</v>
      </c>
      <c r="F58" s="1545" t="s">
        <v>1109</v>
      </c>
      <c r="G58" s="1546">
        <v>0</v>
      </c>
      <c r="H58" s="1546">
        <v>0</v>
      </c>
      <c r="I58" s="1546">
        <v>0</v>
      </c>
      <c r="J58" s="1545" t="s">
        <v>1109</v>
      </c>
      <c r="K58" s="1545" t="s">
        <v>1262</v>
      </c>
      <c r="L58" s="365"/>
    </row>
    <row r="59" spans="2:12" ht="51" customHeight="1">
      <c r="B59" s="376"/>
      <c r="C59" s="1605" t="s">
        <v>1263</v>
      </c>
      <c r="D59" s="1599" t="s">
        <v>1264</v>
      </c>
      <c r="E59" s="1599" t="s">
        <v>1265</v>
      </c>
      <c r="F59" s="1611" t="s">
        <v>1266</v>
      </c>
      <c r="G59" s="1597">
        <v>3486</v>
      </c>
      <c r="H59" s="1597">
        <v>3486</v>
      </c>
      <c r="I59" s="1597">
        <v>3486</v>
      </c>
      <c r="J59" s="1611" t="s">
        <v>1266</v>
      </c>
      <c r="K59" s="1612" t="s">
        <v>1365</v>
      </c>
      <c r="L59" s="365"/>
    </row>
    <row r="60" spans="2:12">
      <c r="B60" s="364"/>
      <c r="C60" s="1606"/>
      <c r="D60" s="1608"/>
      <c r="E60" s="1608"/>
      <c r="F60" s="1611"/>
      <c r="G60" s="1598"/>
      <c r="H60" s="1598"/>
      <c r="I60" s="1598"/>
      <c r="J60" s="1611"/>
      <c r="K60" s="1613"/>
      <c r="L60" s="365"/>
    </row>
    <row r="61" spans="2:12" ht="37.5" customHeight="1">
      <c r="B61" s="364"/>
      <c r="C61" s="1606"/>
      <c r="D61" s="1608"/>
      <c r="E61" s="1608"/>
      <c r="F61" s="1545" t="s">
        <v>1359</v>
      </c>
      <c r="G61" s="1546">
        <v>469</v>
      </c>
      <c r="H61" s="1546">
        <v>500</v>
      </c>
      <c r="I61" s="1546">
        <v>500</v>
      </c>
      <c r="J61" s="1545" t="s">
        <v>1359</v>
      </c>
      <c r="K61" s="1545" t="s">
        <v>1360</v>
      </c>
      <c r="L61" s="365"/>
    </row>
    <row r="62" spans="2:12" ht="60" customHeight="1">
      <c r="B62" s="364"/>
      <c r="C62" s="1606"/>
      <c r="D62" s="1608"/>
      <c r="E62" s="1608"/>
      <c r="F62" s="1612" t="s">
        <v>1361</v>
      </c>
      <c r="G62" s="1597" t="s">
        <v>3853</v>
      </c>
      <c r="H62" s="1597" t="s">
        <v>3853</v>
      </c>
      <c r="I62" s="1597" t="s">
        <v>3853</v>
      </c>
      <c r="J62" s="1612" t="s">
        <v>1361</v>
      </c>
      <c r="K62" s="1612" t="s">
        <v>1362</v>
      </c>
      <c r="L62" s="365"/>
    </row>
    <row r="63" spans="2:12">
      <c r="B63" s="364"/>
      <c r="C63" s="1607"/>
      <c r="D63" s="1600"/>
      <c r="E63" s="1600"/>
      <c r="F63" s="1613"/>
      <c r="G63" s="1598"/>
      <c r="H63" s="1598"/>
      <c r="I63" s="1598"/>
      <c r="J63" s="1613"/>
      <c r="K63" s="1613"/>
      <c r="L63" s="365"/>
    </row>
    <row r="64" spans="2:12" ht="39.6">
      <c r="B64" s="364"/>
      <c r="C64" s="379" t="s">
        <v>1337</v>
      </c>
      <c r="D64" s="380" t="s">
        <v>3262</v>
      </c>
      <c r="E64" s="380" t="s">
        <v>1338</v>
      </c>
      <c r="F64" s="1547" t="s">
        <v>1267</v>
      </c>
      <c r="G64" s="1547">
        <v>135</v>
      </c>
      <c r="H64" s="1547">
        <v>130</v>
      </c>
      <c r="I64" s="1547">
        <v>125</v>
      </c>
      <c r="J64" s="1547" t="s">
        <v>1267</v>
      </c>
      <c r="K64" s="1544" t="s">
        <v>1268</v>
      </c>
      <c r="L64" s="365"/>
    </row>
    <row r="65" spans="2:12" ht="26.4">
      <c r="B65" s="376"/>
      <c r="C65" s="374" t="s">
        <v>1269</v>
      </c>
      <c r="D65" s="375" t="s">
        <v>3135</v>
      </c>
      <c r="E65" s="375" t="s">
        <v>1339</v>
      </c>
      <c r="F65" s="1545" t="s">
        <v>1270</v>
      </c>
      <c r="G65" s="1546" t="s">
        <v>3165</v>
      </c>
      <c r="H65" s="1546">
        <v>8000</v>
      </c>
      <c r="I65" s="1546" t="s">
        <v>3165</v>
      </c>
      <c r="J65" s="1545" t="s">
        <v>1270</v>
      </c>
      <c r="K65" s="1545" t="s">
        <v>1271</v>
      </c>
      <c r="L65" s="365"/>
    </row>
    <row r="66" spans="2:12" ht="26.4">
      <c r="B66" s="376"/>
      <c r="C66" s="374" t="s">
        <v>1272</v>
      </c>
      <c r="D66" s="375" t="s">
        <v>1340</v>
      </c>
      <c r="E66" s="374" t="s">
        <v>1273</v>
      </c>
      <c r="F66" s="1545" t="s">
        <v>1274</v>
      </c>
      <c r="G66" s="1546">
        <v>2</v>
      </c>
      <c r="H66" s="1546">
        <v>2</v>
      </c>
      <c r="I66" s="1546">
        <v>1</v>
      </c>
      <c r="J66" s="1545" t="s">
        <v>1274</v>
      </c>
      <c r="K66" s="1545" t="s">
        <v>1222</v>
      </c>
      <c r="L66" s="365"/>
    </row>
    <row r="67" spans="2:12" ht="49.5" customHeight="1">
      <c r="B67" s="364"/>
      <c r="C67" s="374" t="s">
        <v>1275</v>
      </c>
      <c r="D67" s="375" t="s">
        <v>1276</v>
      </c>
      <c r="E67" s="375" t="s">
        <v>1341</v>
      </c>
      <c r="F67" s="1545" t="s">
        <v>1109</v>
      </c>
      <c r="G67" s="1546">
        <v>0.27</v>
      </c>
      <c r="H67" s="1546">
        <v>0.3</v>
      </c>
      <c r="I67" s="1546">
        <v>0</v>
      </c>
      <c r="J67" s="1545" t="s">
        <v>1109</v>
      </c>
      <c r="K67" s="1545" t="s">
        <v>1277</v>
      </c>
      <c r="L67" s="365"/>
    </row>
    <row r="68" spans="2:12" ht="61.5" customHeight="1">
      <c r="B68" s="364"/>
      <c r="C68" s="379" t="s">
        <v>1342</v>
      </c>
      <c r="D68" s="380" t="s">
        <v>1278</v>
      </c>
      <c r="E68" s="380" t="s">
        <v>1279</v>
      </c>
      <c r="F68" s="1544" t="s">
        <v>1280</v>
      </c>
      <c r="G68" s="1547">
        <v>19691</v>
      </c>
      <c r="H68" s="1547">
        <v>19887</v>
      </c>
      <c r="I68" s="1547">
        <v>20000</v>
      </c>
      <c r="J68" s="1544" t="s">
        <v>1280</v>
      </c>
      <c r="K68" s="1544" t="s">
        <v>1281</v>
      </c>
      <c r="L68" s="365"/>
    </row>
    <row r="69" spans="2:12" ht="26.4">
      <c r="B69" s="364"/>
      <c r="C69" s="374" t="s">
        <v>1282</v>
      </c>
      <c r="D69" s="375" t="s">
        <v>1283</v>
      </c>
      <c r="E69" s="375" t="s">
        <v>1284</v>
      </c>
      <c r="F69" s="1545" t="s">
        <v>1109</v>
      </c>
      <c r="G69" s="1546">
        <v>0</v>
      </c>
      <c r="H69" s="1546">
        <v>1</v>
      </c>
      <c r="I69" s="1546">
        <v>1</v>
      </c>
      <c r="J69" s="1545" t="s">
        <v>1109</v>
      </c>
      <c r="K69" s="1545" t="s">
        <v>1119</v>
      </c>
      <c r="L69" s="365"/>
    </row>
    <row r="70" spans="2:12" ht="26.4">
      <c r="B70" s="364"/>
      <c r="C70" s="374" t="s">
        <v>1285</v>
      </c>
      <c r="D70" s="375" t="s">
        <v>1286</v>
      </c>
      <c r="E70" s="375" t="s">
        <v>1287</v>
      </c>
      <c r="F70" s="1545" t="s">
        <v>1288</v>
      </c>
      <c r="G70" s="1546">
        <v>0</v>
      </c>
      <c r="H70" s="1546">
        <v>0</v>
      </c>
      <c r="I70" s="1546">
        <v>1</v>
      </c>
      <c r="J70" s="1545" t="s">
        <v>1288</v>
      </c>
      <c r="K70" s="1545" t="s">
        <v>1115</v>
      </c>
      <c r="L70" s="365"/>
    </row>
    <row r="71" spans="2:12" ht="31.5" customHeight="1">
      <c r="B71" s="376"/>
      <c r="C71" s="374" t="s">
        <v>1289</v>
      </c>
      <c r="D71" s="375" t="s">
        <v>1290</v>
      </c>
      <c r="E71" s="375" t="s">
        <v>1291</v>
      </c>
      <c r="F71" s="1545" t="s">
        <v>1109</v>
      </c>
      <c r="G71" s="1546">
        <v>0</v>
      </c>
      <c r="H71" s="1546">
        <v>0</v>
      </c>
      <c r="I71" s="1546">
        <v>0</v>
      </c>
      <c r="J71" s="1545" t="s">
        <v>1109</v>
      </c>
      <c r="K71" s="1545" t="s">
        <v>1128</v>
      </c>
      <c r="L71" s="365"/>
    </row>
    <row r="72" spans="2:12" ht="43.5" customHeight="1">
      <c r="B72" s="364"/>
      <c r="C72" s="379" t="s">
        <v>1343</v>
      </c>
      <c r="D72" s="380" t="s">
        <v>1292</v>
      </c>
      <c r="E72" s="380" t="s">
        <v>1293</v>
      </c>
      <c r="F72" s="1544" t="s">
        <v>1294</v>
      </c>
      <c r="G72" s="1547">
        <v>560</v>
      </c>
      <c r="H72" s="1547">
        <v>520</v>
      </c>
      <c r="I72" s="1547">
        <v>510</v>
      </c>
      <c r="J72" s="1544" t="s">
        <v>1294</v>
      </c>
      <c r="K72" s="1544" t="s">
        <v>1295</v>
      </c>
      <c r="L72" s="365"/>
    </row>
    <row r="73" spans="2:12" ht="26.4">
      <c r="B73" s="364"/>
      <c r="C73" s="374" t="s">
        <v>1296</v>
      </c>
      <c r="D73" s="375" t="s">
        <v>1297</v>
      </c>
      <c r="E73" s="375" t="s">
        <v>1344</v>
      </c>
      <c r="F73" s="1545" t="s">
        <v>1298</v>
      </c>
      <c r="G73" s="1546">
        <v>21</v>
      </c>
      <c r="H73" s="1546">
        <v>21</v>
      </c>
      <c r="I73" s="1546">
        <v>21</v>
      </c>
      <c r="J73" s="1545" t="s">
        <v>1298</v>
      </c>
      <c r="K73" s="1545" t="s">
        <v>1299</v>
      </c>
      <c r="L73" s="365"/>
    </row>
    <row r="74" spans="2:12" ht="38.25" customHeight="1">
      <c r="B74" s="364"/>
      <c r="C74" s="1605" t="s">
        <v>1300</v>
      </c>
      <c r="D74" s="1599" t="s">
        <v>1301</v>
      </c>
      <c r="E74" s="375" t="s">
        <v>1302</v>
      </c>
      <c r="F74" s="1545" t="s">
        <v>1303</v>
      </c>
      <c r="G74" s="1546">
        <v>80</v>
      </c>
      <c r="H74" s="1546">
        <v>80</v>
      </c>
      <c r="I74" s="1546">
        <v>84</v>
      </c>
      <c r="J74" s="1545" t="s">
        <v>1303</v>
      </c>
      <c r="K74" s="1545" t="s">
        <v>1155</v>
      </c>
      <c r="L74" s="365"/>
    </row>
    <row r="75" spans="2:12" ht="39.6">
      <c r="B75" s="364"/>
      <c r="C75" s="1606"/>
      <c r="D75" s="1608"/>
      <c r="E75" s="375" t="s">
        <v>1304</v>
      </c>
      <c r="F75" s="1545" t="s">
        <v>1109</v>
      </c>
      <c r="G75" s="1546">
        <v>2</v>
      </c>
      <c r="H75" s="1546">
        <v>3</v>
      </c>
      <c r="I75" s="1546">
        <v>4</v>
      </c>
      <c r="J75" s="1545" t="s">
        <v>1109</v>
      </c>
      <c r="K75" s="1545" t="s">
        <v>1127</v>
      </c>
      <c r="L75" s="365"/>
    </row>
    <row r="76" spans="2:12" ht="37.5" customHeight="1">
      <c r="B76" s="364"/>
      <c r="C76" s="1607"/>
      <c r="D76" s="1600"/>
      <c r="E76" s="375" t="s">
        <v>1305</v>
      </c>
      <c r="F76" s="1545" t="s">
        <v>1118</v>
      </c>
      <c r="G76" s="1546">
        <v>2</v>
      </c>
      <c r="H76" s="1546">
        <v>3</v>
      </c>
      <c r="I76" s="1546">
        <v>4</v>
      </c>
      <c r="J76" s="1545" t="s">
        <v>1118</v>
      </c>
      <c r="K76" s="1545" t="s">
        <v>1161</v>
      </c>
      <c r="L76" s="365"/>
    </row>
    <row r="77" spans="2:12" ht="51" customHeight="1">
      <c r="B77" s="364"/>
      <c r="C77" s="1605" t="s">
        <v>1306</v>
      </c>
      <c r="D77" s="1599" t="s">
        <v>1307</v>
      </c>
      <c r="E77" s="375" t="s">
        <v>1345</v>
      </c>
      <c r="F77" s="1545" t="s">
        <v>1308</v>
      </c>
      <c r="G77" s="1546">
        <v>0.80700000000000005</v>
      </c>
      <c r="H77" s="1546">
        <v>0.246</v>
      </c>
      <c r="I77" s="1546">
        <v>1.8759999999999999</v>
      </c>
      <c r="J77" s="1545" t="s">
        <v>1308</v>
      </c>
      <c r="K77" s="1545" t="s">
        <v>1309</v>
      </c>
      <c r="L77" s="365"/>
    </row>
    <row r="78" spans="2:12" ht="26.4">
      <c r="B78" s="364"/>
      <c r="C78" s="1606"/>
      <c r="D78" s="1608"/>
      <c r="E78" s="375" t="s">
        <v>1310</v>
      </c>
      <c r="F78" s="1545" t="s">
        <v>1311</v>
      </c>
      <c r="G78" s="1546">
        <v>1.2949999999999999</v>
      </c>
      <c r="H78" s="1546">
        <v>2.512</v>
      </c>
      <c r="I78" s="1546">
        <v>2</v>
      </c>
      <c r="J78" s="1545" t="s">
        <v>1311</v>
      </c>
      <c r="K78" s="1545" t="s">
        <v>1312</v>
      </c>
      <c r="L78" s="365"/>
    </row>
    <row r="79" spans="2:12" ht="27" thickBot="1">
      <c r="B79" s="364"/>
      <c r="C79" s="1607"/>
      <c r="D79" s="1600"/>
      <c r="E79" s="375" t="s">
        <v>1313</v>
      </c>
      <c r="F79" s="1545" t="s">
        <v>1109</v>
      </c>
      <c r="G79" s="1546">
        <v>1</v>
      </c>
      <c r="H79" s="1546">
        <v>0</v>
      </c>
      <c r="I79" s="1546">
        <v>0</v>
      </c>
      <c r="J79" s="1545" t="s">
        <v>1109</v>
      </c>
      <c r="K79" s="1545" t="s">
        <v>1314</v>
      </c>
      <c r="L79" s="365"/>
    </row>
    <row r="80" spans="2:12" ht="107.4" customHeight="1">
      <c r="B80" s="364"/>
      <c r="C80" s="1597" t="s">
        <v>1316</v>
      </c>
      <c r="D80" s="1599" t="s">
        <v>1346</v>
      </c>
      <c r="E80" s="375" t="s">
        <v>1317</v>
      </c>
      <c r="F80" s="1545" t="s">
        <v>1318</v>
      </c>
      <c r="G80" s="1548" t="s">
        <v>3248</v>
      </c>
      <c r="H80" s="1549" t="s">
        <v>3249</v>
      </c>
      <c r="I80" s="1549" t="s">
        <v>3250</v>
      </c>
      <c r="J80" s="1545" t="s">
        <v>1318</v>
      </c>
      <c r="K80" s="1545" t="s">
        <v>1154</v>
      </c>
      <c r="L80" s="365"/>
    </row>
    <row r="81" spans="2:22" ht="102.6" customHeight="1" thickBot="1">
      <c r="B81" s="364"/>
      <c r="C81" s="1598"/>
      <c r="D81" s="1600"/>
      <c r="E81" s="375" t="s">
        <v>1319</v>
      </c>
      <c r="F81" s="1545" t="s">
        <v>1320</v>
      </c>
      <c r="G81" s="1550" t="s">
        <v>3251</v>
      </c>
      <c r="H81" s="1550" t="s">
        <v>3252</v>
      </c>
      <c r="I81" s="1550" t="s">
        <v>3253</v>
      </c>
      <c r="J81" s="1545" t="s">
        <v>1320</v>
      </c>
      <c r="K81" s="1545" t="s">
        <v>1321</v>
      </c>
      <c r="L81" s="365"/>
    </row>
    <row r="82" spans="2:22" ht="42.75" customHeight="1">
      <c r="B82" s="364"/>
      <c r="C82" s="374" t="s">
        <v>1322</v>
      </c>
      <c r="D82" s="375" t="s">
        <v>1347</v>
      </c>
      <c r="E82" s="375" t="s">
        <v>1323</v>
      </c>
      <c r="F82" s="1545" t="s">
        <v>1240</v>
      </c>
      <c r="G82" s="1546">
        <v>0</v>
      </c>
      <c r="H82" s="1546">
        <v>0</v>
      </c>
      <c r="I82" s="1546">
        <v>1</v>
      </c>
      <c r="J82" s="1545" t="s">
        <v>1240</v>
      </c>
      <c r="K82" s="1545" t="s">
        <v>1315</v>
      </c>
      <c r="L82" s="365"/>
      <c r="V82" s="377"/>
    </row>
    <row r="83" spans="2:22">
      <c r="B83" s="364"/>
      <c r="L83" s="365"/>
    </row>
    <row r="84" spans="2:22">
      <c r="B84" s="364"/>
      <c r="L84" s="365"/>
    </row>
    <row r="85" spans="2:22">
      <c r="B85" s="364"/>
      <c r="L85" s="365"/>
    </row>
    <row r="86" spans="2:22">
      <c r="B86" s="364"/>
      <c r="L86" s="365"/>
    </row>
    <row r="87" spans="2:22" ht="13.8" thickBot="1">
      <c r="B87" s="366"/>
      <c r="C87" s="367"/>
      <c r="D87" s="367"/>
      <c r="E87" s="367"/>
      <c r="F87" s="1551"/>
      <c r="G87" s="1551"/>
      <c r="H87" s="1551"/>
      <c r="I87" s="1551"/>
      <c r="J87" s="1551"/>
      <c r="K87" s="1551"/>
      <c r="L87" s="368"/>
    </row>
  </sheetData>
  <sheetProtection algorithmName="SHA-512" hashValue="Uo4D7F9MyULnOe+nt5+Fg1c5I5Nnp2U++CaUEtUr10iAEZG/9OSSb7KDWXF1Jp3eVnij69OySRbZuYUqUfKAvw==" saltValue="3x8OHAWxUKsk/2wQlRX1KA==" spinCount="100000" sheet="1" objects="1" scenarios="1"/>
  <mergeCells count="39">
    <mergeCell ref="H62:H63"/>
    <mergeCell ref="I62:I63"/>
    <mergeCell ref="C11:C12"/>
    <mergeCell ref="C14:C16"/>
    <mergeCell ref="D14:D16"/>
    <mergeCell ref="C23:C24"/>
    <mergeCell ref="D23:D24"/>
    <mergeCell ref="C59:C63"/>
    <mergeCell ref="D59:D63"/>
    <mergeCell ref="C7:C8"/>
    <mergeCell ref="J7:J8"/>
    <mergeCell ref="K7:K8"/>
    <mergeCell ref="J59:J60"/>
    <mergeCell ref="F59:F60"/>
    <mergeCell ref="J62:J63"/>
    <mergeCell ref="K62:K63"/>
    <mergeCell ref="K59:K60"/>
    <mergeCell ref="E59:E63"/>
    <mergeCell ref="G59:G60"/>
    <mergeCell ref="H59:H60"/>
    <mergeCell ref="I59:I60"/>
    <mergeCell ref="F62:F63"/>
    <mergeCell ref="G62:G63"/>
    <mergeCell ref="C6:D6"/>
    <mergeCell ref="B3:L3"/>
    <mergeCell ref="B4:L4"/>
    <mergeCell ref="C80:C81"/>
    <mergeCell ref="D80:D81"/>
    <mergeCell ref="D11:D12"/>
    <mergeCell ref="F7:F8"/>
    <mergeCell ref="G7:I7"/>
    <mergeCell ref="C77:C79"/>
    <mergeCell ref="D77:D79"/>
    <mergeCell ref="C74:C76"/>
    <mergeCell ref="D74:D76"/>
    <mergeCell ref="D7:D8"/>
    <mergeCell ref="E7:E8"/>
    <mergeCell ref="C45:C46"/>
    <mergeCell ref="D45:D4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2FD3D-7FBD-44AB-B0DC-E15D5EF00E31}">
  <sheetPr>
    <pageSetUpPr fitToPage="1"/>
  </sheetPr>
  <dimension ref="A2:O54"/>
  <sheetViews>
    <sheetView zoomScale="126" zoomScaleNormal="126" workbookViewId="0">
      <selection activeCell="W10" sqref="W10"/>
    </sheetView>
  </sheetViews>
  <sheetFormatPr defaultColWidth="8.88671875" defaultRowHeight="13.2"/>
  <cols>
    <col min="1" max="1" width="8.88671875" style="474"/>
    <col min="2" max="2" width="10.44140625" style="474" customWidth="1"/>
    <col min="3" max="16384" width="8.88671875" style="474"/>
  </cols>
  <sheetData>
    <row r="2" spans="1:15" ht="13.8" thickBot="1"/>
    <row r="3" spans="1:15" ht="39" customHeight="1">
      <c r="B3" s="1621" t="s">
        <v>1366</v>
      </c>
      <c r="C3" s="1622"/>
      <c r="D3" s="1622"/>
      <c r="E3" s="1622"/>
      <c r="F3" s="1622"/>
      <c r="G3" s="1622"/>
      <c r="H3" s="1622"/>
      <c r="I3" s="1622"/>
      <c r="J3" s="1622"/>
      <c r="K3" s="1622"/>
      <c r="L3" s="1622"/>
      <c r="M3" s="1622"/>
      <c r="N3" s="1622"/>
      <c r="O3" s="1623"/>
    </row>
    <row r="4" spans="1:15">
      <c r="B4" s="1624"/>
      <c r="C4" s="1625"/>
      <c r="D4" s="1625"/>
      <c r="E4" s="1625"/>
      <c r="F4" s="1625"/>
      <c r="G4" s="1625"/>
      <c r="H4" s="1625"/>
      <c r="I4" s="1625"/>
      <c r="J4" s="1625"/>
      <c r="K4" s="1625"/>
      <c r="L4" s="1625"/>
      <c r="M4" s="1625"/>
      <c r="N4" s="1625"/>
      <c r="O4" s="1626"/>
    </row>
    <row r="5" spans="1:15" ht="72" customHeight="1">
      <c r="B5" s="476"/>
      <c r="C5" s="1616" t="s">
        <v>3299</v>
      </c>
      <c r="D5" s="1616"/>
      <c r="E5" s="1616"/>
      <c r="F5" s="1616"/>
      <c r="G5" s="1616"/>
      <c r="H5" s="1616"/>
      <c r="I5" s="1616"/>
      <c r="J5" s="1616"/>
      <c r="K5" s="1616"/>
      <c r="L5" s="1616"/>
      <c r="M5" s="1616"/>
      <c r="N5" s="1616"/>
      <c r="O5" s="477"/>
    </row>
    <row r="6" spans="1:15" ht="23.4" customHeight="1" thickBot="1">
      <c r="A6" s="478"/>
      <c r="B6" s="479"/>
      <c r="C6" s="1615" t="s">
        <v>3488</v>
      </c>
      <c r="D6" s="1615"/>
      <c r="E6" s="1615"/>
      <c r="F6" s="1615"/>
      <c r="G6" s="1615"/>
      <c r="H6" s="1615"/>
      <c r="I6" s="1615"/>
      <c r="J6" s="1615"/>
      <c r="K6" s="1615"/>
      <c r="L6" s="1615"/>
      <c r="M6" s="1615"/>
      <c r="N6" s="1615"/>
      <c r="O6" s="477"/>
    </row>
    <row r="7" spans="1:15" ht="17.25" customHeight="1" thickBot="1">
      <c r="A7" s="478"/>
      <c r="B7" s="532" t="s">
        <v>3489</v>
      </c>
      <c r="C7" s="1619" t="s">
        <v>3490</v>
      </c>
      <c r="D7" s="1619"/>
      <c r="E7" s="1619"/>
      <c r="F7" s="1619"/>
      <c r="G7" s="1619"/>
      <c r="H7" s="1619"/>
      <c r="I7" s="1619"/>
      <c r="J7" s="1619"/>
      <c r="K7" s="1619"/>
      <c r="L7" s="1619"/>
      <c r="M7" s="1619"/>
      <c r="N7" s="1620"/>
      <c r="O7" s="477"/>
    </row>
    <row r="8" spans="1:15" ht="15.6" customHeight="1">
      <c r="A8" s="478"/>
      <c r="B8" s="473" t="s">
        <v>3263</v>
      </c>
      <c r="C8" s="1627" t="str">
        <f>'II skyrius'!D10</f>
        <v xml:space="preserve">Gerinti  investicinės aplinkos patrauklumą ir didinti ekonominį potencialą </v>
      </c>
      <c r="D8" s="1627"/>
      <c r="E8" s="1627"/>
      <c r="F8" s="1627"/>
      <c r="G8" s="1627"/>
      <c r="H8" s="1627"/>
      <c r="I8" s="1627"/>
      <c r="J8" s="1627"/>
      <c r="K8" s="1627"/>
      <c r="L8" s="1627"/>
      <c r="M8" s="1627"/>
      <c r="N8" s="1627"/>
      <c r="O8" s="475"/>
    </row>
    <row r="9" spans="1:15" ht="22.95" customHeight="1">
      <c r="A9" s="478"/>
      <c r="B9" s="480"/>
      <c r="C9" s="1617" t="s">
        <v>3298</v>
      </c>
      <c r="D9" s="1617"/>
      <c r="E9" s="1617"/>
      <c r="F9" s="1617"/>
      <c r="G9" s="1617"/>
      <c r="H9" s="1617"/>
      <c r="I9" s="1617"/>
      <c r="J9" s="1617"/>
      <c r="K9" s="1617"/>
      <c r="L9" s="1617"/>
      <c r="M9" s="1617"/>
      <c r="N9" s="1617"/>
      <c r="O9" s="475"/>
    </row>
    <row r="10" spans="1:15" ht="22.95" customHeight="1">
      <c r="A10" s="478"/>
      <c r="B10" s="480"/>
      <c r="C10" s="1617" t="s">
        <v>1617</v>
      </c>
      <c r="D10" s="1617"/>
      <c r="E10" s="1617"/>
      <c r="F10" s="1617"/>
      <c r="G10" s="1617"/>
      <c r="H10" s="1617"/>
      <c r="I10" s="1617"/>
      <c r="J10" s="1617"/>
      <c r="K10" s="1617"/>
      <c r="L10" s="1617"/>
      <c r="M10" s="1617"/>
      <c r="N10" s="1617"/>
      <c r="O10" s="475"/>
    </row>
    <row r="11" spans="1:15" ht="13.95" customHeight="1">
      <c r="A11" s="478"/>
      <c r="B11" s="473" t="s">
        <v>3265</v>
      </c>
      <c r="C11" s="1615" t="str">
        <f>'II skyrius'!D18</f>
        <v xml:space="preserve"> Didinti turistinį savivaldybės patrauklumą, teikiant viešąsias paslaugas bei plėtojant viešąją turizmo infrastruktūrą</v>
      </c>
      <c r="D11" s="1615"/>
      <c r="E11" s="1615"/>
      <c r="F11" s="1615"/>
      <c r="G11" s="1615"/>
      <c r="H11" s="1615"/>
      <c r="I11" s="1615"/>
      <c r="J11" s="1615"/>
      <c r="K11" s="1615"/>
      <c r="L11" s="1615"/>
      <c r="M11" s="1615"/>
      <c r="N11" s="1615"/>
      <c r="O11" s="475"/>
    </row>
    <row r="12" spans="1:15" ht="13.95" customHeight="1">
      <c r="A12" s="478"/>
      <c r="B12" s="480"/>
      <c r="C12" s="1617" t="s">
        <v>3264</v>
      </c>
      <c r="D12" s="1617"/>
      <c r="E12" s="1617"/>
      <c r="F12" s="1617"/>
      <c r="G12" s="1617"/>
      <c r="H12" s="1617"/>
      <c r="I12" s="1617"/>
      <c r="J12" s="1617"/>
      <c r="K12" s="1617"/>
      <c r="L12" s="1617"/>
      <c r="M12" s="1617"/>
      <c r="N12" s="1617"/>
      <c r="O12" s="475"/>
    </row>
    <row r="13" spans="1:15" ht="22.2" customHeight="1">
      <c r="A13" s="478"/>
      <c r="B13" s="480"/>
      <c r="C13" s="1617" t="s">
        <v>3890</v>
      </c>
      <c r="D13" s="1617"/>
      <c r="E13" s="1617"/>
      <c r="F13" s="1617"/>
      <c r="G13" s="1617"/>
      <c r="H13" s="1617"/>
      <c r="I13" s="1617"/>
      <c r="J13" s="1617"/>
      <c r="K13" s="1617"/>
      <c r="L13" s="1617"/>
      <c r="M13" s="1617"/>
      <c r="N13" s="1617"/>
      <c r="O13" s="475"/>
    </row>
    <row r="14" spans="1:15" ht="15.6" customHeight="1" thickBot="1">
      <c r="A14" s="478"/>
      <c r="B14" s="480"/>
      <c r="C14" s="1617" t="s">
        <v>1997</v>
      </c>
      <c r="D14" s="1617"/>
      <c r="E14" s="1617"/>
      <c r="F14" s="1617"/>
      <c r="G14" s="1617"/>
      <c r="H14" s="1617"/>
      <c r="I14" s="1617"/>
      <c r="J14" s="1617"/>
      <c r="K14" s="1617"/>
      <c r="L14" s="1617"/>
      <c r="M14" s="1617"/>
      <c r="N14" s="1617"/>
      <c r="O14" s="475"/>
    </row>
    <row r="15" spans="1:15" ht="15.6" customHeight="1" thickBot="1">
      <c r="A15" s="478"/>
      <c r="B15" s="533" t="s">
        <v>3491</v>
      </c>
      <c r="C15" s="1619" t="s">
        <v>3492</v>
      </c>
      <c r="D15" s="1619"/>
      <c r="E15" s="1619"/>
      <c r="F15" s="1619"/>
      <c r="G15" s="1619"/>
      <c r="H15" s="1619"/>
      <c r="I15" s="1619"/>
      <c r="J15" s="1619"/>
      <c r="K15" s="1619"/>
      <c r="L15" s="1619"/>
      <c r="M15" s="1619"/>
      <c r="N15" s="1620"/>
      <c r="O15" s="475"/>
    </row>
    <row r="16" spans="1:15" ht="38.4" customHeight="1">
      <c r="A16" s="478"/>
      <c r="B16" s="473" t="s">
        <v>3266</v>
      </c>
      <c r="C16" s="1615" t="str">
        <f>'II skyrius'!D22</f>
        <v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v>
      </c>
      <c r="D16" s="1615"/>
      <c r="E16" s="1615"/>
      <c r="F16" s="1615"/>
      <c r="G16" s="1615"/>
      <c r="H16" s="1615"/>
      <c r="I16" s="1615"/>
      <c r="J16" s="1615"/>
      <c r="K16" s="1615"/>
      <c r="L16" s="1615"/>
      <c r="M16" s="1615"/>
      <c r="N16" s="1615"/>
      <c r="O16" s="475"/>
    </row>
    <row r="17" spans="1:15" ht="13.95" customHeight="1">
      <c r="A17" s="478"/>
      <c r="B17" s="480"/>
      <c r="C17" s="1617" t="s">
        <v>3267</v>
      </c>
      <c r="D17" s="1617"/>
      <c r="E17" s="1617"/>
      <c r="F17" s="1617"/>
      <c r="G17" s="1617"/>
      <c r="H17" s="1617"/>
      <c r="I17" s="1617"/>
      <c r="J17" s="1617"/>
      <c r="K17" s="1617"/>
      <c r="L17" s="1617"/>
      <c r="M17" s="1617"/>
      <c r="N17" s="1617"/>
      <c r="O17" s="475"/>
    </row>
    <row r="18" spans="1:15" ht="13.2" customHeight="1">
      <c r="A18" s="478"/>
      <c r="B18" s="480"/>
      <c r="C18" s="1618" t="s">
        <v>3268</v>
      </c>
      <c r="D18" s="1618"/>
      <c r="E18" s="1618"/>
      <c r="F18" s="1618"/>
      <c r="G18" s="1618"/>
      <c r="H18" s="1618"/>
      <c r="I18" s="1618"/>
      <c r="J18" s="1618"/>
      <c r="K18" s="1618"/>
      <c r="L18" s="1618"/>
      <c r="M18" s="1618"/>
      <c r="N18" s="1618"/>
      <c r="O18" s="475"/>
    </row>
    <row r="19" spans="1:15" ht="12" customHeight="1">
      <c r="A19" s="478"/>
      <c r="B19" s="480"/>
      <c r="C19" s="1617" t="s">
        <v>3269</v>
      </c>
      <c r="D19" s="1617"/>
      <c r="E19" s="1617"/>
      <c r="F19" s="1617"/>
      <c r="G19" s="1617"/>
      <c r="H19" s="1617"/>
      <c r="I19" s="1617"/>
      <c r="J19" s="1617"/>
      <c r="K19" s="1617"/>
      <c r="L19" s="1617"/>
      <c r="M19" s="1617"/>
      <c r="N19" s="1617"/>
      <c r="O19" s="475"/>
    </row>
    <row r="20" spans="1:15" ht="13.95" customHeight="1">
      <c r="A20" s="478"/>
      <c r="B20" s="480"/>
      <c r="C20" s="1617" t="s">
        <v>3270</v>
      </c>
      <c r="D20" s="1617"/>
      <c r="E20" s="1617"/>
      <c r="F20" s="1617"/>
      <c r="G20" s="1617"/>
      <c r="H20" s="1617"/>
      <c r="I20" s="1617"/>
      <c r="J20" s="1617"/>
      <c r="K20" s="1617"/>
      <c r="L20" s="1617"/>
      <c r="M20" s="1617"/>
      <c r="N20" s="1617"/>
      <c r="O20" s="475"/>
    </row>
    <row r="21" spans="1:15" ht="14.4" customHeight="1">
      <c r="A21" s="478"/>
      <c r="B21" s="480"/>
      <c r="C21" s="1617" t="s">
        <v>3271</v>
      </c>
      <c r="D21" s="1617"/>
      <c r="E21" s="1617"/>
      <c r="F21" s="1617"/>
      <c r="G21" s="1617"/>
      <c r="H21" s="1617"/>
      <c r="I21" s="1617"/>
      <c r="J21" s="1617"/>
      <c r="K21" s="1617"/>
      <c r="L21" s="1617"/>
      <c r="M21" s="1617"/>
      <c r="N21" s="1617"/>
      <c r="O21" s="475"/>
    </row>
    <row r="22" spans="1:15" ht="27" customHeight="1">
      <c r="A22" s="478"/>
      <c r="B22" s="473" t="s">
        <v>3272</v>
      </c>
      <c r="C22" s="1615" t="str">
        <f>'II skyrius'!D30</f>
        <v>Sudaryti sąlygas visų amžiaus grupių ir galimybių visaginiečiams jų sveikai gyvensenai, fiziniam aktyvumui, sportavimui bei siekti, kad tai taptų savivaldybės bendruomenės gyvensenos dalimi</v>
      </c>
      <c r="D22" s="1615"/>
      <c r="E22" s="1615"/>
      <c r="F22" s="1615"/>
      <c r="G22" s="1615"/>
      <c r="H22" s="1615"/>
      <c r="I22" s="1615"/>
      <c r="J22" s="1615"/>
      <c r="K22" s="1615"/>
      <c r="L22" s="1615"/>
      <c r="M22" s="1615"/>
      <c r="N22" s="1615"/>
      <c r="O22" s="475"/>
    </row>
    <row r="23" spans="1:15" ht="14.4" customHeight="1">
      <c r="A23" s="478"/>
      <c r="B23" s="480"/>
      <c r="C23" s="1617" t="s">
        <v>3274</v>
      </c>
      <c r="D23" s="1617"/>
      <c r="E23" s="1617"/>
      <c r="F23" s="1617"/>
      <c r="G23" s="1617"/>
      <c r="H23" s="1617"/>
      <c r="I23" s="1617"/>
      <c r="J23" s="1617"/>
      <c r="K23" s="1617"/>
      <c r="L23" s="1617"/>
      <c r="M23" s="1617"/>
      <c r="N23" s="1617"/>
      <c r="O23" s="475"/>
    </row>
    <row r="24" spans="1:15" ht="13.2" customHeight="1">
      <c r="A24" s="478"/>
      <c r="B24" s="480"/>
      <c r="C24" s="1617" t="s">
        <v>3273</v>
      </c>
      <c r="D24" s="1617"/>
      <c r="E24" s="1617"/>
      <c r="F24" s="1617"/>
      <c r="G24" s="1617"/>
      <c r="H24" s="1617"/>
      <c r="I24" s="1617"/>
      <c r="J24" s="1617"/>
      <c r="K24" s="1617"/>
      <c r="L24" s="1617"/>
      <c r="M24" s="1617"/>
      <c r="N24" s="1617"/>
      <c r="O24" s="475"/>
    </row>
    <row r="25" spans="1:15" ht="16.2" customHeight="1">
      <c r="A25" s="478"/>
      <c r="B25" s="473" t="s">
        <v>3275</v>
      </c>
      <c r="C25" s="1615" t="str">
        <f>'II skyrius'!D36</f>
        <v>Įgyvendinti valstybinę kultūros politiką ir formuoti regioninį identitetą, stiprinti pilietiškumą ir bendruomenės į(si)traukimą į kūrybines, kultūrines veiklas</v>
      </c>
      <c r="D25" s="1615"/>
      <c r="E25" s="1615"/>
      <c r="F25" s="1615"/>
      <c r="G25" s="1615"/>
      <c r="H25" s="1615"/>
      <c r="I25" s="1615"/>
      <c r="J25" s="1615"/>
      <c r="K25" s="1615"/>
      <c r="L25" s="1615"/>
      <c r="M25" s="1615"/>
      <c r="N25" s="1615"/>
      <c r="O25" s="475"/>
    </row>
    <row r="26" spans="1:15" ht="13.2" customHeight="1">
      <c r="A26" s="478"/>
      <c r="B26" s="480"/>
      <c r="C26" s="1617" t="s">
        <v>3276</v>
      </c>
      <c r="D26" s="1617"/>
      <c r="E26" s="1617"/>
      <c r="F26" s="1617"/>
      <c r="G26" s="1617"/>
      <c r="H26" s="1617"/>
      <c r="I26" s="1617"/>
      <c r="J26" s="1617"/>
      <c r="K26" s="1617"/>
      <c r="L26" s="1617"/>
      <c r="M26" s="1617"/>
      <c r="N26" s="1617"/>
      <c r="O26" s="475"/>
    </row>
    <row r="27" spans="1:15" ht="13.2" customHeight="1">
      <c r="A27" s="478"/>
      <c r="B27" s="480"/>
      <c r="C27" s="1617" t="s">
        <v>3277</v>
      </c>
      <c r="D27" s="1617"/>
      <c r="E27" s="1617"/>
      <c r="F27" s="1617"/>
      <c r="G27" s="1617"/>
      <c r="H27" s="1617"/>
      <c r="I27" s="1617"/>
      <c r="J27" s="1617"/>
      <c r="K27" s="1617"/>
      <c r="L27" s="1617"/>
      <c r="M27" s="1617"/>
      <c r="N27" s="1617"/>
      <c r="O27" s="475"/>
    </row>
    <row r="28" spans="1:15" ht="16.2" customHeight="1">
      <c r="A28" s="478"/>
      <c r="B28" s="473" t="s">
        <v>3278</v>
      </c>
      <c r="C28" s="1615" t="str">
        <f>'II skyrius'!D43</f>
        <v>Stiprinti ir puoselėti gyventojų sveikatą</v>
      </c>
      <c r="D28" s="1615"/>
      <c r="E28" s="1615"/>
      <c r="F28" s="1615"/>
      <c r="G28" s="1615"/>
      <c r="H28" s="1615"/>
      <c r="I28" s="1615"/>
      <c r="J28" s="1615"/>
      <c r="K28" s="1615"/>
      <c r="L28" s="1615"/>
      <c r="M28" s="1615"/>
      <c r="N28" s="1615"/>
      <c r="O28" s="475"/>
    </row>
    <row r="29" spans="1:15" ht="21.6" customHeight="1">
      <c r="A29" s="478"/>
      <c r="B29" s="480"/>
      <c r="C29" s="1617" t="s">
        <v>3285</v>
      </c>
      <c r="D29" s="1617"/>
      <c r="E29" s="1617"/>
      <c r="F29" s="1617"/>
      <c r="G29" s="1617"/>
      <c r="H29" s="1617"/>
      <c r="I29" s="1617"/>
      <c r="J29" s="1617"/>
      <c r="K29" s="1617"/>
      <c r="L29" s="1617"/>
      <c r="M29" s="1617"/>
      <c r="N29" s="1617"/>
      <c r="O29" s="475"/>
    </row>
    <row r="30" spans="1:15">
      <c r="A30" s="478"/>
      <c r="B30" s="473" t="s">
        <v>3279</v>
      </c>
      <c r="C30" s="1615" t="str">
        <f>'II skyrius'!D47</f>
        <v>Pagerinti  ir plėsti socialinių paslaugų kokybę ir prieinamumą bei sukurti jų plėtrai reikalingą  infrastruktūrą</v>
      </c>
      <c r="D30" s="1615"/>
      <c r="E30" s="1615"/>
      <c r="F30" s="1615"/>
      <c r="G30" s="1615"/>
      <c r="H30" s="1615"/>
      <c r="I30" s="1615"/>
      <c r="J30" s="1615"/>
      <c r="K30" s="1615"/>
      <c r="L30" s="1615"/>
      <c r="M30" s="1615"/>
      <c r="N30" s="1615"/>
      <c r="O30" s="475"/>
    </row>
    <row r="31" spans="1:15" ht="13.2" customHeight="1">
      <c r="A31" s="478"/>
      <c r="B31" s="480"/>
      <c r="C31" s="1617" t="s">
        <v>3280</v>
      </c>
      <c r="D31" s="1617"/>
      <c r="E31" s="1617"/>
      <c r="F31" s="1617"/>
      <c r="G31" s="1617"/>
      <c r="H31" s="1617"/>
      <c r="I31" s="1617"/>
      <c r="J31" s="1617"/>
      <c r="K31" s="1617"/>
      <c r="L31" s="1617"/>
      <c r="M31" s="1617"/>
      <c r="N31" s="1617"/>
      <c r="O31" s="475"/>
    </row>
    <row r="32" spans="1:15" ht="13.2" customHeight="1">
      <c r="A32" s="478"/>
      <c r="B32" s="480"/>
      <c r="C32" s="1617" t="s">
        <v>3281</v>
      </c>
      <c r="D32" s="1617"/>
      <c r="E32" s="1617"/>
      <c r="F32" s="1617"/>
      <c r="G32" s="1617"/>
      <c r="H32" s="1617"/>
      <c r="I32" s="1617"/>
      <c r="J32" s="1617"/>
      <c r="K32" s="1617"/>
      <c r="L32" s="1617"/>
      <c r="M32" s="1617"/>
      <c r="N32" s="1617"/>
      <c r="O32" s="475"/>
    </row>
    <row r="33" spans="1:15" ht="13.95" customHeight="1">
      <c r="A33" s="478"/>
      <c r="B33" s="473" t="s">
        <v>3282</v>
      </c>
      <c r="C33" s="1615" t="str">
        <f>'II skyrius'!D49</f>
        <v>Sudaryti galimybes jaunimui atvykti, dirbti ir gyventi Visagino savivaldybėje</v>
      </c>
      <c r="D33" s="1615"/>
      <c r="E33" s="1615"/>
      <c r="F33" s="1615"/>
      <c r="G33" s="1615"/>
      <c r="H33" s="1615"/>
      <c r="I33" s="1615"/>
      <c r="J33" s="1615"/>
      <c r="K33" s="1615"/>
      <c r="L33" s="1615"/>
      <c r="M33" s="1615"/>
      <c r="N33" s="1615"/>
      <c r="O33" s="475"/>
    </row>
    <row r="34" spans="1:15" ht="13.95" customHeight="1">
      <c r="A34" s="478"/>
      <c r="B34" s="480"/>
      <c r="C34" s="1617" t="s">
        <v>3283</v>
      </c>
      <c r="D34" s="1617"/>
      <c r="E34" s="1617"/>
      <c r="F34" s="1617"/>
      <c r="G34" s="1617"/>
      <c r="H34" s="1617"/>
      <c r="I34" s="1617"/>
      <c r="J34" s="1617"/>
      <c r="K34" s="1617"/>
      <c r="L34" s="1617"/>
      <c r="M34" s="1617"/>
      <c r="N34" s="1617"/>
      <c r="O34" s="475"/>
    </row>
    <row r="35" spans="1:15" ht="25.95" customHeight="1">
      <c r="A35" s="478"/>
      <c r="B35" s="473" t="s">
        <v>3284</v>
      </c>
      <c r="C35" s="1615" t="str">
        <f>'II skyrius'!D52</f>
        <v xml:space="preserve">Gyventojų socialinio, pilietinio aktyvumo, dalyvavimo savanoriškoje, visuomeninėje veikloje, tarpusavio pasitikėjimo, bendruomenės socialinės atsakomybės ir įsitraukimo didinimas  </v>
      </c>
      <c r="D35" s="1615"/>
      <c r="E35" s="1615"/>
      <c r="F35" s="1615"/>
      <c r="G35" s="1615"/>
      <c r="H35" s="1615"/>
      <c r="I35" s="1615"/>
      <c r="J35" s="1615"/>
      <c r="K35" s="1615"/>
      <c r="L35" s="1615"/>
      <c r="M35" s="1615"/>
      <c r="N35" s="1615"/>
      <c r="O35" s="475"/>
    </row>
    <row r="36" spans="1:15" ht="24" customHeight="1">
      <c r="A36" s="478"/>
      <c r="B36" s="480"/>
      <c r="C36" s="1617" t="s">
        <v>3286</v>
      </c>
      <c r="D36" s="1617"/>
      <c r="E36" s="1617"/>
      <c r="F36" s="1617"/>
      <c r="G36" s="1617"/>
      <c r="H36" s="1617"/>
      <c r="I36" s="1617"/>
      <c r="J36" s="1617"/>
      <c r="K36" s="1617"/>
      <c r="L36" s="1617"/>
      <c r="M36" s="1617"/>
      <c r="N36" s="1617"/>
      <c r="O36" s="475"/>
    </row>
    <row r="37" spans="1:15" ht="25.95" customHeight="1">
      <c r="A37" s="478"/>
      <c r="B37" s="480"/>
      <c r="C37" s="1617" t="s">
        <v>3287</v>
      </c>
      <c r="D37" s="1617"/>
      <c r="E37" s="1617"/>
      <c r="F37" s="1617"/>
      <c r="G37" s="1617"/>
      <c r="H37" s="1617"/>
      <c r="I37" s="1617"/>
      <c r="J37" s="1617"/>
      <c r="K37" s="1617"/>
      <c r="L37" s="1617"/>
      <c r="M37" s="1617"/>
      <c r="N37" s="1617"/>
      <c r="O37" s="475"/>
    </row>
    <row r="38" spans="1:15" ht="17.399999999999999" customHeight="1">
      <c r="A38" s="478"/>
      <c r="B38" s="473" t="s">
        <v>3288</v>
      </c>
      <c r="C38" s="1615" t="str">
        <f>'II skyrius'!D56</f>
        <v>Tobulinti viešojo valdymo sistemą, didinti jos efektyvumą ir atvirumą</v>
      </c>
      <c r="D38" s="1615"/>
      <c r="E38" s="1615"/>
      <c r="F38" s="1615"/>
      <c r="G38" s="1615"/>
      <c r="H38" s="1615"/>
      <c r="I38" s="1615"/>
      <c r="J38" s="1615"/>
      <c r="K38" s="1615"/>
      <c r="L38" s="1615"/>
      <c r="M38" s="1615"/>
      <c r="N38" s="1615"/>
      <c r="O38" s="475"/>
    </row>
    <row r="39" spans="1:15" ht="12" customHeight="1">
      <c r="A39" s="478"/>
      <c r="B39" s="480"/>
      <c r="C39" s="1617" t="s">
        <v>3289</v>
      </c>
      <c r="D39" s="1617"/>
      <c r="E39" s="1617"/>
      <c r="F39" s="1617"/>
      <c r="G39" s="1617"/>
      <c r="H39" s="1617"/>
      <c r="I39" s="1617"/>
      <c r="J39" s="1617"/>
      <c r="K39" s="1617"/>
      <c r="L39" s="1617"/>
      <c r="M39" s="1617"/>
      <c r="N39" s="1617"/>
      <c r="O39" s="475"/>
    </row>
    <row r="40" spans="1:15" ht="14.4" customHeight="1" thickBot="1">
      <c r="A40" s="478"/>
      <c r="B40" s="480"/>
      <c r="C40" s="1617" t="s">
        <v>3290</v>
      </c>
      <c r="D40" s="1617"/>
      <c r="E40" s="1617"/>
      <c r="F40" s="1617"/>
      <c r="G40" s="1617"/>
      <c r="H40" s="1617"/>
      <c r="I40" s="1617"/>
      <c r="J40" s="1617"/>
      <c r="K40" s="1617"/>
      <c r="L40" s="1617"/>
      <c r="M40" s="1617"/>
      <c r="N40" s="1617"/>
      <c r="O40" s="475"/>
    </row>
    <row r="41" spans="1:15" ht="14.4" customHeight="1" thickBot="1">
      <c r="A41" s="478"/>
      <c r="B41" s="532" t="s">
        <v>3493</v>
      </c>
      <c r="C41" s="1619" t="s">
        <v>3494</v>
      </c>
      <c r="D41" s="1619"/>
      <c r="E41" s="1619"/>
      <c r="F41" s="1619"/>
      <c r="G41" s="1619"/>
      <c r="H41" s="1619"/>
      <c r="I41" s="1619"/>
      <c r="J41" s="1619"/>
      <c r="K41" s="1619"/>
      <c r="L41" s="1619"/>
      <c r="M41" s="1619"/>
      <c r="N41" s="1620"/>
      <c r="O41" s="475"/>
    </row>
    <row r="42" spans="1:15" ht="15" customHeight="1">
      <c r="A42" s="478"/>
      <c r="B42" s="473" t="s">
        <v>3291</v>
      </c>
      <c r="C42" s="1615" t="str">
        <f>'II skyrius'!D64</f>
        <v>Vykdyti kryptingą darnaus judumo politiką savivaldybėje</v>
      </c>
      <c r="D42" s="1615"/>
      <c r="E42" s="1615"/>
      <c r="F42" s="1615"/>
      <c r="G42" s="1615"/>
      <c r="H42" s="1615"/>
      <c r="I42" s="1615"/>
      <c r="J42" s="1615"/>
      <c r="K42" s="1615"/>
      <c r="L42" s="1615"/>
      <c r="M42" s="1615"/>
      <c r="N42" s="1615"/>
      <c r="O42" s="475"/>
    </row>
    <row r="43" spans="1:15" ht="10.95" customHeight="1">
      <c r="A43" s="478"/>
      <c r="B43" s="473"/>
      <c r="C43" s="1614" t="str">
        <f>'II skyrius'!D65</f>
        <v>Skatinti bemotorio transporto pasirinkimą ir pėsčiųjų judumą</v>
      </c>
      <c r="D43" s="1614"/>
      <c r="E43" s="1614"/>
      <c r="F43" s="1614"/>
      <c r="G43" s="1614"/>
      <c r="H43" s="1614"/>
      <c r="I43" s="1614"/>
      <c r="J43" s="1614"/>
      <c r="K43" s="1614"/>
      <c r="L43" s="1614"/>
      <c r="M43" s="1614"/>
      <c r="N43" s="1614"/>
      <c r="O43" s="475"/>
    </row>
    <row r="44" spans="1:15" ht="13.2" customHeight="1">
      <c r="A44" s="478"/>
      <c r="B44" s="480"/>
      <c r="C44" s="1617" t="s">
        <v>3292</v>
      </c>
      <c r="D44" s="1617"/>
      <c r="E44" s="1617"/>
      <c r="F44" s="1617"/>
      <c r="G44" s="1617"/>
      <c r="H44" s="1617"/>
      <c r="I44" s="1617"/>
      <c r="J44" s="1617"/>
      <c r="K44" s="1617"/>
      <c r="L44" s="1617"/>
      <c r="M44" s="1617"/>
      <c r="N44" s="1617"/>
      <c r="O44" s="475"/>
    </row>
    <row r="45" spans="1:15" ht="12.6" customHeight="1">
      <c r="A45" s="478"/>
      <c r="B45" s="480"/>
      <c r="C45" s="1617" t="s">
        <v>3350</v>
      </c>
      <c r="D45" s="1617"/>
      <c r="E45" s="1617"/>
      <c r="F45" s="1617"/>
      <c r="G45" s="1617"/>
      <c r="H45" s="1617"/>
      <c r="I45" s="1617"/>
      <c r="J45" s="1617"/>
      <c r="K45" s="1617"/>
      <c r="L45" s="1617"/>
      <c r="M45" s="1617"/>
      <c r="N45" s="1617"/>
      <c r="O45" s="475"/>
    </row>
    <row r="46" spans="1:15" ht="12.6" customHeight="1">
      <c r="A46" s="478"/>
      <c r="B46" s="480"/>
      <c r="C46" s="1617" t="s">
        <v>3293</v>
      </c>
      <c r="D46" s="1617"/>
      <c r="E46" s="1617"/>
      <c r="F46" s="1617"/>
      <c r="G46" s="1617"/>
      <c r="H46" s="1617"/>
      <c r="I46" s="1617"/>
      <c r="J46" s="1617"/>
      <c r="K46" s="1617"/>
      <c r="L46" s="1617"/>
      <c r="M46" s="1617"/>
      <c r="N46" s="1617"/>
      <c r="O46" s="475"/>
    </row>
    <row r="47" spans="1:15">
      <c r="A47" s="478"/>
      <c r="B47" s="473" t="s">
        <v>3294</v>
      </c>
      <c r="C47" s="1615" t="str">
        <f>'II skyrius'!D68</f>
        <v>Skatinti tvarų miesto teritorijos vystymą</v>
      </c>
      <c r="D47" s="1615"/>
      <c r="E47" s="1615"/>
      <c r="F47" s="1615"/>
      <c r="G47" s="1615"/>
      <c r="H47" s="1615"/>
      <c r="I47" s="1615"/>
      <c r="J47" s="1615"/>
      <c r="K47" s="1615"/>
      <c r="L47" s="1615"/>
      <c r="M47" s="1615"/>
      <c r="N47" s="1615"/>
      <c r="O47" s="475"/>
    </row>
    <row r="48" spans="1:15" ht="13.2" customHeight="1">
      <c r="A48" s="478"/>
      <c r="B48" s="480"/>
      <c r="C48" s="1617" t="s">
        <v>3300</v>
      </c>
      <c r="D48" s="1617"/>
      <c r="E48" s="1617"/>
      <c r="F48" s="1617"/>
      <c r="G48" s="1617"/>
      <c r="H48" s="1617"/>
      <c r="I48" s="1617"/>
      <c r="J48" s="1617"/>
      <c r="K48" s="1617"/>
      <c r="L48" s="1617"/>
      <c r="M48" s="1617"/>
      <c r="N48" s="1617"/>
      <c r="O48" s="475"/>
    </row>
    <row r="49" spans="1:15" ht="13.95" customHeight="1">
      <c r="A49" s="478"/>
      <c r="B49" s="480"/>
      <c r="C49" s="1618" t="s">
        <v>3352</v>
      </c>
      <c r="D49" s="1618"/>
      <c r="E49" s="1618"/>
      <c r="F49" s="1618"/>
      <c r="G49" s="1618"/>
      <c r="H49" s="1618"/>
      <c r="I49" s="1618"/>
      <c r="J49" s="1618"/>
      <c r="K49" s="1618"/>
      <c r="L49" s="1618"/>
      <c r="M49" s="1618"/>
      <c r="N49" s="1618"/>
      <c r="O49" s="475"/>
    </row>
    <row r="50" spans="1:15">
      <c r="A50" s="478"/>
      <c r="B50" s="473" t="s">
        <v>3296</v>
      </c>
      <c r="C50" s="1615" t="str">
        <f>'II skyrius'!D72</f>
        <v>Skatinti žaliąją savivaldybės plėtrą</v>
      </c>
      <c r="D50" s="1615"/>
      <c r="E50" s="1615"/>
      <c r="F50" s="1615"/>
      <c r="G50" s="1615"/>
      <c r="H50" s="1615"/>
      <c r="I50" s="1615"/>
      <c r="J50" s="1615"/>
      <c r="K50" s="1615"/>
      <c r="L50" s="1615"/>
      <c r="M50" s="1615"/>
      <c r="N50" s="1615"/>
      <c r="O50" s="475"/>
    </row>
    <row r="51" spans="1:15" ht="13.2" customHeight="1">
      <c r="A51" s="478"/>
      <c r="B51" s="480"/>
      <c r="C51" s="1617" t="s">
        <v>3295</v>
      </c>
      <c r="D51" s="1617"/>
      <c r="E51" s="1617"/>
      <c r="F51" s="1617"/>
      <c r="G51" s="1617"/>
      <c r="H51" s="1617"/>
      <c r="I51" s="1617"/>
      <c r="J51" s="1617"/>
      <c r="K51" s="1617"/>
      <c r="L51" s="1617"/>
      <c r="M51" s="1617"/>
      <c r="N51" s="1617"/>
      <c r="O51" s="475"/>
    </row>
    <row r="52" spans="1:15" ht="20.25" customHeight="1">
      <c r="A52" s="478"/>
      <c r="B52" s="480"/>
      <c r="C52" s="1617" t="s">
        <v>3351</v>
      </c>
      <c r="D52" s="1617"/>
      <c r="E52" s="1617"/>
      <c r="F52" s="1617"/>
      <c r="G52" s="1617"/>
      <c r="H52" s="1617"/>
      <c r="I52" s="1617"/>
      <c r="J52" s="1617"/>
      <c r="K52" s="1617"/>
      <c r="L52" s="1617"/>
      <c r="M52" s="1617"/>
      <c r="N52" s="1617"/>
      <c r="O52" s="475"/>
    </row>
    <row r="53" spans="1:15" ht="24.6" customHeight="1">
      <c r="A53" s="478"/>
      <c r="B53" s="480"/>
      <c r="C53" s="1617" t="s">
        <v>3297</v>
      </c>
      <c r="D53" s="1617"/>
      <c r="E53" s="1617"/>
      <c r="F53" s="1617"/>
      <c r="G53" s="1617"/>
      <c r="H53" s="1617"/>
      <c r="I53" s="1617"/>
      <c r="J53" s="1617"/>
      <c r="K53" s="1617"/>
      <c r="L53" s="1617"/>
      <c r="M53" s="1617"/>
      <c r="N53" s="478"/>
      <c r="O53" s="475"/>
    </row>
    <row r="54" spans="1:15" ht="13.8" thickBot="1">
      <c r="A54" s="478"/>
      <c r="B54" s="481"/>
      <c r="C54" s="482"/>
      <c r="D54" s="482"/>
      <c r="E54" s="482"/>
      <c r="F54" s="482"/>
      <c r="G54" s="482"/>
      <c r="H54" s="482"/>
      <c r="I54" s="482"/>
      <c r="J54" s="482"/>
      <c r="K54" s="482"/>
      <c r="L54" s="482"/>
      <c r="M54" s="482"/>
      <c r="N54" s="482"/>
      <c r="O54" s="483"/>
    </row>
  </sheetData>
  <sheetProtection algorithmName="SHA-512" hashValue="lmMQ6Sd1EXI6JQe30VUNjIN8BDX6pp467fX5RlOsVPWMygEmChLGwN+XasJdEXevn5gs/NcPdLllCF+6HD2a9Q==" saltValue="4hCOdIKI+7T7plAEmKqrRQ==" spinCount="100000" sheet="1" objects="1" scenarios="1"/>
  <mergeCells count="51">
    <mergeCell ref="C41:N41"/>
    <mergeCell ref="C23:N23"/>
    <mergeCell ref="C24:N24"/>
    <mergeCell ref="C26:N26"/>
    <mergeCell ref="C27:N27"/>
    <mergeCell ref="C25:N25"/>
    <mergeCell ref="C29:N29"/>
    <mergeCell ref="C31:N31"/>
    <mergeCell ref="C32:N32"/>
    <mergeCell ref="B3:O3"/>
    <mergeCell ref="B4:O4"/>
    <mergeCell ref="C8:N8"/>
    <mergeCell ref="C11:N11"/>
    <mergeCell ref="C16:N16"/>
    <mergeCell ref="C6:N6"/>
    <mergeCell ref="C13:N13"/>
    <mergeCell ref="C9:N9"/>
    <mergeCell ref="C10:N10"/>
    <mergeCell ref="C12:N12"/>
    <mergeCell ref="C53:M53"/>
    <mergeCell ref="C51:N51"/>
    <mergeCell ref="C52:N52"/>
    <mergeCell ref="C40:N40"/>
    <mergeCell ref="C36:N36"/>
    <mergeCell ref="C37:N37"/>
    <mergeCell ref="C39:N39"/>
    <mergeCell ref="C38:N38"/>
    <mergeCell ref="C42:N42"/>
    <mergeCell ref="C47:N47"/>
    <mergeCell ref="C50:N50"/>
    <mergeCell ref="C45:N45"/>
    <mergeCell ref="C48:N48"/>
    <mergeCell ref="C49:N49"/>
    <mergeCell ref="C44:N44"/>
    <mergeCell ref="C46:N46"/>
    <mergeCell ref="C43:N43"/>
    <mergeCell ref="C22:N22"/>
    <mergeCell ref="C5:N5"/>
    <mergeCell ref="C14:N14"/>
    <mergeCell ref="C19:N19"/>
    <mergeCell ref="C20:N20"/>
    <mergeCell ref="C21:N21"/>
    <mergeCell ref="C18:N18"/>
    <mergeCell ref="C7:N7"/>
    <mergeCell ref="C15:N15"/>
    <mergeCell ref="C17:N17"/>
    <mergeCell ref="C28:N28"/>
    <mergeCell ref="C30:N30"/>
    <mergeCell ref="C33:N33"/>
    <mergeCell ref="C35:N35"/>
    <mergeCell ref="C34:N34"/>
  </mergeCells>
  <pageMargins left="0.7" right="0.7" top="0.75" bottom="0.75" header="0.3" footer="0.3"/>
  <pageSetup paperSize="9" scale="66"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E01DC-FC68-49B7-B2D7-D2255C50C2B6}">
  <sheetPr>
    <pageSetUpPr fitToPage="1"/>
  </sheetPr>
  <dimension ref="B1:X46"/>
  <sheetViews>
    <sheetView zoomScale="130" zoomScaleNormal="130" workbookViewId="0">
      <selection activeCell="AG4" sqref="AG4"/>
    </sheetView>
  </sheetViews>
  <sheetFormatPr defaultColWidth="9.109375" defaultRowHeight="13.2"/>
  <cols>
    <col min="1" max="2" width="9.109375" style="383"/>
    <col min="3" max="3" width="8.33203125" style="383" customWidth="1"/>
    <col min="4" max="4" width="30.6640625" style="383" customWidth="1"/>
    <col min="5" max="5" width="11.88671875" style="383" hidden="1" customWidth="1"/>
    <col min="6" max="7" width="12.33203125" style="383" hidden="1" customWidth="1"/>
    <col min="8" max="9" width="15.6640625" style="383" customWidth="1"/>
    <col min="10" max="10" width="16.77734375" style="383" customWidth="1"/>
    <col min="11" max="11" width="10.6640625" style="606" customWidth="1"/>
    <col min="12" max="12" width="11.5546875" style="383" hidden="1" customWidth="1"/>
    <col min="13" max="13" width="16.33203125" style="383" hidden="1" customWidth="1"/>
    <col min="14" max="14" width="13.5546875" style="383" hidden="1" customWidth="1"/>
    <col min="15" max="24" width="9.109375" style="383" hidden="1" customWidth="1"/>
    <col min="25" max="27" width="0" style="383" hidden="1" customWidth="1"/>
    <col min="28" max="16384" width="9.109375" style="383"/>
  </cols>
  <sheetData>
    <row r="1" spans="2:24" ht="44.25" customHeight="1">
      <c r="B1" s="420"/>
      <c r="C1" s="1622" t="s">
        <v>1367</v>
      </c>
      <c r="D1" s="1622"/>
      <c r="E1" s="1622"/>
      <c r="F1" s="1622"/>
      <c r="G1" s="1622"/>
      <c r="H1" s="1622"/>
      <c r="I1" s="1622"/>
      <c r="J1" s="1622"/>
      <c r="K1" s="598"/>
    </row>
    <row r="2" spans="2:24" ht="58.2" customHeight="1">
      <c r="B2" s="421"/>
      <c r="C2" s="1616" t="s">
        <v>3255</v>
      </c>
      <c r="D2" s="1616"/>
      <c r="E2" s="1616"/>
      <c r="F2" s="1616"/>
      <c r="G2" s="1616"/>
      <c r="H2" s="1616"/>
      <c r="I2" s="1616"/>
      <c r="J2" s="1616"/>
      <c r="K2" s="599"/>
    </row>
    <row r="3" spans="2:24" ht="161.4" customHeight="1">
      <c r="B3" s="421"/>
      <c r="C3" s="578"/>
      <c r="D3" s="578"/>
      <c r="E3" s="578"/>
      <c r="F3" s="578"/>
      <c r="G3" s="578"/>
      <c r="H3" s="578"/>
      <c r="I3" s="578"/>
      <c r="J3" s="578"/>
      <c r="K3" s="599"/>
    </row>
    <row r="4" spans="2:24">
      <c r="B4" s="421"/>
      <c r="K4" s="599"/>
    </row>
    <row r="5" spans="2:24" ht="13.8" thickBot="1">
      <c r="B5" s="421"/>
      <c r="C5" s="1642" t="s">
        <v>3859</v>
      </c>
      <c r="D5" s="1642"/>
      <c r="E5" s="1642"/>
      <c r="F5" s="1642"/>
      <c r="G5" s="1642"/>
      <c r="H5" s="1642"/>
      <c r="I5" s="1642"/>
      <c r="J5" s="1642"/>
      <c r="K5" s="1643"/>
    </row>
    <row r="6" spans="2:24" ht="50.4" customHeight="1" thickBot="1">
      <c r="B6" s="485"/>
      <c r="C6" s="486" t="s">
        <v>988</v>
      </c>
      <c r="D6" s="484" t="s">
        <v>989</v>
      </c>
      <c r="E6" s="487">
        <v>2023</v>
      </c>
      <c r="F6" s="487" t="s">
        <v>2233</v>
      </c>
      <c r="G6" s="487" t="s">
        <v>1385</v>
      </c>
      <c r="H6" s="488" t="s">
        <v>3302</v>
      </c>
      <c r="I6" s="488" t="s">
        <v>3303</v>
      </c>
      <c r="J6" s="488" t="s">
        <v>3304</v>
      </c>
      <c r="K6" s="599"/>
      <c r="M6" s="541"/>
      <c r="N6" s="593"/>
      <c r="O6" s="593" t="s">
        <v>2540</v>
      </c>
      <c r="P6" s="593" t="s">
        <v>2541</v>
      </c>
      <c r="Q6" s="593" t="s">
        <v>2542</v>
      </c>
      <c r="R6" s="593" t="s">
        <v>2543</v>
      </c>
      <c r="S6" s="593" t="s">
        <v>2544</v>
      </c>
      <c r="T6" s="593" t="s">
        <v>531</v>
      </c>
      <c r="U6" s="593" t="s">
        <v>2545</v>
      </c>
      <c r="V6" s="593" t="s">
        <v>2546</v>
      </c>
      <c r="W6" s="593" t="s">
        <v>2547</v>
      </c>
      <c r="X6" s="593" t="s">
        <v>2548</v>
      </c>
    </row>
    <row r="7" spans="2:24" ht="13.8" thickBot="1">
      <c r="B7" s="485"/>
      <c r="C7" s="657">
        <v>1</v>
      </c>
      <c r="D7" s="658">
        <v>2</v>
      </c>
      <c r="E7" s="658"/>
      <c r="F7" s="658"/>
      <c r="G7" s="658"/>
      <c r="H7" s="658">
        <v>3</v>
      </c>
      <c r="I7" s="658">
        <v>4</v>
      </c>
      <c r="J7" s="658">
        <v>5</v>
      </c>
      <c r="K7" s="599"/>
      <c r="M7" s="541"/>
      <c r="N7" s="593">
        <v>2023</v>
      </c>
      <c r="O7" s="593">
        <v>4584.8109999999997</v>
      </c>
      <c r="P7" s="593">
        <v>15544.963</v>
      </c>
      <c r="Q7" s="596">
        <v>1296.83</v>
      </c>
      <c r="R7" s="593">
        <v>1710.912</v>
      </c>
      <c r="S7" s="593">
        <v>300.09199999999998</v>
      </c>
      <c r="T7" s="593">
        <v>12415.572</v>
      </c>
      <c r="U7" s="593">
        <v>240.535</v>
      </c>
      <c r="V7" s="593">
        <v>3957.2449999999999</v>
      </c>
      <c r="W7" s="596">
        <v>1089.8</v>
      </c>
      <c r="X7" s="593">
        <v>14770.977999999999</v>
      </c>
    </row>
    <row r="8" spans="2:24" ht="24" customHeight="1">
      <c r="B8" s="485"/>
      <c r="C8" s="651">
        <v>1</v>
      </c>
      <c r="D8" s="652" t="s">
        <v>2234</v>
      </c>
      <c r="E8" s="653">
        <f>SUM('1 programa '!E179)</f>
        <v>4584.8110000000015</v>
      </c>
      <c r="F8" s="654">
        <f>H8/E8-1</f>
        <v>0.25968136963552024</v>
      </c>
      <c r="G8" s="653">
        <f>SUM('1 programa '!G179)</f>
        <v>5542.4879999999994</v>
      </c>
      <c r="H8" s="655">
        <f>SUM('1 programa '!H179)</f>
        <v>5775.4010000000007</v>
      </c>
      <c r="I8" s="655">
        <f>SUM('1 programa '!I179)</f>
        <v>6430.8830000000007</v>
      </c>
      <c r="J8" s="656">
        <f>SUM('1 programa '!J179)</f>
        <v>6485.933</v>
      </c>
      <c r="K8" s="600">
        <f>H8-'Suvestinė pagal FŠ'!N6</f>
        <v>0</v>
      </c>
      <c r="M8" s="542"/>
      <c r="N8" s="593">
        <v>2024</v>
      </c>
      <c r="O8" s="593">
        <f>H9</f>
        <v>21107.728999999999</v>
      </c>
      <c r="P8" s="593">
        <f>H9</f>
        <v>21107.728999999999</v>
      </c>
      <c r="Q8" s="596">
        <f>H10</f>
        <v>1479.6599999999999</v>
      </c>
      <c r="R8" s="593">
        <f>H11</f>
        <v>2002.4569999999999</v>
      </c>
      <c r="S8" s="596">
        <f>H12</f>
        <v>395.28900000000004</v>
      </c>
      <c r="T8" s="593">
        <f>H13</f>
        <v>14381.855999999998</v>
      </c>
      <c r="U8" s="596">
        <f>H14</f>
        <v>893.41599999999994</v>
      </c>
      <c r="V8" s="593">
        <f>H15</f>
        <v>4362.7190000000001</v>
      </c>
      <c r="W8" s="596">
        <f>H16</f>
        <v>2017.9159999999999</v>
      </c>
      <c r="X8" s="593">
        <f>H17</f>
        <v>5702.2820000000002</v>
      </c>
    </row>
    <row r="9" spans="2:24" ht="22.95" customHeight="1">
      <c r="B9" s="485"/>
      <c r="C9" s="617">
        <v>2</v>
      </c>
      <c r="D9" s="493" t="s">
        <v>2235</v>
      </c>
      <c r="E9" s="491">
        <f>'2 programa '!E235</f>
        <v>15544.962999999998</v>
      </c>
      <c r="F9" s="492">
        <f t="shared" ref="F9:F19" si="0">H9/E9-1</f>
        <v>0.35785006371517269</v>
      </c>
      <c r="G9" s="491">
        <f>'2 programa '!G235</f>
        <v>15900.336000000003</v>
      </c>
      <c r="H9" s="489">
        <f>'2 programa '!H235</f>
        <v>21107.728999999999</v>
      </c>
      <c r="I9" s="489">
        <f>'2 programa '!I235</f>
        <v>19312.551000000003</v>
      </c>
      <c r="J9" s="618">
        <f>'2 programa '!J235</f>
        <v>17312.03</v>
      </c>
      <c r="K9" s="600">
        <f>H9-'Suvestinė pagal FŠ'!N7</f>
        <v>0</v>
      </c>
      <c r="M9" s="542"/>
      <c r="N9" s="593">
        <v>2025</v>
      </c>
      <c r="O9" s="593">
        <f>I8</f>
        <v>6430.8830000000007</v>
      </c>
      <c r="P9" s="593">
        <f>I9</f>
        <v>19312.551000000003</v>
      </c>
      <c r="Q9" s="596">
        <f>I10</f>
        <v>1257.6599999999999</v>
      </c>
      <c r="R9" s="593">
        <f>I11</f>
        <v>2059.85</v>
      </c>
      <c r="S9" s="596">
        <f>I12</f>
        <v>497.47999999999996</v>
      </c>
      <c r="T9" s="593">
        <f>I13</f>
        <v>15032.177</v>
      </c>
      <c r="U9" s="596">
        <f>I14</f>
        <v>2218.4380000000001</v>
      </c>
      <c r="V9" s="593">
        <f>I15</f>
        <v>4689.3920000000007</v>
      </c>
      <c r="W9" s="596">
        <f>I16</f>
        <v>6329.0958725</v>
      </c>
      <c r="X9" s="593">
        <f>I17</f>
        <v>7909.18</v>
      </c>
    </row>
    <row r="10" spans="2:24" ht="21" customHeight="1">
      <c r="B10" s="485"/>
      <c r="C10" s="617">
        <v>3</v>
      </c>
      <c r="D10" s="490" t="s">
        <v>2487</v>
      </c>
      <c r="E10" s="494">
        <f>'3 programa'!E45</f>
        <v>1296.83</v>
      </c>
      <c r="F10" s="492">
        <f t="shared" si="0"/>
        <v>0.14098224131150561</v>
      </c>
      <c r="G10" s="494">
        <f>'3 programa'!G45</f>
        <v>155</v>
      </c>
      <c r="H10" s="607">
        <f>'3 programa'!H45</f>
        <v>1479.6599999999999</v>
      </c>
      <c r="I10" s="607">
        <f>'3 programa'!I45</f>
        <v>1257.6599999999999</v>
      </c>
      <c r="J10" s="619">
        <f>'3 programa'!J45</f>
        <v>1257.6599999999999</v>
      </c>
      <c r="K10" s="600">
        <f>H10-'Suvestinė pagal FŠ'!N8</f>
        <v>0</v>
      </c>
      <c r="M10" s="542"/>
      <c r="N10" s="593">
        <v>2026</v>
      </c>
      <c r="O10" s="593">
        <f>J8</f>
        <v>6485.933</v>
      </c>
      <c r="P10" s="593">
        <f>J9</f>
        <v>17312.03</v>
      </c>
      <c r="Q10" s="596">
        <f>J10</f>
        <v>1257.6599999999999</v>
      </c>
      <c r="R10" s="593">
        <f>J11</f>
        <v>2034.18</v>
      </c>
      <c r="S10" s="596">
        <f>J12</f>
        <v>408.95</v>
      </c>
      <c r="T10" s="593">
        <f>J13</f>
        <v>14323.558000000001</v>
      </c>
      <c r="U10" s="596">
        <f>J14</f>
        <v>1760.5509999999999</v>
      </c>
      <c r="V10" s="593">
        <f>J15</f>
        <v>4440.152</v>
      </c>
      <c r="W10" s="596">
        <f>J16</f>
        <v>7736.0084404999998</v>
      </c>
      <c r="X10" s="593">
        <f>J17</f>
        <v>8065.18</v>
      </c>
    </row>
    <row r="11" spans="2:24" ht="24" customHeight="1">
      <c r="B11" s="485"/>
      <c r="C11" s="617">
        <v>4</v>
      </c>
      <c r="D11" s="490" t="s">
        <v>2488</v>
      </c>
      <c r="E11" s="491">
        <f>'4 programa'!E115</f>
        <v>1710.9120000000003</v>
      </c>
      <c r="F11" s="492">
        <f t="shared" si="0"/>
        <v>0.17040327030262192</v>
      </c>
      <c r="G11" s="491">
        <f>'4 programa'!G115</f>
        <v>2086.9409999999998</v>
      </c>
      <c r="H11" s="489">
        <f>'4 programa'!H115</f>
        <v>2002.4569999999999</v>
      </c>
      <c r="I11" s="489">
        <f>'4 programa'!I115</f>
        <v>2059.85</v>
      </c>
      <c r="J11" s="618">
        <f>'4 programa'!J115</f>
        <v>2034.18</v>
      </c>
      <c r="K11" s="600">
        <f>H11-'Suvestinė pagal FŠ'!N9</f>
        <v>0</v>
      </c>
    </row>
    <row r="12" spans="2:24" ht="24.6" customHeight="1">
      <c r="B12" s="485"/>
      <c r="C12" s="617">
        <v>5</v>
      </c>
      <c r="D12" s="490" t="s">
        <v>2489</v>
      </c>
      <c r="E12" s="494">
        <f>'5 programa'!E71</f>
        <v>300.09199999999998</v>
      </c>
      <c r="F12" s="492">
        <f t="shared" si="0"/>
        <v>0.31722605067779241</v>
      </c>
      <c r="G12" s="494">
        <f>'5 programa'!G71</f>
        <v>430.05900000000003</v>
      </c>
      <c r="H12" s="607">
        <f>'5 programa'!H71</f>
        <v>395.28900000000004</v>
      </c>
      <c r="I12" s="607">
        <f>'5 programa'!I71</f>
        <v>497.47999999999996</v>
      </c>
      <c r="J12" s="619">
        <f>'5 programa'!J71</f>
        <v>408.95</v>
      </c>
      <c r="K12" s="600">
        <f>H12-'Suvestinė pagal FŠ'!N10</f>
        <v>0</v>
      </c>
      <c r="Q12" s="422"/>
    </row>
    <row r="13" spans="2:24" ht="16.95" customHeight="1">
      <c r="B13" s="485"/>
      <c r="C13" s="617">
        <v>6</v>
      </c>
      <c r="D13" s="456" t="s">
        <v>2490</v>
      </c>
      <c r="E13" s="491">
        <f>'6 programa'!E213</f>
        <v>12415.572</v>
      </c>
      <c r="F13" s="492">
        <f t="shared" si="0"/>
        <v>0.15837240523432983</v>
      </c>
      <c r="G13" s="491">
        <f>'6 programa'!G213</f>
        <v>7548.44</v>
      </c>
      <c r="H13" s="489">
        <f>'6 programa'!H213</f>
        <v>14381.855999999998</v>
      </c>
      <c r="I13" s="489">
        <f>'6 programa'!I213</f>
        <v>15032.177</v>
      </c>
      <c r="J13" s="618">
        <f>'6 programa'!J213</f>
        <v>14323.558000000001</v>
      </c>
      <c r="K13" s="600">
        <f>H13-'Suvestinė pagal FŠ'!N11</f>
        <v>0</v>
      </c>
    </row>
    <row r="14" spans="2:24" ht="20.399999999999999" customHeight="1">
      <c r="B14" s="485"/>
      <c r="C14" s="617">
        <v>7</v>
      </c>
      <c r="D14" s="490" t="s">
        <v>2491</v>
      </c>
      <c r="E14" s="491">
        <f>'7 programa'!E78</f>
        <v>240.535</v>
      </c>
      <c r="F14" s="492">
        <f t="shared" si="0"/>
        <v>2.7142869021140372</v>
      </c>
      <c r="G14" s="491">
        <f>'7 programa'!G78</f>
        <v>226.7</v>
      </c>
      <c r="H14" s="607">
        <f>'7 programa'!H78</f>
        <v>893.41599999999994</v>
      </c>
      <c r="I14" s="607">
        <f>'7 programa'!I78</f>
        <v>2218.4380000000001</v>
      </c>
      <c r="J14" s="619">
        <f>'7 programa'!J78</f>
        <v>1760.5509999999999</v>
      </c>
      <c r="K14" s="600">
        <f>H14-'Suvestinė pagal FŠ'!N12</f>
        <v>0</v>
      </c>
      <c r="M14" s="426"/>
      <c r="P14" s="426"/>
      <c r="Q14" s="426"/>
    </row>
    <row r="15" spans="2:24" ht="18.75" customHeight="1">
      <c r="B15" s="485"/>
      <c r="C15" s="617">
        <v>8</v>
      </c>
      <c r="D15" s="490" t="s">
        <v>2492</v>
      </c>
      <c r="E15" s="491">
        <f>'8 programa'!E100</f>
        <v>3957.2450000000003</v>
      </c>
      <c r="F15" s="492">
        <f t="shared" si="0"/>
        <v>0.10246370896924484</v>
      </c>
      <c r="G15" s="491">
        <f>'8 programa'!G100</f>
        <v>4580.246000000001</v>
      </c>
      <c r="H15" s="489">
        <f>'8 programa'!H100</f>
        <v>4362.7190000000001</v>
      </c>
      <c r="I15" s="489">
        <f>'8 programa'!I100</f>
        <v>4689.3920000000007</v>
      </c>
      <c r="J15" s="618">
        <f>'8 programa'!J100</f>
        <v>4440.152</v>
      </c>
      <c r="K15" s="600">
        <f>H15-'Suvestinė pagal FŠ'!N13</f>
        <v>0</v>
      </c>
    </row>
    <row r="16" spans="2:24" ht="16.5" customHeight="1">
      <c r="B16" s="485"/>
      <c r="C16" s="617">
        <v>9</v>
      </c>
      <c r="D16" s="490" t="s">
        <v>2493</v>
      </c>
      <c r="E16" s="491">
        <f>'9 programa'!E178</f>
        <v>1089.8</v>
      </c>
      <c r="F16" s="492">
        <f t="shared" si="0"/>
        <v>0.85163883281336017</v>
      </c>
      <c r="G16" s="491">
        <f>'9 programa'!G178</f>
        <v>744.11999999999989</v>
      </c>
      <c r="H16" s="607">
        <f>'9 programa'!H178</f>
        <v>2017.9159999999999</v>
      </c>
      <c r="I16" s="607">
        <f>'9 programa'!I178</f>
        <v>6329.0958725</v>
      </c>
      <c r="J16" s="619">
        <f>'9 programa'!J178</f>
        <v>7736.0084404999998</v>
      </c>
      <c r="K16" s="601">
        <f>H16-'Suvestinė pagal FŠ'!N14</f>
        <v>0</v>
      </c>
      <c r="N16" s="426"/>
    </row>
    <row r="17" spans="2:14" ht="19.2" customHeight="1" thickBot="1">
      <c r="B17" s="485"/>
      <c r="C17" s="617">
        <v>10</v>
      </c>
      <c r="D17" s="490" t="s">
        <v>2494</v>
      </c>
      <c r="E17" s="495">
        <f>'10 programa'!E178</f>
        <v>14770.977999999999</v>
      </c>
      <c r="F17" s="492">
        <f t="shared" si="0"/>
        <v>-0.61395365966965754</v>
      </c>
      <c r="G17" s="491">
        <f>'10 programa'!G178</f>
        <v>3532.2670000000003</v>
      </c>
      <c r="H17" s="608">
        <f>'10 programa'!H178</f>
        <v>5702.2820000000002</v>
      </c>
      <c r="I17" s="608">
        <f>'10 programa'!I178</f>
        <v>7909.18</v>
      </c>
      <c r="J17" s="620">
        <f>'10 programa'!J178</f>
        <v>8065.18</v>
      </c>
      <c r="K17" s="600">
        <f>H17-'Suvestinė pagal FŠ'!N15</f>
        <v>0</v>
      </c>
      <c r="N17" s="426"/>
    </row>
    <row r="18" spans="2:14" ht="19.2" hidden="1" customHeight="1">
      <c r="B18" s="485"/>
      <c r="C18" s="640"/>
      <c r="D18" s="641"/>
      <c r="E18" s="495"/>
      <c r="F18" s="642"/>
      <c r="G18" s="495"/>
      <c r="H18" s="609">
        <f>SUM(H8:H17)</f>
        <v>58118.724999999991</v>
      </c>
      <c r="I18" s="610">
        <f t="shared" ref="I18:J18" si="1">SUM(I8:I17)</f>
        <v>65736.706872500014</v>
      </c>
      <c r="J18" s="621">
        <f t="shared" si="1"/>
        <v>63824.202440500005</v>
      </c>
      <c r="K18" s="600"/>
      <c r="N18" s="426"/>
    </row>
    <row r="19" spans="2:14" ht="26.25" customHeight="1" thickBot="1">
      <c r="B19" s="485"/>
      <c r="C19" s="1638" t="s">
        <v>990</v>
      </c>
      <c r="D19" s="1639"/>
      <c r="E19" s="647">
        <f>SUM(E21,E23,E24,E25,E26,E27,)</f>
        <v>49453.52</v>
      </c>
      <c r="F19" s="648">
        <f t="shared" si="0"/>
        <v>3.5849480481874529E-2</v>
      </c>
      <c r="G19" s="647">
        <f t="shared" ref="G19:J19" si="2">SUM(G21,G23,G24,G25,G26,G27,)</f>
        <v>40746.597000000002</v>
      </c>
      <c r="H19" s="649">
        <f>SUM(H21,H23,H24,H25,H26,H27,)</f>
        <v>51226.402999999991</v>
      </c>
      <c r="I19" s="649">
        <f t="shared" si="2"/>
        <v>56704.172552500007</v>
      </c>
      <c r="J19" s="650">
        <f t="shared" si="2"/>
        <v>53564.125640500002</v>
      </c>
      <c r="K19" s="599"/>
    </row>
    <row r="20" spans="2:14" ht="21" customHeight="1">
      <c r="B20" s="485"/>
      <c r="C20" s="1640" t="s">
        <v>991</v>
      </c>
      <c r="D20" s="1641"/>
      <c r="E20" s="644"/>
      <c r="F20" s="643"/>
      <c r="G20" s="643"/>
      <c r="H20" s="645"/>
      <c r="I20" s="645"/>
      <c r="J20" s="646"/>
      <c r="K20" s="599"/>
      <c r="L20" s="426">
        <f>H18-'Suvestinė pagal FŠ'!N17</f>
        <v>-325.05700000000797</v>
      </c>
    </row>
    <row r="21" spans="2:14" ht="24.6" customHeight="1">
      <c r="B21" s="485"/>
      <c r="C21" s="1630" t="s">
        <v>992</v>
      </c>
      <c r="D21" s="1631"/>
      <c r="E21" s="498">
        <f>'1 programa '!E171+'2 programa '!E225+'3 programa'!E37+'4 programa'!E107+'5 programa'!E64+'6 programa'!E204+'7 programa'!E70+'8 programa'!E92+'9 programa'!E171+'10 programa'!E171</f>
        <v>30304.963</v>
      </c>
      <c r="F21" s="499">
        <f>H21/E21-1</f>
        <v>5.3589176135935057E-2</v>
      </c>
      <c r="G21" s="498">
        <f>'1 programa '!G171+'2 programa '!G225+'3 programa'!G37+'4 programa'!G107+'5 programa'!G64+'6 programa'!G204+'7 programa'!G70+'8 programa'!G92+'9 programa'!G171+'10 programa'!G171</f>
        <v>26647.708000000002</v>
      </c>
      <c r="H21" s="611">
        <f>'1 programa '!H171+'2 programa '!H225+'3 programa'!H37+'4 programa'!H107+'5 programa'!H64+'6 programa'!H204+'7 programa'!H70+'8 programa'!H92+'9 programa'!H171+'10 programa'!H171</f>
        <v>31928.980999999996</v>
      </c>
      <c r="I21" s="611">
        <f>'1 programa '!I171+'2 programa '!I225+'3 programa'!I37+'4 programa'!I107+'5 programa'!I64+'6 programa'!I204+'7 programa'!I70+'8 programa'!I92+'9 programa'!I171+'10 programa'!I171</f>
        <v>33004.483586000002</v>
      </c>
      <c r="J21" s="622">
        <f>'1 programa '!J171+'2 programa '!J225+'3 programa'!J37+'4 programa'!J107+'5 programa'!J64+'6 programa'!J204+'7 programa'!J70+'8 programa'!J92+'9 programa'!J171+'10 programa'!J171</f>
        <v>32844.574534000007</v>
      </c>
      <c r="K21" s="602"/>
      <c r="L21" s="426"/>
      <c r="M21" s="426"/>
      <c r="N21" s="426"/>
    </row>
    <row r="22" spans="2:14" ht="11.25" hidden="1" customHeight="1">
      <c r="B22" s="485"/>
      <c r="C22" s="1644" t="s">
        <v>3570</v>
      </c>
      <c r="D22" s="1645"/>
      <c r="E22" s="574"/>
      <c r="F22" s="575"/>
      <c r="G22" s="574"/>
      <c r="H22" s="612">
        <f>'7 programa'!H71+'8 programa'!H93</f>
        <v>83.635999999999996</v>
      </c>
      <c r="I22" s="613"/>
      <c r="J22" s="623"/>
      <c r="K22" s="599"/>
    </row>
    <row r="23" spans="2:14" ht="15" customHeight="1">
      <c r="B23" s="485"/>
      <c r="C23" s="1630" t="s">
        <v>993</v>
      </c>
      <c r="D23" s="1631"/>
      <c r="E23" s="496">
        <f>'1 programa '!E172+'2 programa '!E226+'3 programa'!E38+'4 programa'!E108+'5 programa'!E65+'6 programa'!E205+'7 programa'!E72+'8 programa'!E94+'9 programa'!E172+'10 programa'!E172</f>
        <v>11717.041999999999</v>
      </c>
      <c r="F23" s="499">
        <f t="shared" ref="F23:F30" si="3">H23/E23-1</f>
        <v>0.11785457455900561</v>
      </c>
      <c r="G23" s="496">
        <f>'1 programa '!G172+'2 programa '!G226+'3 programa'!G38+'4 programa'!G108+'5 programa'!G65+'6 programa'!G205+'7 programa'!G72+'8 programa'!G94+'9 programa'!G172+'10 programa'!G172</f>
        <v>11258.989000000001</v>
      </c>
      <c r="H23" s="614">
        <f>'1 programa '!H172+'2 programa '!H226+'3 programa'!H38+'4 programa'!H108+'5 programa'!H65+'6 programa'!H205+'7 programa'!H72+'8 programa'!H94+'9 programa'!H172+'10 programa'!H172</f>
        <v>13097.949000000001</v>
      </c>
      <c r="I23" s="614">
        <f>'1 programa '!I172+'2 programa '!I226+'3 programa'!I38+'4 programa'!I108+'5 programa'!I65+'6 programa'!I205+'7 programa'!I72+'8 programa'!I94+'9 programa'!I172+'10 programa'!I172</f>
        <v>13307.41</v>
      </c>
      <c r="J23" s="624">
        <f>'1 programa '!J172+'2 programa '!J226+'3 programa'!J38+'4 programa'!J108+'5 programa'!J65+'6 programa'!J205+'7 programa'!J72+'8 programa'!J94+'9 programa'!J172+'10 programa'!J172</f>
        <v>13419.655000000001</v>
      </c>
      <c r="K23" s="599"/>
    </row>
    <row r="24" spans="2:14" ht="16.95" customHeight="1">
      <c r="B24" s="485"/>
      <c r="C24" s="1630" t="s">
        <v>994</v>
      </c>
      <c r="D24" s="1631"/>
      <c r="E24" s="496">
        <f>'1 programa '!E174+'2 programa '!E230+'3 programa'!E40+'4 programa'!E110+'5 programa'!E66+'6 programa'!E208+'7 programa'!E73+'8 programa'!E95+'9 programa'!E173+'10 programa'!E173</f>
        <v>1424.6419999999998</v>
      </c>
      <c r="F24" s="499">
        <f t="shared" si="3"/>
        <v>0.1010485441254716</v>
      </c>
      <c r="G24" s="496">
        <f>'1 programa '!G174+'2 programa '!G230+'3 programa'!G40+'4 programa'!G110+'5 programa'!G66+'6 programa'!G208+'7 programa'!G73+'8 programa'!G95+'9 programa'!G173+'10 programa'!G173</f>
        <v>1463.144</v>
      </c>
      <c r="H24" s="615">
        <f>'1 programa '!H174+'2 programa '!H230+'3 programa'!H40+'4 programa'!H110+'5 programa'!H66+'6 programa'!H208+'7 programa'!H73+'8 programa'!H95+'9 programa'!H173+'10 programa'!H173</f>
        <v>1568.6</v>
      </c>
      <c r="I24" s="615">
        <f>'1 programa '!I174+'2 programa '!I230+'3 programa'!I40+'4 programa'!I110+'5 programa'!I66+'6 programa'!I208+'7 programa'!I73+'8 programa'!I95+'9 programa'!I173+'10 programa'!I173</f>
        <v>1566.182</v>
      </c>
      <c r="J24" s="625">
        <f>'1 programa '!J174+'2 programa '!J230+'3 programa'!J40+'4 programa'!J110+'5 programa'!J66+'6 programa'!J208+'7 programa'!J73+'8 programa'!J95+'9 programa'!J173+'10 programa'!J173</f>
        <v>1582.318</v>
      </c>
      <c r="K24" s="603"/>
      <c r="L24" s="426"/>
      <c r="M24" s="426"/>
    </row>
    <row r="25" spans="2:14" ht="22.2" customHeight="1">
      <c r="B25" s="485"/>
      <c r="C25" s="1630" t="s">
        <v>2486</v>
      </c>
      <c r="D25" s="1631"/>
      <c r="E25" s="497">
        <f>'1 programa '!E175+'2 programa '!E231+'3 programa'!E41+'4 programa'!E111+'5 programa'!E67+'6 programa'!E209+'7 programa'!E74+'8 programa'!E96+'9 programa'!E174+'10 programa'!E174</f>
        <v>3936.8829999999998</v>
      </c>
      <c r="F25" s="499">
        <f t="shared" si="3"/>
        <v>9.3711954355768068E-2</v>
      </c>
      <c r="G25" s="472">
        <f>'1 programa '!G175+'2 programa '!G231+'3 programa'!G41+'4 programa'!G111+'5 programa'!G67+'6 programa'!G209+'7 programa'!G74+'8 programa'!G96+'9 programa'!G174+'10 programa'!G174</f>
        <v>1376.7560000000001</v>
      </c>
      <c r="H25" s="616">
        <f>'1 programa '!H175+'2 programa '!H231+'3 programa'!H41+'4 programa'!H111+'5 programa'!H67+'6 programa'!H209+'7 programa'!H74+'8 programa'!H96+'9 programa'!H174+'10 programa'!H174</f>
        <v>4305.8159999999989</v>
      </c>
      <c r="I25" s="616">
        <f>'1 programa '!I175+'2 programa '!I231+'3 programa'!I41+'4 programa'!I111+'5 programa'!I67+'6 programa'!I209+'7 programa'!I74+'8 programa'!I96+'9 programa'!I174+'10 programa'!I174</f>
        <v>8826.0969665000011</v>
      </c>
      <c r="J25" s="625">
        <f>'1 programa '!J175+'2 programa '!J231+'3 programa'!J41+'4 programa'!J111+'5 programa'!J67+'6 programa'!J209+'7 programa'!J74+'8 programa'!J96+'9 programa'!J174+'10 programa'!J174</f>
        <v>5717.5781065000001</v>
      </c>
      <c r="K25" s="603"/>
      <c r="L25" s="426"/>
    </row>
    <row r="26" spans="2:14" ht="17.399999999999999" customHeight="1">
      <c r="B26" s="485"/>
      <c r="C26" s="1630" t="s">
        <v>995</v>
      </c>
      <c r="D26" s="1631"/>
      <c r="E26" s="472">
        <f>'1 programa '!E176+'2 programa '!E232+'3 programa'!E42+'4 programa'!E112+'5 programa'!E68+'6 programa'!E210+'7 programa'!E75+'8 programa'!E97+'9 programa'!E175+'10 programa'!E175</f>
        <v>2069.9899999999998</v>
      </c>
      <c r="F26" s="499">
        <f t="shared" si="3"/>
        <v>-0.84296687423610739</v>
      </c>
      <c r="G26" s="472">
        <f>'1 programa '!G176+'2 programa '!G232+'3 programa'!G42+'4 programa'!G112+'5 programa'!G68+'6 programa'!G210+'7 programa'!G75+'8 programa'!G97+'9 programa'!G175+'10 programa'!G175</f>
        <v>0</v>
      </c>
      <c r="H26" s="616">
        <f>'1 programa '!H176+'2 programa '!H232+'3 programa'!H42+'4 programa'!H112+'5 programa'!H68+'6 programa'!H210+'7 programa'!H75+'8 programa'!H97+'9 programa'!H175+'10 programa'!H175</f>
        <v>325.05700000000002</v>
      </c>
      <c r="I26" s="616">
        <f>'1 programa '!I176+'2 programa '!I232+'3 programa'!I42+'4 programa'!I112+'5 programa'!I68+'6 programa'!I210+'7 programa'!I75+'8 programa'!I97+'9 programa'!I175+'10 programa'!I175</f>
        <v>0</v>
      </c>
      <c r="J26" s="625">
        <f>'1 programa '!J176+'2 programa '!J232+'3 programa'!J42+'4 programa'!J112+'5 programa'!J68+'6 programa'!J210+'7 programa'!J75+'8 programa'!J97+'9 programa'!J175+'10 programa'!J175</f>
        <v>0</v>
      </c>
      <c r="K26" s="603"/>
    </row>
    <row r="27" spans="2:14" ht="18" customHeight="1">
      <c r="B27" s="485"/>
      <c r="C27" s="1630" t="s">
        <v>996</v>
      </c>
      <c r="D27" s="1631"/>
      <c r="E27" s="472">
        <f>'1 programa '!E177+'2 programa '!E233+'3 programa'!E43+'4 programa'!E113+'5 programa'!E69+'6 programa'!E211+'7 programa'!E76+'8 programa'!E98+'9 programa'!E176+'10 programa'!E176</f>
        <v>0</v>
      </c>
      <c r="F27" s="499"/>
      <c r="G27" s="472">
        <f>'1 programa '!G177+'2 programa '!G233+'3 programa'!G43+'4 programa'!G113+'5 programa'!G69+'6 programa'!G211+'7 programa'!G76+'8 programa'!G98+'9 programa'!G176+'10 programa'!G176</f>
        <v>0</v>
      </c>
      <c r="H27" s="616">
        <f>'1 programa '!H177+'2 programa '!H233+'3 programa'!H43+'4 programa'!H113+'5 programa'!H69+'6 programa'!H211+'7 programa'!H76+'8 programa'!H98+'9 programa'!H176+'10 programa'!H176</f>
        <v>0</v>
      </c>
      <c r="I27" s="616">
        <f>'1 programa '!I177+'2 programa '!I233+'3 programa'!I43+'4 programa'!I113+'5 programa'!I69+'6 programa'!I211+'7 programa'!I76+'8 programa'!I98+'9 programa'!I176+'10 programa'!I176</f>
        <v>0</v>
      </c>
      <c r="J27" s="625">
        <f>'1 programa '!J177+'2 programa '!J233+'3 programa'!J43+'4 programa'!J113+'5 programa'!J69+'6 programa'!J211+'7 programa'!J76+'8 programa'!J98+'9 programa'!J176+'10 programa'!J176</f>
        <v>0</v>
      </c>
      <c r="K27" s="599"/>
    </row>
    <row r="28" spans="2:14" ht="34.950000000000003" customHeight="1" thickBot="1">
      <c r="B28" s="485"/>
      <c r="C28" s="1632" t="s">
        <v>997</v>
      </c>
      <c r="D28" s="1633"/>
      <c r="E28" s="590">
        <f>'1 programa '!E178+'2 programa '!E234+'3 programa'!E44+'4 programa'!E114+'5 programa'!E70+'6 programa'!E212+'7 programa'!E77+'8 programa'!E99+'9 programa'!E177+'10 programa'!E177</f>
        <v>6458.2179999999998</v>
      </c>
      <c r="F28" s="626">
        <f t="shared" si="3"/>
        <v>6.7217303596750488E-2</v>
      </c>
      <c r="G28" s="590">
        <f>'1 programa '!H178+'2 programa '!H234+'3 programa'!H44+'4 programa'!H114+'5 programa'!H70+'6 programa'!H212+'7 programa'!H77+'8 programa'!H99+'9 programa'!H177+'10 programa'!H177</f>
        <v>6892.3219999999992</v>
      </c>
      <c r="H28" s="631">
        <f>'1 programa '!H178+'2 programa '!H234+'3 programa'!H44+'4 programa'!H114+'5 programa'!H70+'6 programa'!H212+'7 programa'!H77+'8 programa'!H99+'9 programa'!H177+'10 programa'!H177</f>
        <v>6892.3219999999992</v>
      </c>
      <c r="I28" s="631">
        <f>'1 programa '!I178+'2 programa '!I234+'3 programa'!I44+'4 programa'!I114+'5 programa'!I70+'6 programa'!I212+'7 programa'!I77+'8 programa'!I99+'9 programa'!I177+'10 programa'!I177</f>
        <v>9032.5343200000007</v>
      </c>
      <c r="J28" s="632">
        <f>'1 programa '!J178+'2 programa '!J234+'3 programa'!J44+'4 programa'!J114+'5 programa'!J70+'6 programa'!J212+'7 programa'!J77+'8 programa'!J99+'9 programa'!J177+'10 programa'!J177</f>
        <v>10260.076800000001</v>
      </c>
      <c r="K28" s="603"/>
    </row>
    <row r="29" spans="2:14" ht="25.2" customHeight="1" thickBot="1">
      <c r="B29" s="485"/>
      <c r="C29" s="1634" t="s">
        <v>3305</v>
      </c>
      <c r="D29" s="1635"/>
      <c r="E29" s="637">
        <f>E19+E28</f>
        <v>55911.737999999998</v>
      </c>
      <c r="F29" s="628">
        <f t="shared" si="3"/>
        <v>3.9472695339930031E-2</v>
      </c>
      <c r="G29" s="637">
        <f t="shared" ref="G29" si="4">G19+G28</f>
        <v>47638.919000000002</v>
      </c>
      <c r="H29" s="638">
        <f>H19+H28</f>
        <v>58118.724999999991</v>
      </c>
      <c r="I29" s="638">
        <f>I19+I28</f>
        <v>65736.706872500014</v>
      </c>
      <c r="J29" s="639">
        <f t="shared" ref="J29" si="5">J19+J28</f>
        <v>63824.202440500005</v>
      </c>
      <c r="K29" s="603"/>
      <c r="L29" s="426"/>
    </row>
    <row r="30" spans="2:14" ht="25.2" customHeight="1" thickBot="1">
      <c r="B30" s="485"/>
      <c r="C30" s="1636" t="s">
        <v>3852</v>
      </c>
      <c r="D30" s="1637"/>
      <c r="E30" s="633">
        <f>'1 programa '!E180+'2 programa '!E236+'3 programa'!E46+'4 programa'!E116+'5 programa'!E72+'6 programa'!E214+'7 programa'!E79+'8 programa'!E101+'9 programa'!E179+'10 programa'!E179</f>
        <v>49.277999999999999</v>
      </c>
      <c r="F30" s="634">
        <f t="shared" si="3"/>
        <v>71.112869840496771</v>
      </c>
      <c r="G30" s="633">
        <f>'1 programa '!G180+'2 programa '!G236+'3 programa'!G46+'4 programa'!G116+'5 programa'!G72+'6 programa'!G214+'7 programa'!G79+'8 programa'!G101+'9 programa'!G179+'10 programa'!G179</f>
        <v>2375.5660000000003</v>
      </c>
      <c r="H30" s="635">
        <f>'1 programa '!H180+'2 programa '!H236+'3 programa'!H46+'4 programa'!H116+'5 programa'!H72+'6 programa'!H214+'7 programa'!H79+'8 programa'!H101+'9 programa'!H179+'10 programa'!H179</f>
        <v>3553.578</v>
      </c>
      <c r="I30" s="635">
        <f>'1 programa '!I180+'2 programa '!I236+'3 programa'!I46+'4 programa'!I116+'5 programa'!I72+'6 programa'!I214+'7 programa'!I79+'8 programa'!I101+'9 programa'!I179+'10 programa'!I179</f>
        <v>8252.3090000000011</v>
      </c>
      <c r="J30" s="636">
        <f>'1 programa '!J180+'2 programa '!J236+'3 programa'!J46+'4 programa'!J116+'5 programa'!J72+'6 programa'!J214+'7 programa'!J79+'8 programa'!J101+'9 programa'!J179+'10 programa'!J179</f>
        <v>5380.7280000000001</v>
      </c>
      <c r="K30" s="599"/>
    </row>
    <row r="31" spans="2:14" ht="25.95" customHeight="1" thickBot="1">
      <c r="B31" s="485"/>
      <c r="C31" s="1628" t="s">
        <v>998</v>
      </c>
      <c r="D31" s="1629"/>
      <c r="E31" s="627"/>
      <c r="F31" s="628"/>
      <c r="G31" s="629"/>
      <c r="H31" s="630">
        <f>H29/E29-1</f>
        <v>3.9472695339930031E-2</v>
      </c>
      <c r="I31" s="630">
        <f>I29/H29-1</f>
        <v>0.1310762043128102</v>
      </c>
      <c r="J31" s="630">
        <f>J29/I29-1</f>
        <v>-2.9093401890505688E-2</v>
      </c>
      <c r="K31" s="599"/>
    </row>
    <row r="32" spans="2:14">
      <c r="B32" s="485"/>
      <c r="C32" s="387"/>
      <c r="D32" s="500" t="s">
        <v>3306</v>
      </c>
      <c r="E32" s="500"/>
      <c r="F32" s="500"/>
      <c r="G32" s="500"/>
      <c r="H32" s="387"/>
      <c r="I32" s="387"/>
      <c r="J32" s="387"/>
      <c r="K32" s="599"/>
    </row>
    <row r="33" spans="2:14">
      <c r="B33" s="421"/>
      <c r="D33" s="425"/>
      <c r="E33" s="425"/>
      <c r="F33" s="425"/>
      <c r="G33" s="425"/>
      <c r="K33" s="599"/>
    </row>
    <row r="34" spans="2:14">
      <c r="B34" s="421"/>
      <c r="K34" s="599"/>
    </row>
    <row r="35" spans="2:14">
      <c r="B35" s="421"/>
      <c r="K35" s="599"/>
    </row>
    <row r="36" spans="2:14" ht="13.8" thickBot="1">
      <c r="B36" s="423"/>
      <c r="C36" s="424"/>
      <c r="D36" s="424"/>
      <c r="E36" s="424"/>
      <c r="F36" s="424"/>
      <c r="G36" s="424"/>
      <c r="H36" s="424"/>
      <c r="I36" s="424"/>
      <c r="J36" s="424"/>
      <c r="K36" s="604"/>
    </row>
    <row r="40" spans="2:14">
      <c r="D40" s="593"/>
      <c r="E40" s="593"/>
      <c r="F40" s="593"/>
      <c r="G40" s="593"/>
      <c r="H40" s="593"/>
      <c r="I40" s="593"/>
      <c r="J40" s="593"/>
      <c r="K40" s="605"/>
      <c r="L40" s="593"/>
      <c r="M40" s="593"/>
      <c r="N40" s="593"/>
    </row>
    <row r="41" spans="2:14">
      <c r="D41" s="593"/>
      <c r="E41" s="593"/>
      <c r="F41" s="593"/>
      <c r="G41" s="593"/>
      <c r="H41" s="593"/>
      <c r="I41" s="593"/>
      <c r="J41" s="593"/>
      <c r="K41" s="605"/>
      <c r="L41" s="593"/>
      <c r="M41" s="593"/>
      <c r="N41" s="593"/>
    </row>
    <row r="42" spans="2:14">
      <c r="D42" s="593"/>
      <c r="E42" s="593"/>
      <c r="F42" s="593"/>
      <c r="G42" s="596"/>
      <c r="H42" s="593"/>
      <c r="I42" s="593"/>
      <c r="J42" s="593"/>
      <c r="K42" s="605"/>
      <c r="L42" s="593"/>
      <c r="M42" s="596"/>
      <c r="N42" s="593"/>
    </row>
    <row r="43" spans="2:14">
      <c r="D43" s="593"/>
      <c r="E43" s="593"/>
      <c r="F43" s="593"/>
      <c r="G43" s="593"/>
      <c r="H43" s="593"/>
      <c r="I43" s="593"/>
      <c r="J43" s="593"/>
      <c r="K43" s="605"/>
      <c r="L43" s="593"/>
      <c r="M43" s="596"/>
      <c r="N43" s="593"/>
    </row>
    <row r="44" spans="2:14">
      <c r="D44" s="593"/>
      <c r="E44" s="593"/>
      <c r="F44" s="593"/>
      <c r="G44" s="593"/>
      <c r="H44" s="593"/>
      <c r="I44" s="593"/>
      <c r="J44" s="593"/>
      <c r="K44" s="605"/>
      <c r="L44" s="593"/>
      <c r="M44" s="593"/>
      <c r="N44" s="593"/>
    </row>
    <row r="45" spans="2:14">
      <c r="D45" s="593"/>
      <c r="E45" s="593"/>
      <c r="F45" s="593"/>
      <c r="G45" s="593"/>
      <c r="H45" s="593"/>
      <c r="I45" s="593"/>
      <c r="J45" s="593"/>
      <c r="K45" s="605"/>
      <c r="L45" s="593"/>
      <c r="M45" s="593"/>
      <c r="N45" s="593"/>
    </row>
    <row r="46" spans="2:14">
      <c r="D46" s="593"/>
      <c r="E46" s="593"/>
      <c r="F46" s="593"/>
      <c r="G46" s="593"/>
      <c r="H46" s="593"/>
      <c r="I46" s="593"/>
      <c r="J46" s="593"/>
      <c r="K46" s="605"/>
      <c r="L46" s="593"/>
      <c r="M46" s="593"/>
      <c r="N46" s="593"/>
    </row>
  </sheetData>
  <sheetProtection algorithmName="SHA-512" hashValue="PZdyzNiOrTCCpqSlMLuJtZhJWATL911UdDsRpXrFt2QizBIAZ/9AK4drvwCT+H8AnjHC0mDZjmYKGzNnOpu/3g==" saltValue="P92pLhsyrzlIO2o+ogRfqA==" spinCount="100000" sheet="1" objects="1" scenarios="1"/>
  <mergeCells count="16">
    <mergeCell ref="C1:J1"/>
    <mergeCell ref="C30:D30"/>
    <mergeCell ref="C19:D19"/>
    <mergeCell ref="C20:D20"/>
    <mergeCell ref="C5:K5"/>
    <mergeCell ref="C21:D21"/>
    <mergeCell ref="C2:J2"/>
    <mergeCell ref="C22:D22"/>
    <mergeCell ref="C31:D31"/>
    <mergeCell ref="C23:D23"/>
    <mergeCell ref="C24:D24"/>
    <mergeCell ref="C25:D25"/>
    <mergeCell ref="C26:D26"/>
    <mergeCell ref="C27:D27"/>
    <mergeCell ref="C28:D28"/>
    <mergeCell ref="C29:D29"/>
  </mergeCells>
  <pageMargins left="0.7" right="0.7" top="0.75" bottom="0.75" header="0.3" footer="0.3"/>
  <pageSetup paperSize="9" scale="6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8EDF9-B316-445A-AAD0-5382E82CBBC5}">
  <dimension ref="A1:V1174"/>
  <sheetViews>
    <sheetView zoomScale="80" zoomScaleNormal="80" workbookViewId="0">
      <pane xSplit="11" ySplit="18" topLeftCell="L19" activePane="bottomRight" state="frozen"/>
      <selection pane="topRight" activeCell="K1" sqref="K1"/>
      <selection pane="bottomLeft" activeCell="A18" sqref="A18"/>
      <selection pane="bottomRight" activeCell="AS28" sqref="AS28"/>
    </sheetView>
  </sheetViews>
  <sheetFormatPr defaultColWidth="9.109375" defaultRowHeight="10.199999999999999"/>
  <cols>
    <col min="1" max="1" width="15.21875" style="461" customWidth="1"/>
    <col min="2" max="2" width="38.33203125" style="461" customWidth="1"/>
    <col min="3" max="3" width="4.33203125" style="461" customWidth="1"/>
    <col min="4" max="4" width="5.5546875" style="461" customWidth="1"/>
    <col min="5" max="6" width="10.6640625" style="470" hidden="1" customWidth="1"/>
    <col min="7" max="7" width="11.109375" style="461" hidden="1" customWidth="1"/>
    <col min="8" max="8" width="16.44140625" style="461" customWidth="1"/>
    <col min="9" max="9" width="17.5546875" style="461" customWidth="1"/>
    <col min="10" max="10" width="18.33203125" style="461" customWidth="1"/>
    <col min="11" max="11" width="16.33203125" style="464" customWidth="1"/>
    <col min="12" max="12" width="53.6640625" style="461" customWidth="1"/>
    <col min="13" max="13" width="13.33203125" style="461" customWidth="1"/>
    <col min="14" max="14" width="38.33203125" style="461" customWidth="1"/>
    <col min="15" max="15" width="10.21875" style="587" customWidth="1"/>
    <col min="16" max="16" width="8.6640625" style="587" customWidth="1"/>
    <col min="17" max="17" width="9.109375" style="587" customWidth="1"/>
    <col min="18" max="18" width="29.44140625" style="465" customWidth="1"/>
    <col min="19" max="19" width="29.109375" style="461" hidden="1" customWidth="1"/>
    <col min="20" max="20" width="0" style="461" hidden="1" customWidth="1"/>
    <col min="21" max="22" width="8.88671875" style="461" hidden="1" customWidth="1"/>
    <col min="23" max="38" width="0" style="461" hidden="1" customWidth="1"/>
    <col min="39" max="16384" width="9.109375" style="461"/>
  </cols>
  <sheetData>
    <row r="1" spans="1:18" ht="15.6" customHeight="1">
      <c r="A1" s="1742" t="s">
        <v>2775</v>
      </c>
      <c r="B1" s="1742"/>
      <c r="C1" s="1742"/>
      <c r="D1" s="1742"/>
      <c r="E1" s="1742"/>
      <c r="F1" s="1742"/>
      <c r="G1" s="1742"/>
      <c r="H1" s="1742"/>
      <c r="I1" s="1742"/>
      <c r="J1" s="1742"/>
      <c r="K1" s="1742"/>
      <c r="L1" s="1742"/>
      <c r="O1" s="1743"/>
      <c r="P1" s="1743"/>
      <c r="Q1" s="1743"/>
      <c r="R1" s="1743"/>
    </row>
    <row r="2" spans="1:18" ht="56.4" customHeight="1">
      <c r="A2" s="1646" t="s">
        <v>3718</v>
      </c>
      <c r="B2" s="1647"/>
      <c r="C2" s="1647"/>
      <c r="D2" s="1647"/>
      <c r="E2" s="1647"/>
      <c r="F2" s="1647"/>
      <c r="G2" s="1647"/>
      <c r="H2" s="1647"/>
      <c r="I2" s="1647"/>
      <c r="J2" s="1647"/>
      <c r="K2" s="1647"/>
      <c r="L2" s="1647"/>
      <c r="M2" s="1647"/>
      <c r="N2" s="1647"/>
      <c r="O2" s="1647"/>
      <c r="P2" s="1647"/>
      <c r="Q2" s="1647"/>
      <c r="R2" s="1647"/>
    </row>
    <row r="3" spans="1:18" ht="12">
      <c r="A3" s="659" t="str">
        <f>A19</f>
        <v>01.01.01. (T)</v>
      </c>
      <c r="B3" s="660" t="str">
        <f>B19</f>
        <v>Gerinti  teikiamų paslaugų kokybę, didinti jų prieinamumą ir patrauklumą, tinkamai organizuojant savivaldybės administravimo subjektams  priskirtų funkcijų įgyvendinimą</v>
      </c>
      <c r="C3" s="659"/>
      <c r="D3" s="659"/>
      <c r="E3" s="659"/>
      <c r="F3" s="659"/>
      <c r="G3" s="659"/>
      <c r="H3" s="659"/>
      <c r="I3" s="659"/>
      <c r="J3" s="659"/>
      <c r="K3" s="661"/>
      <c r="L3" s="659"/>
      <c r="R3" s="461"/>
    </row>
    <row r="4" spans="1:18" ht="12">
      <c r="A4" s="659" t="str">
        <f>A34</f>
        <v>01.01.02 (T)</v>
      </c>
      <c r="B4" s="659" t="str">
        <f>B34</f>
        <v>Užtikrinti, valstybinių  (valstybės perduotų savivaldybėms) funkcijų vykdymą</v>
      </c>
      <c r="C4" s="659"/>
      <c r="D4" s="659"/>
      <c r="E4" s="659"/>
      <c r="F4" s="659"/>
      <c r="G4" s="659"/>
      <c r="H4" s="659"/>
      <c r="I4" s="659"/>
      <c r="J4" s="659"/>
      <c r="K4" s="661"/>
      <c r="L4" s="659"/>
      <c r="R4" s="461"/>
    </row>
    <row r="5" spans="1:18" ht="12">
      <c r="A5" s="659" t="str">
        <f>A87</f>
        <v>01.01.03 (T)</v>
      </c>
      <c r="B5" s="659" t="str">
        <f>B87</f>
        <v>Užtikrinti efektyvų savivaldybei nuosavybės teise priklausančio nekilnojamojo  turto naudojimą, įmonių bei įstaigų valdymą</v>
      </c>
      <c r="C5" s="659"/>
      <c r="D5" s="659"/>
      <c r="E5" s="659"/>
      <c r="F5" s="659"/>
      <c r="G5" s="659"/>
      <c r="H5" s="659"/>
      <c r="I5" s="659"/>
      <c r="J5" s="659"/>
      <c r="K5" s="661"/>
      <c r="L5" s="659"/>
      <c r="R5" s="461"/>
    </row>
    <row r="6" spans="1:18" ht="12">
      <c r="A6" s="659" t="str">
        <f>A104</f>
        <v>01.01.04. (T)</v>
      </c>
      <c r="B6" s="659" t="str">
        <f>B104</f>
        <v>Sudaryti sąlygas iš anksto negalimoms suplanuoti priemonėms vykdyti bei savivaldybės finansiniams įsipareigojimams vykdyti</v>
      </c>
      <c r="C6" s="659"/>
      <c r="D6" s="659"/>
      <c r="E6" s="659"/>
      <c r="F6" s="659"/>
      <c r="G6" s="659"/>
      <c r="H6" s="659"/>
      <c r="I6" s="659"/>
      <c r="J6" s="659"/>
      <c r="K6" s="661"/>
      <c r="L6" s="659"/>
      <c r="R6" s="461"/>
    </row>
    <row r="7" spans="1:18" ht="12">
      <c r="A7" s="659" t="str">
        <f>A113</f>
        <v>01.01.05. (T)</v>
      </c>
      <c r="B7" s="659" t="str">
        <f>B113</f>
        <v>Įgyvendinti Visagino savivaldybės 
korupcijos prevencijos 2022-2024 metų veiksmų planą</v>
      </c>
      <c r="C7" s="659"/>
      <c r="D7" s="659"/>
      <c r="E7" s="659"/>
      <c r="F7" s="659"/>
      <c r="G7" s="659"/>
      <c r="H7" s="659"/>
      <c r="I7" s="659"/>
      <c r="J7" s="659"/>
      <c r="K7" s="661"/>
      <c r="L7" s="659"/>
      <c r="R7" s="461"/>
    </row>
    <row r="8" spans="1:18" ht="12">
      <c r="A8" s="659" t="str">
        <f>A116</f>
        <v>01.02.02. (T)</v>
      </c>
      <c r="B8" s="659" t="str">
        <f>B116</f>
        <v>Gerinti visuomenei teikiamų paslaugų kokybę, didinant jų atitiktį visuomenės poreikiams</v>
      </c>
      <c r="C8" s="659"/>
      <c r="D8" s="659"/>
      <c r="E8" s="659"/>
      <c r="F8" s="659"/>
      <c r="G8" s="659"/>
      <c r="H8" s="659"/>
      <c r="I8" s="659"/>
      <c r="J8" s="659"/>
      <c r="K8" s="661"/>
      <c r="L8" s="659"/>
      <c r="R8" s="461"/>
    </row>
    <row r="9" spans="1:18" ht="12">
      <c r="A9" s="659" t="str">
        <f>A145</f>
        <v>01.02.03. (T)</v>
      </c>
      <c r="B9" s="659" t="str">
        <f>B145</f>
        <v>Organizuoti savivaldybės veiklą vadovaujantis šiuolaikiniais vadybos metodais</v>
      </c>
      <c r="C9" s="659"/>
      <c r="D9" s="659"/>
      <c r="E9" s="659"/>
      <c r="F9" s="659"/>
      <c r="G9" s="659"/>
      <c r="H9" s="659"/>
      <c r="I9" s="659"/>
      <c r="J9" s="659"/>
      <c r="K9" s="661"/>
      <c r="L9" s="659"/>
      <c r="R9" s="461"/>
    </row>
    <row r="10" spans="1:18" ht="10.95" customHeight="1">
      <c r="A10" s="659" t="str">
        <f>A150</f>
        <v>01.02.04. (T)</v>
      </c>
      <c r="B10" s="660" t="str">
        <f>B150</f>
        <v>Informuoti visuomenę apie savivaldybės veiklą ir formuoti teigiamą savivaldybės įvaizdį, plėtoti dalykinius santykius ir ryšius su tarptautinėmis ir vietinėmis institucijomis ir organizacijomis</v>
      </c>
      <c r="C10" s="659"/>
      <c r="D10" s="659"/>
      <c r="E10" s="659"/>
      <c r="F10" s="659"/>
      <c r="G10" s="659"/>
      <c r="H10" s="659"/>
      <c r="I10" s="659"/>
      <c r="J10" s="659"/>
      <c r="K10" s="661"/>
      <c r="L10" s="662"/>
      <c r="M10" s="463"/>
      <c r="N10" s="463"/>
      <c r="O10" s="1564"/>
      <c r="P10" s="1564"/>
      <c r="Q10" s="1564"/>
      <c r="R10" s="463"/>
    </row>
    <row r="11" spans="1:18" ht="9.6" customHeight="1">
      <c r="A11" s="659"/>
      <c r="B11" s="659"/>
      <c r="C11" s="659"/>
      <c r="D11" s="659"/>
      <c r="E11" s="659"/>
      <c r="F11" s="659"/>
      <c r="G11" s="659"/>
      <c r="H11" s="659"/>
      <c r="I11" s="659"/>
      <c r="J11" s="659"/>
      <c r="K11" s="661"/>
      <c r="L11" s="662"/>
      <c r="M11" s="463"/>
      <c r="N11" s="463"/>
      <c r="O11" s="1564"/>
      <c r="P11" s="1564"/>
      <c r="Q11" s="1564"/>
      <c r="R11" s="463"/>
    </row>
    <row r="12" spans="1:18" ht="13.8" customHeight="1">
      <c r="A12" s="1728"/>
      <c r="B12" s="1729"/>
      <c r="C12" s="1729"/>
      <c r="D12" s="1729"/>
      <c r="E12" s="1729"/>
      <c r="F12" s="1729"/>
      <c r="G12" s="1729"/>
      <c r="H12" s="1729"/>
      <c r="I12" s="1729"/>
      <c r="J12" s="1729"/>
      <c r="K12" s="1729"/>
      <c r="L12" s="1729"/>
      <c r="M12" s="1729"/>
      <c r="N12" s="1729"/>
      <c r="O12" s="1729"/>
      <c r="P12" s="1729"/>
      <c r="Q12" s="1729"/>
      <c r="R12" s="1729"/>
    </row>
    <row r="13" spans="1:18" ht="16.2" customHeight="1">
      <c r="A13" s="407" t="s">
        <v>1463</v>
      </c>
      <c r="B13" s="407"/>
      <c r="C13" s="407"/>
      <c r="D13" s="597"/>
      <c r="E13" s="597"/>
      <c r="F13" s="597"/>
      <c r="G13" s="597"/>
      <c r="H13" s="597"/>
      <c r="I13" s="407"/>
      <c r="J13" s="464"/>
      <c r="O13" s="1565"/>
      <c r="P13" s="1565"/>
      <c r="Q13" s="1565"/>
      <c r="R13" s="462"/>
    </row>
    <row r="14" spans="1:18" ht="15" customHeight="1">
      <c r="A14" s="407" t="s">
        <v>3861</v>
      </c>
      <c r="B14" s="407"/>
      <c r="C14" s="407"/>
      <c r="D14" s="597"/>
      <c r="E14" s="597"/>
      <c r="F14" s="597"/>
      <c r="G14" s="597"/>
      <c r="H14" s="597"/>
      <c r="I14" s="407"/>
      <c r="J14" s="464"/>
      <c r="O14" s="1565"/>
      <c r="P14" s="1565"/>
      <c r="Q14" s="1565"/>
      <c r="R14" s="462"/>
    </row>
    <row r="15" spans="1:18" ht="9.6" customHeight="1">
      <c r="E15" s="461"/>
      <c r="F15" s="461"/>
      <c r="L15" s="463"/>
      <c r="M15" s="463"/>
      <c r="N15" s="463"/>
      <c r="O15" s="1564"/>
      <c r="P15" s="1564"/>
      <c r="Q15" s="1564"/>
      <c r="R15" s="463"/>
    </row>
    <row r="16" spans="1:18" s="659" customFormat="1" ht="9.6" customHeight="1">
      <c r="A16" s="663" t="s">
        <v>3868</v>
      </c>
      <c r="B16" s="663"/>
      <c r="C16" s="663"/>
      <c r="D16" s="663"/>
      <c r="E16" s="663"/>
      <c r="F16" s="663"/>
      <c r="G16" s="663"/>
      <c r="H16" s="663"/>
      <c r="K16" s="661"/>
      <c r="L16" s="662"/>
      <c r="M16" s="1677"/>
      <c r="N16" s="1677"/>
      <c r="O16" s="1677"/>
      <c r="P16" s="1677"/>
      <c r="Q16" s="1566"/>
      <c r="R16" s="662"/>
    </row>
    <row r="17" spans="1:19" s="659" customFormat="1" ht="24.6" customHeight="1">
      <c r="A17" s="1722" t="s">
        <v>2549</v>
      </c>
      <c r="B17" s="1722" t="s">
        <v>2550</v>
      </c>
      <c r="C17" s="1734" t="s">
        <v>1368</v>
      </c>
      <c r="D17" s="1734" t="s">
        <v>1369</v>
      </c>
      <c r="E17" s="1732" t="s">
        <v>1388</v>
      </c>
      <c r="F17" s="1730" t="s">
        <v>1499</v>
      </c>
      <c r="G17" s="1730" t="s">
        <v>3166</v>
      </c>
      <c r="H17" s="1722" t="s">
        <v>2568</v>
      </c>
      <c r="I17" s="1722" t="s">
        <v>2567</v>
      </c>
      <c r="J17" s="1722" t="s">
        <v>2569</v>
      </c>
      <c r="K17" s="1722" t="s">
        <v>2570</v>
      </c>
      <c r="L17" s="1722" t="s">
        <v>3860</v>
      </c>
      <c r="M17" s="1724" t="s">
        <v>1000</v>
      </c>
      <c r="N17" s="1724" t="s">
        <v>1390</v>
      </c>
      <c r="O17" s="1750" t="s">
        <v>1001</v>
      </c>
      <c r="P17" s="1751"/>
      <c r="Q17" s="1752"/>
      <c r="R17" s="1724" t="s">
        <v>1002</v>
      </c>
    </row>
    <row r="18" spans="1:19" s="659" customFormat="1" ht="83.25" customHeight="1">
      <c r="A18" s="1723"/>
      <c r="B18" s="1723"/>
      <c r="C18" s="1735"/>
      <c r="D18" s="1735"/>
      <c r="E18" s="1733"/>
      <c r="F18" s="1731"/>
      <c r="G18" s="1731"/>
      <c r="H18" s="1723"/>
      <c r="I18" s="1723"/>
      <c r="J18" s="1723"/>
      <c r="K18" s="1723"/>
      <c r="L18" s="1723"/>
      <c r="M18" s="1725"/>
      <c r="N18" s="1725"/>
      <c r="O18" s="1007">
        <v>2024</v>
      </c>
      <c r="P18" s="1007">
        <v>2025</v>
      </c>
      <c r="Q18" s="1007">
        <v>2026</v>
      </c>
      <c r="R18" s="1725"/>
    </row>
    <row r="19" spans="1:19" s="659" customFormat="1" ht="50.25" customHeight="1">
      <c r="A19" s="740" t="s">
        <v>2551</v>
      </c>
      <c r="B19" s="759" t="s">
        <v>2496</v>
      </c>
      <c r="C19" s="739"/>
      <c r="D19" s="664" t="s">
        <v>1372</v>
      </c>
      <c r="E19" s="664">
        <f>SUM(E23,E29,E31,E33,)</f>
        <v>3181.3590000000004</v>
      </c>
      <c r="F19" s="760">
        <f>H19/E19-1</f>
        <v>0.20615120770714634</v>
      </c>
      <c r="G19" s="664">
        <f>SUM(G23,G29,G31,G33,)</f>
        <v>3611.4369999999994</v>
      </c>
      <c r="H19" s="761">
        <f>SUM(H23,H29,H31,H33,)</f>
        <v>3837.2</v>
      </c>
      <c r="I19" s="761">
        <f t="shared" ref="I19:J19" si="0">SUM(I23,I29,I31,I33,)</f>
        <v>4017</v>
      </c>
      <c r="J19" s="761">
        <f t="shared" si="0"/>
        <v>4068.5</v>
      </c>
      <c r="K19" s="762" t="s">
        <v>1254</v>
      </c>
      <c r="L19" s="664"/>
      <c r="M19" s="759" t="s">
        <v>1409</v>
      </c>
      <c r="N19" s="759" t="s">
        <v>1256</v>
      </c>
      <c r="O19" s="1146" t="s">
        <v>6</v>
      </c>
      <c r="P19" s="1146" t="s">
        <v>1694</v>
      </c>
      <c r="Q19" s="1146" t="s">
        <v>205</v>
      </c>
      <c r="R19" s="763" t="s">
        <v>1256</v>
      </c>
    </row>
    <row r="20" spans="1:19" s="659" customFormat="1" ht="27.6" customHeight="1">
      <c r="A20" s="1753" t="s">
        <v>2552</v>
      </c>
      <c r="B20" s="1678" t="s">
        <v>3720</v>
      </c>
      <c r="C20" s="1754">
        <v>188711925</v>
      </c>
      <c r="D20" s="666" t="s">
        <v>668</v>
      </c>
      <c r="E20" s="667">
        <f>E25+E26</f>
        <v>2778.6000000000004</v>
      </c>
      <c r="F20" s="765">
        <f>H20/E20-1</f>
        <v>0.19622831641833982</v>
      </c>
      <c r="G20" s="667">
        <f>SUM(G24:G26)</f>
        <v>3075.9949999999999</v>
      </c>
      <c r="H20" s="667">
        <f t="shared" ref="H20" si="1">SUM(H24:H26)</f>
        <v>3323.8399999999997</v>
      </c>
      <c r="I20" s="667">
        <v>3500</v>
      </c>
      <c r="J20" s="667">
        <v>3550</v>
      </c>
      <c r="K20" s="1755" t="s">
        <v>2834</v>
      </c>
      <c r="L20" s="1697" t="s">
        <v>2497</v>
      </c>
      <c r="M20" s="1678" t="s">
        <v>1392</v>
      </c>
      <c r="N20" s="1699" t="s">
        <v>2532</v>
      </c>
      <c r="O20" s="1740" t="s">
        <v>6</v>
      </c>
      <c r="P20" s="1740" t="s">
        <v>1694</v>
      </c>
      <c r="Q20" s="1740" t="s">
        <v>1694</v>
      </c>
      <c r="R20" s="1678" t="s">
        <v>3142</v>
      </c>
      <c r="S20" s="669" t="s">
        <v>3719</v>
      </c>
    </row>
    <row r="21" spans="1:19" s="659" customFormat="1" ht="25.2" customHeight="1">
      <c r="A21" s="1753"/>
      <c r="B21" s="1678"/>
      <c r="C21" s="1754"/>
      <c r="D21" s="666" t="s">
        <v>1754</v>
      </c>
      <c r="E21" s="667">
        <v>12.269</v>
      </c>
      <c r="F21" s="765">
        <f>H21/E21-1</f>
        <v>0.41005786942701117</v>
      </c>
      <c r="G21" s="667">
        <f>SUM(G27)</f>
        <v>15.45</v>
      </c>
      <c r="H21" s="667">
        <v>17.3</v>
      </c>
      <c r="I21" s="667">
        <v>18</v>
      </c>
      <c r="J21" s="667">
        <v>18.5</v>
      </c>
      <c r="K21" s="1755"/>
      <c r="L21" s="1697"/>
      <c r="M21" s="1678"/>
      <c r="N21" s="1699"/>
      <c r="O21" s="1740"/>
      <c r="P21" s="1740"/>
      <c r="Q21" s="1740"/>
      <c r="R21" s="1678"/>
    </row>
    <row r="22" spans="1:19" s="659" customFormat="1" ht="20.100000000000001" customHeight="1">
      <c r="A22" s="1753"/>
      <c r="B22" s="1678"/>
      <c r="C22" s="1754"/>
      <c r="D22" s="666" t="s">
        <v>587</v>
      </c>
      <c r="E22" s="667"/>
      <c r="F22" s="765"/>
      <c r="G22" s="667"/>
      <c r="H22" s="667"/>
      <c r="I22" s="667"/>
      <c r="J22" s="667"/>
      <c r="K22" s="1755"/>
      <c r="L22" s="1697"/>
      <c r="M22" s="1678"/>
      <c r="N22" s="1699"/>
      <c r="O22" s="1740"/>
      <c r="P22" s="1740"/>
      <c r="Q22" s="1740"/>
      <c r="R22" s="1678"/>
    </row>
    <row r="23" spans="1:19" s="659" customFormat="1" ht="27.75" customHeight="1">
      <c r="A23" s="1753"/>
      <c r="B23" s="1678"/>
      <c r="C23" s="1754"/>
      <c r="D23" s="670" t="s">
        <v>1372</v>
      </c>
      <c r="E23" s="671">
        <f>SUM(E20:E22)</f>
        <v>2790.8690000000001</v>
      </c>
      <c r="F23" s="767">
        <f>H23/E23-1</f>
        <v>0.19716833717383353</v>
      </c>
      <c r="G23" s="671">
        <f>SUM(G20:G22)</f>
        <v>3091.4449999999997</v>
      </c>
      <c r="H23" s="671">
        <f>SUM(H20:H22)</f>
        <v>3341.14</v>
      </c>
      <c r="I23" s="671">
        <f t="shared" ref="I23:J23" si="2">SUM(I20:I22)</f>
        <v>3518</v>
      </c>
      <c r="J23" s="671">
        <f t="shared" si="2"/>
        <v>3568.5</v>
      </c>
      <c r="K23" s="1755"/>
      <c r="L23" s="1697"/>
      <c r="M23" s="1678"/>
      <c r="N23" s="1699"/>
      <c r="O23" s="1740"/>
      <c r="P23" s="1740"/>
      <c r="Q23" s="1740"/>
      <c r="R23" s="1678"/>
    </row>
    <row r="24" spans="1:19" s="659" customFormat="1" ht="25.95" hidden="1" customHeight="1">
      <c r="A24" s="1744"/>
      <c r="B24" s="768" t="s">
        <v>3579</v>
      </c>
      <c r="C24" s="673"/>
      <c r="D24" s="769" t="s">
        <v>668</v>
      </c>
      <c r="E24" s="770">
        <v>0</v>
      </c>
      <c r="F24" s="771"/>
      <c r="G24" s="772">
        <v>339.72500000000002</v>
      </c>
      <c r="H24" s="772">
        <v>374.45</v>
      </c>
      <c r="I24" s="773">
        <v>0</v>
      </c>
      <c r="J24" s="772">
        <v>0</v>
      </c>
      <c r="K24" s="774"/>
      <c r="L24" s="772"/>
      <c r="M24" s="674"/>
      <c r="N24" s="674"/>
      <c r="O24" s="1567"/>
      <c r="P24" s="1567"/>
      <c r="Q24" s="1568"/>
      <c r="R24" s="775"/>
    </row>
    <row r="25" spans="1:19" s="659" customFormat="1" ht="20.100000000000001" hidden="1" customHeight="1">
      <c r="A25" s="1744"/>
      <c r="B25" s="776" t="s">
        <v>1373</v>
      </c>
      <c r="C25" s="675"/>
      <c r="D25" s="777" t="s">
        <v>668</v>
      </c>
      <c r="E25" s="778">
        <v>210.07</v>
      </c>
      <c r="F25" s="771">
        <f t="shared" ref="F25:F83" si="3">(H25-E25)/E25</f>
        <v>-1</v>
      </c>
      <c r="G25" s="779">
        <v>0</v>
      </c>
      <c r="H25" s="779">
        <v>0</v>
      </c>
      <c r="I25" s="780">
        <v>0</v>
      </c>
      <c r="J25" s="779">
        <v>0</v>
      </c>
      <c r="K25" s="781"/>
      <c r="L25" s="779"/>
      <c r="M25" s="676"/>
      <c r="N25" s="676"/>
      <c r="O25" s="1561"/>
      <c r="P25" s="1561"/>
      <c r="Q25" s="1569"/>
      <c r="R25" s="782"/>
    </row>
    <row r="26" spans="1:19" s="659" customFormat="1" ht="20.100000000000001" hidden="1" customHeight="1">
      <c r="A26" s="1744"/>
      <c r="B26" s="1746" t="s">
        <v>1374</v>
      </c>
      <c r="C26" s="1748"/>
      <c r="D26" s="777" t="s">
        <v>668</v>
      </c>
      <c r="E26" s="779">
        <v>2568.5300000000002</v>
      </c>
      <c r="F26" s="771">
        <f t="shared" si="3"/>
        <v>0.14827936601869537</v>
      </c>
      <c r="G26" s="779">
        <v>2736.27</v>
      </c>
      <c r="H26" s="779">
        <v>2949.39</v>
      </c>
      <c r="I26" s="780">
        <v>2698.81</v>
      </c>
      <c r="J26" s="779">
        <v>2698.81</v>
      </c>
      <c r="K26" s="781"/>
      <c r="L26" s="779"/>
      <c r="M26" s="676"/>
      <c r="N26" s="676"/>
      <c r="O26" s="1561"/>
      <c r="P26" s="1561"/>
      <c r="Q26" s="1569"/>
      <c r="R26" s="782"/>
    </row>
    <row r="27" spans="1:19" s="659" customFormat="1" ht="20.100000000000001" hidden="1" customHeight="1">
      <c r="A27" s="1745"/>
      <c r="B27" s="1747"/>
      <c r="C27" s="1749"/>
      <c r="D27" s="777" t="s">
        <v>1375</v>
      </c>
      <c r="E27" s="779">
        <v>12.269</v>
      </c>
      <c r="F27" s="771">
        <f t="shared" si="3"/>
        <v>0.25927133425707061</v>
      </c>
      <c r="G27" s="779">
        <v>15.45</v>
      </c>
      <c r="H27" s="779">
        <v>15.45</v>
      </c>
      <c r="I27" s="780">
        <v>15.45</v>
      </c>
      <c r="J27" s="779">
        <v>15.45</v>
      </c>
      <c r="K27" s="781"/>
      <c r="L27" s="779"/>
      <c r="M27" s="676"/>
      <c r="N27" s="676"/>
      <c r="O27" s="1561"/>
      <c r="P27" s="1561"/>
      <c r="Q27" s="1569"/>
      <c r="R27" s="782"/>
    </row>
    <row r="28" spans="1:19" s="659" customFormat="1" ht="26.25" customHeight="1">
      <c r="A28" s="1668" t="s">
        <v>2553</v>
      </c>
      <c r="B28" s="1711" t="s">
        <v>2498</v>
      </c>
      <c r="C28" s="1726">
        <v>188711925</v>
      </c>
      <c r="D28" s="678" t="s">
        <v>668</v>
      </c>
      <c r="E28" s="667">
        <f>138+12</f>
        <v>150</v>
      </c>
      <c r="F28" s="765">
        <f>H28/E28-1</f>
        <v>1.5505999999999998</v>
      </c>
      <c r="G28" s="667">
        <f>397.316+18</f>
        <v>415.31599999999997</v>
      </c>
      <c r="H28" s="667">
        <f>364.59+18</f>
        <v>382.59</v>
      </c>
      <c r="I28" s="679">
        <v>385</v>
      </c>
      <c r="J28" s="680">
        <v>385</v>
      </c>
      <c r="K28" s="1651" t="s">
        <v>2835</v>
      </c>
      <c r="L28" s="1665" t="s">
        <v>3496</v>
      </c>
      <c r="M28" s="1656" t="s">
        <v>1393</v>
      </c>
      <c r="N28" s="766" t="s">
        <v>3495</v>
      </c>
      <c r="O28" s="824" t="s">
        <v>3497</v>
      </c>
      <c r="P28" s="824" t="s">
        <v>3498</v>
      </c>
      <c r="Q28" s="824" t="s">
        <v>3498</v>
      </c>
      <c r="R28" s="1656" t="s">
        <v>2836</v>
      </c>
      <c r="S28" s="1741"/>
    </row>
    <row r="29" spans="1:19" s="659" customFormat="1" ht="40.5" customHeight="1">
      <c r="A29" s="1670"/>
      <c r="B29" s="1712"/>
      <c r="C29" s="1727"/>
      <c r="D29" s="682" t="s">
        <v>1372</v>
      </c>
      <c r="E29" s="671">
        <f>E28</f>
        <v>150</v>
      </c>
      <c r="F29" s="767">
        <f t="shared" si="3"/>
        <v>1.5505999999999998</v>
      </c>
      <c r="G29" s="671">
        <f>G28</f>
        <v>415.31599999999997</v>
      </c>
      <c r="H29" s="671">
        <f>H28</f>
        <v>382.59</v>
      </c>
      <c r="I29" s="671">
        <f>I28</f>
        <v>385</v>
      </c>
      <c r="J29" s="683">
        <f>J28</f>
        <v>385</v>
      </c>
      <c r="K29" s="1653"/>
      <c r="L29" s="1666"/>
      <c r="M29" s="1658"/>
      <c r="N29" s="766" t="s">
        <v>2575</v>
      </c>
      <c r="O29" s="824" t="s">
        <v>2576</v>
      </c>
      <c r="P29" s="824" t="s">
        <v>2576</v>
      </c>
      <c r="Q29" s="824" t="s">
        <v>2576</v>
      </c>
      <c r="R29" s="1657"/>
      <c r="S29" s="1741"/>
    </row>
    <row r="30" spans="1:19" s="659" customFormat="1" ht="24.75" customHeight="1">
      <c r="A30" s="1668" t="s">
        <v>2554</v>
      </c>
      <c r="B30" s="1711" t="s">
        <v>2267</v>
      </c>
      <c r="C30" s="1726">
        <v>188701436</v>
      </c>
      <c r="D30" s="678" t="s">
        <v>668</v>
      </c>
      <c r="E30" s="667">
        <v>100.96</v>
      </c>
      <c r="F30" s="765">
        <f>H30/E30-1</f>
        <v>0.12391045958795566</v>
      </c>
      <c r="G30" s="667">
        <v>104.676</v>
      </c>
      <c r="H30" s="667">
        <v>113.47</v>
      </c>
      <c r="I30" s="679">
        <v>114</v>
      </c>
      <c r="J30" s="667">
        <v>115</v>
      </c>
      <c r="K30" s="1651" t="s">
        <v>2835</v>
      </c>
      <c r="L30" s="1665" t="s">
        <v>3550</v>
      </c>
      <c r="M30" s="1656" t="s">
        <v>1394</v>
      </c>
      <c r="N30" s="1648" t="s">
        <v>1391</v>
      </c>
      <c r="O30" s="1662" t="s">
        <v>1691</v>
      </c>
      <c r="P30" s="1662" t="s">
        <v>1776</v>
      </c>
      <c r="Q30" s="1662" t="s">
        <v>1776</v>
      </c>
      <c r="R30" s="1657"/>
    </row>
    <row r="31" spans="1:19" s="659" customFormat="1" ht="58.2" customHeight="1">
      <c r="A31" s="1670"/>
      <c r="B31" s="1712"/>
      <c r="C31" s="1736"/>
      <c r="D31" s="685" t="s">
        <v>1372</v>
      </c>
      <c r="E31" s="686">
        <f>E30</f>
        <v>100.96</v>
      </c>
      <c r="F31" s="767">
        <f t="shared" si="3"/>
        <v>0.12391045958795568</v>
      </c>
      <c r="G31" s="686">
        <f t="shared" ref="G31:J31" si="4">G30</f>
        <v>104.676</v>
      </c>
      <c r="H31" s="686">
        <f t="shared" ref="H31" si="5">H30</f>
        <v>113.47</v>
      </c>
      <c r="I31" s="686">
        <f t="shared" si="4"/>
        <v>114</v>
      </c>
      <c r="J31" s="686">
        <f t="shared" si="4"/>
        <v>115</v>
      </c>
      <c r="K31" s="1653"/>
      <c r="L31" s="1666"/>
      <c r="M31" s="1658"/>
      <c r="N31" s="1650"/>
      <c r="O31" s="1664"/>
      <c r="P31" s="1664"/>
      <c r="Q31" s="1664"/>
      <c r="R31" s="1658"/>
    </row>
    <row r="32" spans="1:19" s="659" customFormat="1" ht="20.100000000000001" customHeight="1">
      <c r="A32" s="1668" t="s">
        <v>2555</v>
      </c>
      <c r="B32" s="1671" t="s">
        <v>1408</v>
      </c>
      <c r="C32" s="1695">
        <v>188701436</v>
      </c>
      <c r="D32" s="665" t="s">
        <v>668</v>
      </c>
      <c r="E32" s="667">
        <v>139.53</v>
      </c>
      <c r="F32" s="765">
        <f t="shared" si="3"/>
        <v>-1</v>
      </c>
      <c r="G32" s="667"/>
      <c r="H32" s="667"/>
      <c r="I32" s="679"/>
      <c r="J32" s="680"/>
      <c r="K32" s="1651"/>
      <c r="L32" s="1720" t="s">
        <v>3721</v>
      </c>
      <c r="M32" s="1656"/>
      <c r="N32" s="1656"/>
      <c r="O32" s="1679"/>
      <c r="P32" s="1679"/>
      <c r="Q32" s="1679"/>
      <c r="R32" s="1656"/>
    </row>
    <row r="33" spans="1:18" s="659" customFormat="1" ht="34.5" customHeight="1">
      <c r="A33" s="1670"/>
      <c r="B33" s="1673"/>
      <c r="C33" s="1710"/>
      <c r="D33" s="670" t="s">
        <v>1372</v>
      </c>
      <c r="E33" s="671">
        <f>E32</f>
        <v>139.53</v>
      </c>
      <c r="F33" s="767">
        <f t="shared" si="3"/>
        <v>-1</v>
      </c>
      <c r="G33" s="686">
        <f t="shared" ref="G33:J33" si="6">G32</f>
        <v>0</v>
      </c>
      <c r="H33" s="686">
        <f t="shared" ref="H33" si="7">H32</f>
        <v>0</v>
      </c>
      <c r="I33" s="686">
        <f t="shared" si="6"/>
        <v>0</v>
      </c>
      <c r="J33" s="683">
        <f t="shared" si="6"/>
        <v>0</v>
      </c>
      <c r="K33" s="1653"/>
      <c r="L33" s="1721"/>
      <c r="M33" s="1658"/>
      <c r="N33" s="1658"/>
      <c r="O33" s="1680"/>
      <c r="P33" s="1680"/>
      <c r="Q33" s="1680"/>
      <c r="R33" s="1658"/>
    </row>
    <row r="34" spans="1:18" s="659" customFormat="1" ht="51.6" customHeight="1">
      <c r="A34" s="784" t="s">
        <v>2557</v>
      </c>
      <c r="B34" s="785" t="s">
        <v>2571</v>
      </c>
      <c r="C34" s="786"/>
      <c r="D34" s="740"/>
      <c r="E34" s="741">
        <f>SUM(E38,E48,E50,E52,E54,E56,E59,E61,E64,E66,E68,E71,E74,E76,E79,E81,E83,E86,E45)</f>
        <v>491.01599999999996</v>
      </c>
      <c r="F34" s="760">
        <f>H34/E34-1</f>
        <v>9.5058002183228352E-2</v>
      </c>
      <c r="G34" s="741">
        <f>SUM(G38,G48,G50,G52,G54,G56,G59,G61,G64,G66,G68,G71,G74,G76,G79,G81,G83,G86,G45)</f>
        <v>525.47099999999989</v>
      </c>
      <c r="H34" s="741">
        <f>SUM(H38,H48,H50,H52,H54,H56,H59,H61,H64,H66,H68,H71,H74,H76,H79,H81,H83,H86,H45)</f>
        <v>537.69100000000003</v>
      </c>
      <c r="I34" s="741">
        <f t="shared" ref="I34:J34" si="8">SUM(I38,I48,I50,I52,I54,I56,I59,I61,I64,I66,I68,I71,I74,I76,I79,I81,I83,I86,I45)</f>
        <v>495.95499999999998</v>
      </c>
      <c r="J34" s="741">
        <f t="shared" si="8"/>
        <v>497.45499999999998</v>
      </c>
      <c r="K34" s="787" t="s">
        <v>1254</v>
      </c>
      <c r="L34" s="788"/>
      <c r="M34" s="759" t="s">
        <v>1411</v>
      </c>
      <c r="N34" s="759" t="s">
        <v>1256</v>
      </c>
      <c r="O34" s="1570" t="s">
        <v>6</v>
      </c>
      <c r="P34" s="1570" t="s">
        <v>1694</v>
      </c>
      <c r="Q34" s="1571" t="s">
        <v>1694</v>
      </c>
      <c r="R34" s="759" t="s">
        <v>1256</v>
      </c>
    </row>
    <row r="35" spans="1:18" s="659" customFormat="1" ht="20.100000000000001" customHeight="1">
      <c r="A35" s="1668" t="s">
        <v>2556</v>
      </c>
      <c r="B35" s="1671" t="s">
        <v>839</v>
      </c>
      <c r="C35" s="1693" t="s">
        <v>1376</v>
      </c>
      <c r="D35" s="687" t="s">
        <v>1377</v>
      </c>
      <c r="E35" s="688">
        <v>20</v>
      </c>
      <c r="F35" s="765">
        <f>H35/E35-1</f>
        <v>0</v>
      </c>
      <c r="G35" s="688">
        <f>G39</f>
        <v>19.395</v>
      </c>
      <c r="H35" s="688">
        <v>20</v>
      </c>
      <c r="I35" s="688">
        <v>20</v>
      </c>
      <c r="J35" s="688">
        <v>20</v>
      </c>
      <c r="K35" s="1651" t="s">
        <v>2837</v>
      </c>
      <c r="L35" s="1665" t="s">
        <v>3891</v>
      </c>
      <c r="M35" s="1656" t="s">
        <v>1395</v>
      </c>
      <c r="N35" s="1648" t="s">
        <v>2502</v>
      </c>
      <c r="O35" s="1662" t="s">
        <v>2499</v>
      </c>
      <c r="P35" s="1662" t="s">
        <v>2500</v>
      </c>
      <c r="Q35" s="1662" t="s">
        <v>2460</v>
      </c>
      <c r="R35" s="1648" t="s">
        <v>2838</v>
      </c>
    </row>
    <row r="36" spans="1:18" s="659" customFormat="1" ht="15.6" customHeight="1">
      <c r="A36" s="1669"/>
      <c r="B36" s="1672"/>
      <c r="C36" s="1675"/>
      <c r="D36" s="678" t="s">
        <v>668</v>
      </c>
      <c r="E36" s="667">
        <v>22.96</v>
      </c>
      <c r="F36" s="765">
        <f>H36/E36-1</f>
        <v>0.24172473867595823</v>
      </c>
      <c r="G36" s="667">
        <f>G40+G41</f>
        <v>27.315000000000001</v>
      </c>
      <c r="H36" s="667">
        <f>H40</f>
        <v>28.51</v>
      </c>
      <c r="I36" s="667">
        <v>29</v>
      </c>
      <c r="J36" s="667">
        <v>29</v>
      </c>
      <c r="K36" s="1652"/>
      <c r="L36" s="1667"/>
      <c r="M36" s="1657"/>
      <c r="N36" s="1650"/>
      <c r="O36" s="1664"/>
      <c r="P36" s="1664"/>
      <c r="Q36" s="1664"/>
      <c r="R36" s="1649"/>
    </row>
    <row r="37" spans="1:18" s="659" customFormat="1" ht="20.100000000000001" customHeight="1">
      <c r="A37" s="1669"/>
      <c r="B37" s="1672"/>
      <c r="C37" s="1675"/>
      <c r="D37" s="678" t="s">
        <v>1375</v>
      </c>
      <c r="E37" s="667">
        <v>0.626</v>
      </c>
      <c r="F37" s="765">
        <f>H37/E37-1</f>
        <v>-1</v>
      </c>
      <c r="G37" s="667">
        <f>G42</f>
        <v>0</v>
      </c>
      <c r="H37" s="667">
        <f>H42</f>
        <v>0</v>
      </c>
      <c r="I37" s="667">
        <f>I42</f>
        <v>0</v>
      </c>
      <c r="J37" s="667">
        <f>J42</f>
        <v>0</v>
      </c>
      <c r="K37" s="1652"/>
      <c r="L37" s="1667"/>
      <c r="M37" s="1657"/>
      <c r="N37" s="1648" t="s">
        <v>2501</v>
      </c>
      <c r="O37" s="1662" t="s">
        <v>1707</v>
      </c>
      <c r="P37" s="1662" t="s">
        <v>1707</v>
      </c>
      <c r="Q37" s="1662" t="s">
        <v>1707</v>
      </c>
      <c r="R37" s="1649"/>
    </row>
    <row r="38" spans="1:18" s="659" customFormat="1" ht="20.100000000000001" customHeight="1">
      <c r="A38" s="1670"/>
      <c r="B38" s="1673"/>
      <c r="C38" s="1676"/>
      <c r="D38" s="682" t="s">
        <v>1372</v>
      </c>
      <c r="E38" s="671">
        <f>SUM(E35:E37)</f>
        <v>43.585999999999999</v>
      </c>
      <c r="F38" s="767">
        <f t="shared" si="3"/>
        <v>0.11297205524709784</v>
      </c>
      <c r="G38" s="671">
        <f>SUM(G35:G37)</f>
        <v>46.71</v>
      </c>
      <c r="H38" s="671">
        <f>SUM(H35:H37)</f>
        <v>48.510000000000005</v>
      </c>
      <c r="I38" s="671">
        <f t="shared" ref="I38:J38" si="9">SUM(I35:I37)</f>
        <v>49</v>
      </c>
      <c r="J38" s="671">
        <f t="shared" si="9"/>
        <v>49</v>
      </c>
      <c r="K38" s="1653"/>
      <c r="L38" s="1666"/>
      <c r="M38" s="1658"/>
      <c r="N38" s="1650"/>
      <c r="O38" s="1664"/>
      <c r="P38" s="1664"/>
      <c r="Q38" s="1664"/>
      <c r="R38" s="1650"/>
    </row>
    <row r="39" spans="1:18" s="659" customFormat="1" ht="20.100000000000001" hidden="1" customHeight="1">
      <c r="A39" s="1668"/>
      <c r="B39" s="1716" t="s">
        <v>715</v>
      </c>
      <c r="C39" s="1718">
        <v>188711925</v>
      </c>
      <c r="D39" s="777" t="s">
        <v>1377</v>
      </c>
      <c r="E39" s="779"/>
      <c r="F39" s="771"/>
      <c r="G39" s="779">
        <v>19.395</v>
      </c>
      <c r="H39" s="779">
        <v>0</v>
      </c>
      <c r="I39" s="780">
        <v>0</v>
      </c>
      <c r="J39" s="779">
        <v>0</v>
      </c>
      <c r="K39" s="781"/>
      <c r="L39" s="779"/>
      <c r="M39" s="676"/>
      <c r="N39" s="676"/>
      <c r="O39" s="1561"/>
      <c r="P39" s="1561"/>
      <c r="Q39" s="1569"/>
      <c r="R39" s="791"/>
    </row>
    <row r="40" spans="1:18" s="659" customFormat="1" ht="35.25" hidden="1" customHeight="1">
      <c r="A40" s="1670"/>
      <c r="B40" s="1717"/>
      <c r="C40" s="1719"/>
      <c r="D40" s="777" t="s">
        <v>668</v>
      </c>
      <c r="E40" s="779"/>
      <c r="F40" s="771"/>
      <c r="G40" s="779">
        <v>27.315000000000001</v>
      </c>
      <c r="H40" s="779">
        <v>28.51</v>
      </c>
      <c r="I40" s="780">
        <v>0</v>
      </c>
      <c r="J40" s="779">
        <v>0</v>
      </c>
      <c r="K40" s="781"/>
      <c r="L40" s="779"/>
      <c r="M40" s="676"/>
      <c r="N40" s="676"/>
      <c r="O40" s="1561"/>
      <c r="P40" s="1561"/>
      <c r="Q40" s="1569"/>
      <c r="R40" s="791"/>
    </row>
    <row r="41" spans="1:18" s="659" customFormat="1" ht="26.4" hidden="1" customHeight="1">
      <c r="A41" s="1668"/>
      <c r="B41" s="1716" t="s">
        <v>1378</v>
      </c>
      <c r="C41" s="1718">
        <v>190243519</v>
      </c>
      <c r="D41" s="777" t="s">
        <v>668</v>
      </c>
      <c r="E41" s="779"/>
      <c r="F41" s="771"/>
      <c r="G41" s="779"/>
      <c r="H41" s="779"/>
      <c r="I41" s="792"/>
      <c r="J41" s="704"/>
      <c r="K41" s="781"/>
      <c r="L41" s="704"/>
      <c r="M41" s="676"/>
      <c r="N41" s="676"/>
      <c r="O41" s="1561"/>
      <c r="P41" s="1561"/>
      <c r="Q41" s="1569"/>
      <c r="R41" s="791"/>
    </row>
    <row r="42" spans="1:18" s="659" customFormat="1" ht="25.5" hidden="1" customHeight="1">
      <c r="A42" s="1670"/>
      <c r="B42" s="1717"/>
      <c r="C42" s="1719"/>
      <c r="D42" s="777" t="s">
        <v>1375</v>
      </c>
      <c r="E42" s="779"/>
      <c r="F42" s="771"/>
      <c r="G42" s="793"/>
      <c r="H42" s="793"/>
      <c r="I42" s="794"/>
      <c r="J42" s="793"/>
      <c r="K42" s="781"/>
      <c r="L42" s="779"/>
      <c r="M42" s="676"/>
      <c r="N42" s="676"/>
      <c r="O42" s="1561"/>
      <c r="P42" s="1561"/>
      <c r="Q42" s="1569"/>
      <c r="R42" s="791"/>
    </row>
    <row r="43" spans="1:18" s="659" customFormat="1" ht="20.100000000000001" customHeight="1">
      <c r="A43" s="1668" t="s">
        <v>3761</v>
      </c>
      <c r="B43" s="1671" t="s">
        <v>840</v>
      </c>
      <c r="C43" s="1674">
        <v>188711925</v>
      </c>
      <c r="D43" s="678" t="s">
        <v>1377</v>
      </c>
      <c r="E43" s="667">
        <v>25.3</v>
      </c>
      <c r="F43" s="765">
        <f t="shared" si="3"/>
        <v>1.9762845849802372E-2</v>
      </c>
      <c r="G43" s="667">
        <v>25.17</v>
      </c>
      <c r="H43" s="667">
        <v>25.8</v>
      </c>
      <c r="I43" s="679">
        <v>25.8</v>
      </c>
      <c r="J43" s="680">
        <v>25.8</v>
      </c>
      <c r="K43" s="1651" t="s">
        <v>2834</v>
      </c>
      <c r="L43" s="1665" t="s">
        <v>3806</v>
      </c>
      <c r="M43" s="1656" t="s">
        <v>1412</v>
      </c>
      <c r="N43" s="1648" t="s">
        <v>3143</v>
      </c>
      <c r="O43" s="1662" t="s">
        <v>2503</v>
      </c>
      <c r="P43" s="1662" t="s">
        <v>1767</v>
      </c>
      <c r="Q43" s="1662" t="s">
        <v>2504</v>
      </c>
      <c r="R43" s="1648" t="s">
        <v>3142</v>
      </c>
    </row>
    <row r="44" spans="1:18" s="659" customFormat="1" ht="42.6" customHeight="1">
      <c r="A44" s="1669"/>
      <c r="B44" s="1672"/>
      <c r="C44" s="1675"/>
      <c r="D44" s="678" t="s">
        <v>668</v>
      </c>
      <c r="E44" s="667">
        <v>38.07</v>
      </c>
      <c r="F44" s="765">
        <f t="shared" si="3"/>
        <v>9.9290780141844004E-2</v>
      </c>
      <c r="G44" s="667">
        <v>49.564999999999998</v>
      </c>
      <c r="H44" s="667">
        <v>41.85</v>
      </c>
      <c r="I44" s="679">
        <v>0</v>
      </c>
      <c r="J44" s="680">
        <v>0</v>
      </c>
      <c r="K44" s="1652"/>
      <c r="L44" s="1667"/>
      <c r="M44" s="1657"/>
      <c r="N44" s="1649"/>
      <c r="O44" s="1663"/>
      <c r="P44" s="1663"/>
      <c r="Q44" s="1663"/>
      <c r="R44" s="1649"/>
    </row>
    <row r="45" spans="1:18" s="659" customFormat="1" ht="29.25" customHeight="1">
      <c r="A45" s="1670"/>
      <c r="B45" s="1673"/>
      <c r="C45" s="689"/>
      <c r="D45" s="691" t="s">
        <v>1372</v>
      </c>
      <c r="E45" s="671">
        <f>SUM(E43:E44)</f>
        <v>63.370000000000005</v>
      </c>
      <c r="F45" s="767">
        <f t="shared" si="3"/>
        <v>6.7539845352690558E-2</v>
      </c>
      <c r="G45" s="671">
        <f t="shared" ref="G45:J45" si="10">SUM(G43:G44)</f>
        <v>74.734999999999999</v>
      </c>
      <c r="H45" s="671">
        <f t="shared" ref="H45" si="11">SUM(H43:H44)</f>
        <v>67.650000000000006</v>
      </c>
      <c r="I45" s="671">
        <f t="shared" si="10"/>
        <v>25.8</v>
      </c>
      <c r="J45" s="671">
        <f t="shared" si="10"/>
        <v>25.8</v>
      </c>
      <c r="K45" s="1652"/>
      <c r="L45" s="1666"/>
      <c r="M45" s="1658"/>
      <c r="N45" s="1650"/>
      <c r="O45" s="1664"/>
      <c r="P45" s="1664"/>
      <c r="Q45" s="1664"/>
      <c r="R45" s="1649"/>
    </row>
    <row r="46" spans="1:18" s="659" customFormat="1" ht="20.100000000000001" customHeight="1">
      <c r="A46" s="1668" t="s">
        <v>3760</v>
      </c>
      <c r="B46" s="1671" t="s">
        <v>417</v>
      </c>
      <c r="C46" s="1674">
        <v>188711925</v>
      </c>
      <c r="D46" s="678" t="s">
        <v>1377</v>
      </c>
      <c r="E46" s="667">
        <v>4.42</v>
      </c>
      <c r="F46" s="765">
        <f t="shared" si="3"/>
        <v>0.11425339366515835</v>
      </c>
      <c r="G46" s="667">
        <v>3.98</v>
      </c>
      <c r="H46" s="667">
        <v>4.9249999999999998</v>
      </c>
      <c r="I46" s="679">
        <v>4.9249999999999998</v>
      </c>
      <c r="J46" s="680">
        <v>4.9249999999999998</v>
      </c>
      <c r="K46" s="1652"/>
      <c r="L46" s="1665" t="s">
        <v>3144</v>
      </c>
      <c r="M46" s="1656" t="s">
        <v>1461</v>
      </c>
      <c r="N46" s="1648" t="s">
        <v>2512</v>
      </c>
      <c r="O46" s="1662">
        <v>100</v>
      </c>
      <c r="P46" s="1662">
        <v>100</v>
      </c>
      <c r="Q46" s="1662">
        <v>100</v>
      </c>
      <c r="R46" s="1649"/>
    </row>
    <row r="47" spans="1:18" s="659" customFormat="1" ht="20.100000000000001" customHeight="1">
      <c r="A47" s="1669"/>
      <c r="B47" s="1672"/>
      <c r="C47" s="1675"/>
      <c r="D47" s="678" t="s">
        <v>668</v>
      </c>
      <c r="E47" s="667">
        <v>188.15</v>
      </c>
      <c r="F47" s="765">
        <f t="shared" si="3"/>
        <v>0.12017007706617053</v>
      </c>
      <c r="G47" s="667">
        <v>209.41499999999999</v>
      </c>
      <c r="H47" s="667">
        <v>210.76</v>
      </c>
      <c r="I47" s="679">
        <v>211</v>
      </c>
      <c r="J47" s="680">
        <v>212</v>
      </c>
      <c r="K47" s="1652"/>
      <c r="L47" s="1667"/>
      <c r="M47" s="1657"/>
      <c r="N47" s="1649"/>
      <c r="O47" s="1663"/>
      <c r="P47" s="1663"/>
      <c r="Q47" s="1663"/>
      <c r="R47" s="1649"/>
    </row>
    <row r="48" spans="1:18" s="659" customFormat="1" ht="20.100000000000001" customHeight="1">
      <c r="A48" s="1670"/>
      <c r="B48" s="1673"/>
      <c r="C48" s="1676"/>
      <c r="D48" s="682" t="s">
        <v>1372</v>
      </c>
      <c r="E48" s="671">
        <f>SUM(E46:E47)</f>
        <v>192.57</v>
      </c>
      <c r="F48" s="767">
        <f t="shared" si="3"/>
        <v>0.1200342732512853</v>
      </c>
      <c r="G48" s="671">
        <f>G46+G47</f>
        <v>213.39499999999998</v>
      </c>
      <c r="H48" s="671">
        <f>H46+H47</f>
        <v>215.685</v>
      </c>
      <c r="I48" s="671">
        <f t="shared" ref="I48:J48" si="12">I46+I47</f>
        <v>215.92500000000001</v>
      </c>
      <c r="J48" s="671">
        <f t="shared" si="12"/>
        <v>216.92500000000001</v>
      </c>
      <c r="K48" s="1653"/>
      <c r="L48" s="1666"/>
      <c r="M48" s="1658"/>
      <c r="N48" s="1650"/>
      <c r="O48" s="1664"/>
      <c r="P48" s="1664"/>
      <c r="Q48" s="1664"/>
      <c r="R48" s="1650"/>
    </row>
    <row r="49" spans="1:18" s="659" customFormat="1" ht="31.2" customHeight="1">
      <c r="A49" s="1668" t="s">
        <v>3759</v>
      </c>
      <c r="B49" s="1671" t="s">
        <v>524</v>
      </c>
      <c r="C49" s="1674">
        <v>188711925</v>
      </c>
      <c r="D49" s="678" t="s">
        <v>1377</v>
      </c>
      <c r="E49" s="667">
        <v>17.899999999999999</v>
      </c>
      <c r="F49" s="765">
        <f t="shared" si="3"/>
        <v>4.4692737430167641E-2</v>
      </c>
      <c r="G49" s="667">
        <v>25.466000000000001</v>
      </c>
      <c r="H49" s="667">
        <v>18.7</v>
      </c>
      <c r="I49" s="679">
        <v>18.7</v>
      </c>
      <c r="J49" s="680">
        <v>18.7</v>
      </c>
      <c r="K49" s="1651" t="s">
        <v>2839</v>
      </c>
      <c r="L49" s="1665" t="s">
        <v>3807</v>
      </c>
      <c r="M49" s="1656" t="s">
        <v>1462</v>
      </c>
      <c r="N49" s="1648" t="s">
        <v>1396</v>
      </c>
      <c r="O49" s="1662" t="s">
        <v>2323</v>
      </c>
      <c r="P49" s="1662" t="s">
        <v>2323</v>
      </c>
      <c r="Q49" s="1662" t="s">
        <v>1840</v>
      </c>
      <c r="R49" s="766" t="s">
        <v>2841</v>
      </c>
    </row>
    <row r="50" spans="1:18" s="659" customFormat="1" ht="35.4" customHeight="1">
      <c r="A50" s="1670"/>
      <c r="B50" s="1673"/>
      <c r="C50" s="1676"/>
      <c r="D50" s="682" t="s">
        <v>1372</v>
      </c>
      <c r="E50" s="671">
        <f>E49</f>
        <v>17.899999999999999</v>
      </c>
      <c r="F50" s="767">
        <f t="shared" si="3"/>
        <v>4.4692737430167641E-2</v>
      </c>
      <c r="G50" s="671">
        <f>G49</f>
        <v>25.466000000000001</v>
      </c>
      <c r="H50" s="671">
        <f>H49</f>
        <v>18.7</v>
      </c>
      <c r="I50" s="671">
        <f t="shared" ref="I50:J50" si="13">I49</f>
        <v>18.7</v>
      </c>
      <c r="J50" s="671">
        <f t="shared" si="13"/>
        <v>18.7</v>
      </c>
      <c r="K50" s="1653"/>
      <c r="L50" s="1666"/>
      <c r="M50" s="1658"/>
      <c r="N50" s="1650"/>
      <c r="O50" s="1664"/>
      <c r="P50" s="1664"/>
      <c r="Q50" s="1664"/>
      <c r="R50" s="766" t="s">
        <v>2840</v>
      </c>
    </row>
    <row r="51" spans="1:18" s="659" customFormat="1" ht="20.100000000000001" customHeight="1">
      <c r="A51" s="1668" t="s">
        <v>3758</v>
      </c>
      <c r="B51" s="1671" t="s">
        <v>973</v>
      </c>
      <c r="C51" s="1674">
        <v>188711925</v>
      </c>
      <c r="D51" s="678" t="s">
        <v>1377</v>
      </c>
      <c r="E51" s="667">
        <v>2.2000000000000002</v>
      </c>
      <c r="F51" s="765">
        <f t="shared" si="3"/>
        <v>0</v>
      </c>
      <c r="G51" s="667">
        <v>2.5299999999999998</v>
      </c>
      <c r="H51" s="667">
        <v>2.2000000000000002</v>
      </c>
      <c r="I51" s="679">
        <v>2.2000000000000002</v>
      </c>
      <c r="J51" s="680">
        <v>2.2000000000000002</v>
      </c>
      <c r="K51" s="1651" t="s">
        <v>2834</v>
      </c>
      <c r="L51" s="1665" t="s">
        <v>3808</v>
      </c>
      <c r="M51" s="1656" t="s">
        <v>1467</v>
      </c>
      <c r="N51" s="1648" t="s">
        <v>1397</v>
      </c>
      <c r="O51" s="1662" t="s">
        <v>6</v>
      </c>
      <c r="P51" s="1662" t="s">
        <v>6</v>
      </c>
      <c r="Q51" s="1662" t="s">
        <v>6</v>
      </c>
      <c r="R51" s="1648" t="s">
        <v>2532</v>
      </c>
    </row>
    <row r="52" spans="1:18" s="659" customFormat="1" ht="45.6" customHeight="1">
      <c r="A52" s="1670"/>
      <c r="B52" s="1673"/>
      <c r="C52" s="1676"/>
      <c r="D52" s="682" t="s">
        <v>1372</v>
      </c>
      <c r="E52" s="671">
        <f>E51</f>
        <v>2.2000000000000002</v>
      </c>
      <c r="F52" s="767">
        <f t="shared" si="3"/>
        <v>0</v>
      </c>
      <c r="G52" s="671">
        <f>G51</f>
        <v>2.5299999999999998</v>
      </c>
      <c r="H52" s="671">
        <f>H51</f>
        <v>2.2000000000000002</v>
      </c>
      <c r="I52" s="671">
        <f t="shared" ref="I52:J52" si="14">I51</f>
        <v>2.2000000000000002</v>
      </c>
      <c r="J52" s="671">
        <f t="shared" si="14"/>
        <v>2.2000000000000002</v>
      </c>
      <c r="K52" s="1652"/>
      <c r="L52" s="1666"/>
      <c r="M52" s="1658"/>
      <c r="N52" s="1650"/>
      <c r="O52" s="1664"/>
      <c r="P52" s="1664"/>
      <c r="Q52" s="1664"/>
      <c r="R52" s="1649"/>
    </row>
    <row r="53" spans="1:18" s="659" customFormat="1" ht="20.100000000000001" customHeight="1">
      <c r="A53" s="1668" t="s">
        <v>3757</v>
      </c>
      <c r="B53" s="1671" t="s">
        <v>525</v>
      </c>
      <c r="C53" s="1674">
        <v>188711925</v>
      </c>
      <c r="D53" s="678" t="s">
        <v>1377</v>
      </c>
      <c r="E53" s="667">
        <v>0.4</v>
      </c>
      <c r="F53" s="765">
        <f t="shared" si="3"/>
        <v>0</v>
      </c>
      <c r="G53" s="667">
        <v>0.4</v>
      </c>
      <c r="H53" s="667">
        <v>0.4</v>
      </c>
      <c r="I53" s="679">
        <v>0.4</v>
      </c>
      <c r="J53" s="680">
        <v>0.4</v>
      </c>
      <c r="K53" s="1652"/>
      <c r="L53" s="1665" t="s">
        <v>3809</v>
      </c>
      <c r="M53" s="1656" t="s">
        <v>1468</v>
      </c>
      <c r="N53" s="1648" t="s">
        <v>2842</v>
      </c>
      <c r="O53" s="1662" t="s">
        <v>2505</v>
      </c>
      <c r="P53" s="1662" t="s">
        <v>2506</v>
      </c>
      <c r="Q53" s="1662" t="s">
        <v>2507</v>
      </c>
      <c r="R53" s="1649"/>
    </row>
    <row r="54" spans="1:18" s="659" customFormat="1" ht="42.6" customHeight="1">
      <c r="A54" s="1670"/>
      <c r="B54" s="1673"/>
      <c r="C54" s="1676"/>
      <c r="D54" s="682" t="s">
        <v>1372</v>
      </c>
      <c r="E54" s="671">
        <f>E53</f>
        <v>0.4</v>
      </c>
      <c r="F54" s="767">
        <f t="shared" si="3"/>
        <v>0</v>
      </c>
      <c r="G54" s="671">
        <f>G53</f>
        <v>0.4</v>
      </c>
      <c r="H54" s="671">
        <f>H53</f>
        <v>0.4</v>
      </c>
      <c r="I54" s="671">
        <f t="shared" ref="I54:J54" si="15">I53</f>
        <v>0.4</v>
      </c>
      <c r="J54" s="671">
        <f t="shared" si="15"/>
        <v>0.4</v>
      </c>
      <c r="K54" s="1652"/>
      <c r="L54" s="1666"/>
      <c r="M54" s="1658"/>
      <c r="N54" s="1650"/>
      <c r="O54" s="1664"/>
      <c r="P54" s="1664"/>
      <c r="Q54" s="1664"/>
      <c r="R54" s="1649"/>
    </row>
    <row r="55" spans="1:18" s="659" customFormat="1" ht="19.95" customHeight="1">
      <c r="A55" s="1668" t="s">
        <v>3756</v>
      </c>
      <c r="B55" s="1671" t="s">
        <v>972</v>
      </c>
      <c r="C55" s="1674">
        <v>188711925</v>
      </c>
      <c r="D55" s="678" t="s">
        <v>1377</v>
      </c>
      <c r="E55" s="667">
        <v>0.1</v>
      </c>
      <c r="F55" s="765">
        <f t="shared" si="3"/>
        <v>0</v>
      </c>
      <c r="G55" s="667">
        <v>0.1</v>
      </c>
      <c r="H55" s="667">
        <v>0.1</v>
      </c>
      <c r="I55" s="679">
        <v>0.1</v>
      </c>
      <c r="J55" s="680">
        <v>0.1</v>
      </c>
      <c r="K55" s="1652"/>
      <c r="L55" s="1665" t="s">
        <v>3810</v>
      </c>
      <c r="M55" s="1656" t="s">
        <v>1469</v>
      </c>
      <c r="N55" s="1648" t="s">
        <v>2513</v>
      </c>
      <c r="O55" s="1662">
        <v>100</v>
      </c>
      <c r="P55" s="1662">
        <v>100</v>
      </c>
      <c r="Q55" s="1662">
        <v>100</v>
      </c>
      <c r="R55" s="1649"/>
    </row>
    <row r="56" spans="1:18" s="659" customFormat="1" ht="39.6" customHeight="1">
      <c r="A56" s="1670"/>
      <c r="B56" s="1673"/>
      <c r="C56" s="1676"/>
      <c r="D56" s="682" t="s">
        <v>1372</v>
      </c>
      <c r="E56" s="671">
        <f>E55</f>
        <v>0.1</v>
      </c>
      <c r="F56" s="767">
        <f t="shared" si="3"/>
        <v>0</v>
      </c>
      <c r="G56" s="671">
        <f>G55</f>
        <v>0.1</v>
      </c>
      <c r="H56" s="671">
        <f>H55</f>
        <v>0.1</v>
      </c>
      <c r="I56" s="671">
        <f t="shared" ref="I56:J56" si="16">I55</f>
        <v>0.1</v>
      </c>
      <c r="J56" s="671">
        <f t="shared" si="16"/>
        <v>0.1</v>
      </c>
      <c r="K56" s="1652"/>
      <c r="L56" s="1666"/>
      <c r="M56" s="1658"/>
      <c r="N56" s="1650"/>
      <c r="O56" s="1664"/>
      <c r="P56" s="1664"/>
      <c r="Q56" s="1664"/>
      <c r="R56" s="1649"/>
    </row>
    <row r="57" spans="1:18" s="659" customFormat="1" ht="20.100000000000001" customHeight="1">
      <c r="A57" s="1668" t="s">
        <v>3755</v>
      </c>
      <c r="B57" s="1671" t="s">
        <v>860</v>
      </c>
      <c r="C57" s="1674">
        <v>188711925</v>
      </c>
      <c r="D57" s="678" t="s">
        <v>1377</v>
      </c>
      <c r="E57" s="667">
        <v>16.39</v>
      </c>
      <c r="F57" s="765">
        <f t="shared" si="3"/>
        <v>7.6266015863331302E-2</v>
      </c>
      <c r="G57" s="667">
        <v>16.55</v>
      </c>
      <c r="H57" s="667">
        <v>17.64</v>
      </c>
      <c r="I57" s="679">
        <v>17.64</v>
      </c>
      <c r="J57" s="680">
        <v>17.64</v>
      </c>
      <c r="K57" s="1652"/>
      <c r="L57" s="1665" t="s">
        <v>3145</v>
      </c>
      <c r="M57" s="1656" t="s">
        <v>1470</v>
      </c>
      <c r="N57" s="1648" t="s">
        <v>2514</v>
      </c>
      <c r="O57" s="1662">
        <v>100</v>
      </c>
      <c r="P57" s="1662">
        <v>100</v>
      </c>
      <c r="Q57" s="1662">
        <v>100</v>
      </c>
      <c r="R57" s="1649"/>
    </row>
    <row r="58" spans="1:18" s="659" customFormat="1" ht="20.100000000000001" customHeight="1">
      <c r="A58" s="1669"/>
      <c r="B58" s="1672"/>
      <c r="C58" s="1675"/>
      <c r="D58" s="678" t="s">
        <v>668</v>
      </c>
      <c r="E58" s="692"/>
      <c r="F58" s="765"/>
      <c r="G58" s="692"/>
      <c r="H58" s="692"/>
      <c r="I58" s="679"/>
      <c r="J58" s="680"/>
      <c r="K58" s="1652"/>
      <c r="L58" s="1667"/>
      <c r="M58" s="1657"/>
      <c r="N58" s="1649"/>
      <c r="O58" s="1663"/>
      <c r="P58" s="1663"/>
      <c r="Q58" s="1663"/>
      <c r="R58" s="1649"/>
    </row>
    <row r="59" spans="1:18" s="659" customFormat="1" ht="20.100000000000001" customHeight="1">
      <c r="A59" s="1670"/>
      <c r="B59" s="1673"/>
      <c r="C59" s="1676"/>
      <c r="D59" s="682" t="s">
        <v>1372</v>
      </c>
      <c r="E59" s="671">
        <f>E57</f>
        <v>16.39</v>
      </c>
      <c r="F59" s="767">
        <f t="shared" si="3"/>
        <v>7.6266015863331302E-2</v>
      </c>
      <c r="G59" s="671">
        <f>G57+G58</f>
        <v>16.55</v>
      </c>
      <c r="H59" s="671">
        <f>H57+H58</f>
        <v>17.64</v>
      </c>
      <c r="I59" s="671">
        <f t="shared" ref="I59:J59" si="17">I57+I58</f>
        <v>17.64</v>
      </c>
      <c r="J59" s="671">
        <f t="shared" si="17"/>
        <v>17.64</v>
      </c>
      <c r="K59" s="1652"/>
      <c r="L59" s="1666"/>
      <c r="M59" s="1658"/>
      <c r="N59" s="1650"/>
      <c r="O59" s="1664"/>
      <c r="P59" s="1664"/>
      <c r="Q59" s="1664"/>
      <c r="R59" s="1649"/>
    </row>
    <row r="60" spans="1:18" s="659" customFormat="1" ht="20.100000000000001" customHeight="1">
      <c r="A60" s="1668" t="s">
        <v>3754</v>
      </c>
      <c r="B60" s="1671" t="s">
        <v>974</v>
      </c>
      <c r="C60" s="1674">
        <v>188711925</v>
      </c>
      <c r="D60" s="678" t="s">
        <v>1377</v>
      </c>
      <c r="E60" s="667">
        <v>13.1</v>
      </c>
      <c r="F60" s="765">
        <f t="shared" si="3"/>
        <v>1.1702290076335877</v>
      </c>
      <c r="G60" s="667">
        <v>20.36</v>
      </c>
      <c r="H60" s="667">
        <v>28.43</v>
      </c>
      <c r="I60" s="679">
        <v>28.43</v>
      </c>
      <c r="J60" s="680">
        <v>28.43</v>
      </c>
      <c r="K60" s="1652"/>
      <c r="L60" s="1665" t="s">
        <v>3146</v>
      </c>
      <c r="M60" s="1656" t="s">
        <v>1471</v>
      </c>
      <c r="N60" s="1648" t="s">
        <v>2515</v>
      </c>
      <c r="O60" s="1662">
        <v>100</v>
      </c>
      <c r="P60" s="1662">
        <v>100</v>
      </c>
      <c r="Q60" s="1662">
        <v>100</v>
      </c>
      <c r="R60" s="1649"/>
    </row>
    <row r="61" spans="1:18" s="659" customFormat="1" ht="42.6" customHeight="1">
      <c r="A61" s="1670"/>
      <c r="B61" s="1673"/>
      <c r="C61" s="1676"/>
      <c r="D61" s="682" t="s">
        <v>1372</v>
      </c>
      <c r="E61" s="671">
        <f>E60</f>
        <v>13.1</v>
      </c>
      <c r="F61" s="767">
        <f t="shared" si="3"/>
        <v>1.1702290076335877</v>
      </c>
      <c r="G61" s="671">
        <f>G60</f>
        <v>20.36</v>
      </c>
      <c r="H61" s="671">
        <f>H60</f>
        <v>28.43</v>
      </c>
      <c r="I61" s="671">
        <f t="shared" ref="I61:J61" si="18">I60</f>
        <v>28.43</v>
      </c>
      <c r="J61" s="671">
        <f t="shared" si="18"/>
        <v>28.43</v>
      </c>
      <c r="K61" s="1652"/>
      <c r="L61" s="1666"/>
      <c r="M61" s="1658"/>
      <c r="N61" s="1650"/>
      <c r="O61" s="1664"/>
      <c r="P61" s="1664"/>
      <c r="Q61" s="1664"/>
      <c r="R61" s="1649"/>
    </row>
    <row r="62" spans="1:18" s="659" customFormat="1" ht="20.100000000000001" customHeight="1">
      <c r="A62" s="1668" t="s">
        <v>3753</v>
      </c>
      <c r="B62" s="1671" t="s">
        <v>802</v>
      </c>
      <c r="C62" s="1674">
        <v>188711925</v>
      </c>
      <c r="D62" s="678" t="s">
        <v>1377</v>
      </c>
      <c r="E62" s="667">
        <v>13.6</v>
      </c>
      <c r="F62" s="765">
        <f t="shared" si="3"/>
        <v>0.17647058823529416</v>
      </c>
      <c r="G62" s="667">
        <v>14.835000000000001</v>
      </c>
      <c r="H62" s="667">
        <v>16</v>
      </c>
      <c r="I62" s="679">
        <v>16</v>
      </c>
      <c r="J62" s="680">
        <v>16</v>
      </c>
      <c r="K62" s="1652"/>
      <c r="L62" s="1665" t="s">
        <v>3811</v>
      </c>
      <c r="M62" s="1656" t="s">
        <v>1472</v>
      </c>
      <c r="N62" s="1648" t="s">
        <v>3247</v>
      </c>
      <c r="O62" s="1662" t="s">
        <v>2508</v>
      </c>
      <c r="P62" s="1662" t="s">
        <v>2509</v>
      </c>
      <c r="Q62" s="1662" t="s">
        <v>2510</v>
      </c>
      <c r="R62" s="1649"/>
    </row>
    <row r="63" spans="1:18" s="659" customFormat="1" ht="20.100000000000001" customHeight="1">
      <c r="A63" s="1669"/>
      <c r="B63" s="1672"/>
      <c r="C63" s="1675"/>
      <c r="D63" s="678" t="s">
        <v>668</v>
      </c>
      <c r="E63" s="693">
        <v>0.68</v>
      </c>
      <c r="F63" s="765">
        <f t="shared" si="3"/>
        <v>-0.30882352941176477</v>
      </c>
      <c r="G63" s="693">
        <v>0.79500000000000004</v>
      </c>
      <c r="H63" s="693">
        <v>0.47</v>
      </c>
      <c r="I63" s="679">
        <v>0</v>
      </c>
      <c r="J63" s="680">
        <v>0</v>
      </c>
      <c r="K63" s="1652"/>
      <c r="L63" s="1667"/>
      <c r="M63" s="1657"/>
      <c r="N63" s="1649"/>
      <c r="O63" s="1663"/>
      <c r="P63" s="1663"/>
      <c r="Q63" s="1663"/>
      <c r="R63" s="1649"/>
    </row>
    <row r="64" spans="1:18" s="659" customFormat="1" ht="50.25" customHeight="1">
      <c r="A64" s="1670"/>
      <c r="B64" s="1673"/>
      <c r="C64" s="1676"/>
      <c r="D64" s="682" t="s">
        <v>1372</v>
      </c>
      <c r="E64" s="671">
        <f>SUM(E62:E63)</f>
        <v>14.28</v>
      </c>
      <c r="F64" s="767">
        <f t="shared" si="3"/>
        <v>0.15336134453781511</v>
      </c>
      <c r="G64" s="671">
        <f>G62+G63</f>
        <v>15.63</v>
      </c>
      <c r="H64" s="671">
        <f>H62+H63</f>
        <v>16.47</v>
      </c>
      <c r="I64" s="671">
        <f t="shared" ref="I64:J64" si="19">I62+I63</f>
        <v>16</v>
      </c>
      <c r="J64" s="671">
        <f t="shared" si="19"/>
        <v>16</v>
      </c>
      <c r="K64" s="1652"/>
      <c r="L64" s="1666"/>
      <c r="M64" s="1658"/>
      <c r="N64" s="1650"/>
      <c r="O64" s="1664"/>
      <c r="P64" s="1664"/>
      <c r="Q64" s="1664"/>
      <c r="R64" s="1649"/>
    </row>
    <row r="65" spans="1:18" s="659" customFormat="1" ht="20.100000000000001" customHeight="1">
      <c r="A65" s="1668" t="s">
        <v>3752</v>
      </c>
      <c r="B65" s="1671" t="s">
        <v>577</v>
      </c>
      <c r="C65" s="1674">
        <v>188711925</v>
      </c>
      <c r="D65" s="678" t="s">
        <v>1377</v>
      </c>
      <c r="E65" s="667">
        <v>0.46</v>
      </c>
      <c r="F65" s="765">
        <f t="shared" si="3"/>
        <v>-0.52173913043478259</v>
      </c>
      <c r="G65" s="667">
        <v>0.46</v>
      </c>
      <c r="H65" s="667">
        <v>0.22</v>
      </c>
      <c r="I65" s="694">
        <v>0.22</v>
      </c>
      <c r="J65" s="695">
        <v>0.22</v>
      </c>
      <c r="K65" s="1652"/>
      <c r="L65" s="1665" t="s">
        <v>3812</v>
      </c>
      <c r="M65" s="1656" t="s">
        <v>1473</v>
      </c>
      <c r="N65" s="1648" t="s">
        <v>2516</v>
      </c>
      <c r="O65" s="1662">
        <v>100</v>
      </c>
      <c r="P65" s="1662">
        <v>100</v>
      </c>
      <c r="Q65" s="1662">
        <v>100</v>
      </c>
      <c r="R65" s="1649"/>
    </row>
    <row r="66" spans="1:18" s="659" customFormat="1" ht="39" customHeight="1">
      <c r="A66" s="1670"/>
      <c r="B66" s="1673"/>
      <c r="C66" s="1676"/>
      <c r="D66" s="682" t="s">
        <v>1372</v>
      </c>
      <c r="E66" s="671">
        <f>E65</f>
        <v>0.46</v>
      </c>
      <c r="F66" s="767">
        <f t="shared" si="3"/>
        <v>-0.52173913043478259</v>
      </c>
      <c r="G66" s="671">
        <f>G65</f>
        <v>0.46</v>
      </c>
      <c r="H66" s="671">
        <f>H65</f>
        <v>0.22</v>
      </c>
      <c r="I66" s="671">
        <f t="shared" ref="I66:J66" si="20">I65</f>
        <v>0.22</v>
      </c>
      <c r="J66" s="671">
        <f t="shared" si="20"/>
        <v>0.22</v>
      </c>
      <c r="K66" s="1653"/>
      <c r="L66" s="1666"/>
      <c r="M66" s="1658"/>
      <c r="N66" s="1650"/>
      <c r="O66" s="1664"/>
      <c r="P66" s="1664"/>
      <c r="Q66" s="1664"/>
      <c r="R66" s="1650"/>
    </row>
    <row r="67" spans="1:18" s="659" customFormat="1" ht="20.100000000000001" customHeight="1">
      <c r="A67" s="1668" t="s">
        <v>3751</v>
      </c>
      <c r="B67" s="1671" t="s">
        <v>981</v>
      </c>
      <c r="C67" s="1674">
        <v>188711925</v>
      </c>
      <c r="D67" s="678" t="s">
        <v>1377</v>
      </c>
      <c r="E67" s="667">
        <v>15.3</v>
      </c>
      <c r="F67" s="765">
        <f t="shared" si="3"/>
        <v>-0.52287581699346408</v>
      </c>
      <c r="G67" s="667">
        <v>16.024999999999999</v>
      </c>
      <c r="H67" s="667">
        <v>7.3</v>
      </c>
      <c r="I67" s="679">
        <v>7.3</v>
      </c>
      <c r="J67" s="680">
        <v>7.3</v>
      </c>
      <c r="K67" s="1651" t="s">
        <v>2843</v>
      </c>
      <c r="L67" s="1665" t="s">
        <v>3814</v>
      </c>
      <c r="M67" s="1656" t="s">
        <v>1474</v>
      </c>
      <c r="N67" s="1648" t="s">
        <v>3813</v>
      </c>
      <c r="O67" s="1662" t="s">
        <v>449</v>
      </c>
      <c r="P67" s="1662" t="s">
        <v>449</v>
      </c>
      <c r="Q67" s="1662" t="s">
        <v>449</v>
      </c>
      <c r="R67" s="1648" t="s">
        <v>2192</v>
      </c>
    </row>
    <row r="68" spans="1:18" s="659" customFormat="1" ht="65.400000000000006" customHeight="1">
      <c r="A68" s="1670"/>
      <c r="B68" s="1673"/>
      <c r="C68" s="1676"/>
      <c r="D68" s="682" t="s">
        <v>1372</v>
      </c>
      <c r="E68" s="671">
        <f>E67</f>
        <v>15.3</v>
      </c>
      <c r="F68" s="767">
        <f t="shared" si="3"/>
        <v>-0.52287581699346408</v>
      </c>
      <c r="G68" s="671">
        <f>G67</f>
        <v>16.024999999999999</v>
      </c>
      <c r="H68" s="671">
        <f>H67</f>
        <v>7.3</v>
      </c>
      <c r="I68" s="671">
        <f t="shared" ref="I68:J68" si="21">I67</f>
        <v>7.3</v>
      </c>
      <c r="J68" s="671">
        <f t="shared" si="21"/>
        <v>7.3</v>
      </c>
      <c r="K68" s="1652"/>
      <c r="L68" s="1666"/>
      <c r="M68" s="1658"/>
      <c r="N68" s="1650"/>
      <c r="O68" s="1664"/>
      <c r="P68" s="1664"/>
      <c r="Q68" s="1664"/>
      <c r="R68" s="1649"/>
    </row>
    <row r="69" spans="1:18" s="659" customFormat="1" ht="20.100000000000001" customHeight="1">
      <c r="A69" s="1668" t="s">
        <v>3750</v>
      </c>
      <c r="B69" s="1671" t="s">
        <v>982</v>
      </c>
      <c r="C69" s="1674">
        <v>188711925</v>
      </c>
      <c r="D69" s="1714" t="s">
        <v>1377</v>
      </c>
      <c r="E69" s="667">
        <v>48.8</v>
      </c>
      <c r="F69" s="765">
        <f t="shared" si="3"/>
        <v>-0.19057377049180324</v>
      </c>
      <c r="G69" s="667">
        <v>38.07</v>
      </c>
      <c r="H69" s="667">
        <v>39.5</v>
      </c>
      <c r="I69" s="679">
        <v>39.5</v>
      </c>
      <c r="J69" s="680">
        <v>39.5</v>
      </c>
      <c r="K69" s="1652"/>
      <c r="L69" s="1665" t="s">
        <v>3815</v>
      </c>
      <c r="M69" s="1656" t="s">
        <v>1398</v>
      </c>
      <c r="N69" s="1648" t="s">
        <v>2524</v>
      </c>
      <c r="O69" s="1662" t="s">
        <v>2517</v>
      </c>
      <c r="P69" s="1662" t="s">
        <v>2518</v>
      </c>
      <c r="Q69" s="1662" t="s">
        <v>2518</v>
      </c>
      <c r="R69" s="1649"/>
    </row>
    <row r="70" spans="1:18" s="659" customFormat="1" ht="20.100000000000001" customHeight="1">
      <c r="A70" s="1669"/>
      <c r="B70" s="1672"/>
      <c r="C70" s="1675"/>
      <c r="D70" s="1715"/>
      <c r="E70" s="693">
        <v>12</v>
      </c>
      <c r="F70" s="765">
        <f t="shared" si="3"/>
        <v>-1</v>
      </c>
      <c r="G70" s="693"/>
      <c r="H70" s="693"/>
      <c r="I70" s="679"/>
      <c r="J70" s="680"/>
      <c r="K70" s="1652"/>
      <c r="L70" s="1667"/>
      <c r="M70" s="1657"/>
      <c r="N70" s="1650"/>
      <c r="O70" s="1664"/>
      <c r="P70" s="1664"/>
      <c r="Q70" s="1664"/>
      <c r="R70" s="1649"/>
    </row>
    <row r="71" spans="1:18" s="659" customFormat="1" ht="75.599999999999994" customHeight="1">
      <c r="A71" s="1670"/>
      <c r="B71" s="1673"/>
      <c r="C71" s="1676"/>
      <c r="D71" s="682" t="s">
        <v>1372</v>
      </c>
      <c r="E71" s="671">
        <f>E69</f>
        <v>48.8</v>
      </c>
      <c r="F71" s="767">
        <f t="shared" si="3"/>
        <v>-0.19057377049180324</v>
      </c>
      <c r="G71" s="671">
        <f>G69+G70</f>
        <v>38.07</v>
      </c>
      <c r="H71" s="671">
        <f>H69+H70</f>
        <v>39.5</v>
      </c>
      <c r="I71" s="671">
        <f t="shared" ref="I71:J71" si="22">I69+I70</f>
        <v>39.5</v>
      </c>
      <c r="J71" s="671">
        <f t="shared" si="22"/>
        <v>39.5</v>
      </c>
      <c r="K71" s="1653"/>
      <c r="L71" s="1666"/>
      <c r="M71" s="1658"/>
      <c r="N71" s="766" t="s">
        <v>2525</v>
      </c>
      <c r="O71" s="824" t="s">
        <v>449</v>
      </c>
      <c r="P71" s="824" t="s">
        <v>449</v>
      </c>
      <c r="Q71" s="824" t="s">
        <v>449</v>
      </c>
      <c r="R71" s="1650"/>
    </row>
    <row r="72" spans="1:18" s="659" customFormat="1" ht="20.100000000000001" customHeight="1">
      <c r="A72" s="1668" t="s">
        <v>3749</v>
      </c>
      <c r="B72" s="1671" t="s">
        <v>861</v>
      </c>
      <c r="C72" s="1674">
        <v>188711925</v>
      </c>
      <c r="D72" s="678" t="s">
        <v>1377</v>
      </c>
      <c r="E72" s="667">
        <v>3.25</v>
      </c>
      <c r="F72" s="765">
        <f t="shared" si="3"/>
        <v>5.8461538461538447E-2</v>
      </c>
      <c r="G72" s="667">
        <v>4.08</v>
      </c>
      <c r="H72" s="667">
        <v>3.44</v>
      </c>
      <c r="I72" s="679">
        <v>3.44</v>
      </c>
      <c r="J72" s="680">
        <v>3.44</v>
      </c>
      <c r="K72" s="1651" t="s">
        <v>2834</v>
      </c>
      <c r="L72" s="1665" t="s">
        <v>3147</v>
      </c>
      <c r="M72" s="1656" t="s">
        <v>1475</v>
      </c>
      <c r="N72" s="1648" t="s">
        <v>2519</v>
      </c>
      <c r="O72" s="1662">
        <v>100</v>
      </c>
      <c r="P72" s="1662">
        <v>100</v>
      </c>
      <c r="Q72" s="1662">
        <v>100</v>
      </c>
      <c r="R72" s="1648" t="s">
        <v>2532</v>
      </c>
    </row>
    <row r="73" spans="1:18" s="659" customFormat="1" ht="20.100000000000001" customHeight="1">
      <c r="A73" s="1669"/>
      <c r="B73" s="1672"/>
      <c r="C73" s="1675"/>
      <c r="D73" s="678" t="s">
        <v>668</v>
      </c>
      <c r="E73" s="692"/>
      <c r="F73" s="765"/>
      <c r="G73" s="692"/>
      <c r="H73" s="692"/>
      <c r="I73" s="697"/>
      <c r="J73" s="698"/>
      <c r="K73" s="1652"/>
      <c r="L73" s="1667"/>
      <c r="M73" s="1657"/>
      <c r="N73" s="1649"/>
      <c r="O73" s="1663"/>
      <c r="P73" s="1663"/>
      <c r="Q73" s="1663"/>
      <c r="R73" s="1649"/>
    </row>
    <row r="74" spans="1:18" s="659" customFormat="1" ht="19.95" customHeight="1">
      <c r="A74" s="1670"/>
      <c r="B74" s="1673"/>
      <c r="C74" s="1676"/>
      <c r="D74" s="682" t="s">
        <v>1372</v>
      </c>
      <c r="E74" s="671">
        <f>SUM(E72:E73)</f>
        <v>3.25</v>
      </c>
      <c r="F74" s="767">
        <f t="shared" si="3"/>
        <v>5.8461538461538447E-2</v>
      </c>
      <c r="G74" s="671">
        <f t="shared" ref="G74:J74" si="23">SUM(G72:G73)</f>
        <v>4.08</v>
      </c>
      <c r="H74" s="671">
        <f t="shared" ref="H74" si="24">SUM(H72:H73)</f>
        <v>3.44</v>
      </c>
      <c r="I74" s="671">
        <f t="shared" si="23"/>
        <v>3.44</v>
      </c>
      <c r="J74" s="671">
        <f t="shared" si="23"/>
        <v>3.44</v>
      </c>
      <c r="K74" s="1652"/>
      <c r="L74" s="1666"/>
      <c r="M74" s="1658"/>
      <c r="N74" s="1650"/>
      <c r="O74" s="1664"/>
      <c r="P74" s="1664"/>
      <c r="Q74" s="1664"/>
      <c r="R74" s="1649"/>
    </row>
    <row r="75" spans="1:18" s="659" customFormat="1" ht="20.100000000000001" customHeight="1">
      <c r="A75" s="1668" t="s">
        <v>3748</v>
      </c>
      <c r="B75" s="1671" t="s">
        <v>575</v>
      </c>
      <c r="C75" s="1674">
        <v>188711925</v>
      </c>
      <c r="D75" s="678" t="s">
        <v>1377</v>
      </c>
      <c r="E75" s="667">
        <v>11.2</v>
      </c>
      <c r="F75" s="765">
        <f t="shared" si="3"/>
        <v>-0.38392857142857134</v>
      </c>
      <c r="G75" s="667">
        <v>7.67</v>
      </c>
      <c r="H75" s="667">
        <v>6.9</v>
      </c>
      <c r="I75" s="679">
        <v>6.9</v>
      </c>
      <c r="J75" s="680">
        <v>6.9</v>
      </c>
      <c r="K75" s="1652"/>
      <c r="L75" s="1665" t="s">
        <v>3816</v>
      </c>
      <c r="M75" s="1656" t="s">
        <v>1476</v>
      </c>
      <c r="N75" s="1648" t="s">
        <v>2520</v>
      </c>
      <c r="O75" s="1662">
        <v>100</v>
      </c>
      <c r="P75" s="1662">
        <v>100</v>
      </c>
      <c r="Q75" s="1662">
        <v>100</v>
      </c>
      <c r="R75" s="1649"/>
    </row>
    <row r="76" spans="1:18" s="659" customFormat="1" ht="34.200000000000003" customHeight="1">
      <c r="A76" s="1670"/>
      <c r="B76" s="1673"/>
      <c r="C76" s="1676"/>
      <c r="D76" s="682" t="s">
        <v>1372</v>
      </c>
      <c r="E76" s="671">
        <f>E75</f>
        <v>11.2</v>
      </c>
      <c r="F76" s="767">
        <f t="shared" si="3"/>
        <v>-0.38392857142857134</v>
      </c>
      <c r="G76" s="671">
        <f>G75</f>
        <v>7.67</v>
      </c>
      <c r="H76" s="671">
        <f>H75</f>
        <v>6.9</v>
      </c>
      <c r="I76" s="671">
        <f t="shared" ref="I76:J76" si="25">I75</f>
        <v>6.9</v>
      </c>
      <c r="J76" s="671">
        <f t="shared" si="25"/>
        <v>6.9</v>
      </c>
      <c r="K76" s="1652"/>
      <c r="L76" s="1713"/>
      <c r="M76" s="1658"/>
      <c r="N76" s="1650"/>
      <c r="O76" s="1664"/>
      <c r="P76" s="1664"/>
      <c r="Q76" s="1664"/>
      <c r="R76" s="1649"/>
    </row>
    <row r="77" spans="1:18" s="659" customFormat="1" ht="20.100000000000001" customHeight="1">
      <c r="A77" s="1668" t="s">
        <v>3747</v>
      </c>
      <c r="B77" s="1671" t="s">
        <v>250</v>
      </c>
      <c r="C77" s="1674">
        <v>188711925</v>
      </c>
      <c r="D77" s="678" t="s">
        <v>1377</v>
      </c>
      <c r="E77" s="667">
        <v>10</v>
      </c>
      <c r="F77" s="765">
        <f t="shared" si="3"/>
        <v>0</v>
      </c>
      <c r="G77" s="667">
        <v>9.8049999999999997</v>
      </c>
      <c r="H77" s="667">
        <v>10</v>
      </c>
      <c r="I77" s="679">
        <v>10</v>
      </c>
      <c r="J77" s="680">
        <v>10</v>
      </c>
      <c r="K77" s="1652"/>
      <c r="L77" s="1665" t="s">
        <v>3817</v>
      </c>
      <c r="M77" s="1656" t="s">
        <v>1477</v>
      </c>
      <c r="N77" s="1648" t="s">
        <v>2511</v>
      </c>
      <c r="O77" s="1662">
        <v>100</v>
      </c>
      <c r="P77" s="1662">
        <v>100</v>
      </c>
      <c r="Q77" s="1662">
        <v>100</v>
      </c>
      <c r="R77" s="1649"/>
    </row>
    <row r="78" spans="1:18" s="659" customFormat="1" ht="20.100000000000001" customHeight="1">
      <c r="A78" s="1669"/>
      <c r="B78" s="1672"/>
      <c r="C78" s="1675"/>
      <c r="D78" s="678" t="s">
        <v>668</v>
      </c>
      <c r="E78" s="693">
        <v>0</v>
      </c>
      <c r="F78" s="765"/>
      <c r="G78" s="693">
        <v>1.28</v>
      </c>
      <c r="H78" s="693">
        <v>0.8</v>
      </c>
      <c r="I78" s="679">
        <v>0</v>
      </c>
      <c r="J78" s="680">
        <v>0</v>
      </c>
      <c r="K78" s="1652"/>
      <c r="L78" s="1667"/>
      <c r="M78" s="1657"/>
      <c r="N78" s="1649"/>
      <c r="O78" s="1663"/>
      <c r="P78" s="1663"/>
      <c r="Q78" s="1663"/>
      <c r="R78" s="1649"/>
    </row>
    <row r="79" spans="1:18" s="659" customFormat="1" ht="20.100000000000001" customHeight="1">
      <c r="A79" s="1670"/>
      <c r="B79" s="1673"/>
      <c r="C79" s="1676"/>
      <c r="D79" s="682" t="s">
        <v>1372</v>
      </c>
      <c r="E79" s="671">
        <f>SUM(E77:E78)</f>
        <v>10</v>
      </c>
      <c r="F79" s="767">
        <f t="shared" si="3"/>
        <v>8.0000000000000071E-2</v>
      </c>
      <c r="G79" s="671">
        <f t="shared" ref="G79:J79" si="26">SUM(G77:G78)</f>
        <v>11.084999999999999</v>
      </c>
      <c r="H79" s="671">
        <f t="shared" ref="H79" si="27">SUM(H77:H78)</f>
        <v>10.8</v>
      </c>
      <c r="I79" s="671">
        <f t="shared" si="26"/>
        <v>10</v>
      </c>
      <c r="J79" s="671">
        <f t="shared" si="26"/>
        <v>10</v>
      </c>
      <c r="K79" s="1652"/>
      <c r="L79" s="1666"/>
      <c r="M79" s="1658"/>
      <c r="N79" s="1650"/>
      <c r="O79" s="1664"/>
      <c r="P79" s="1664"/>
      <c r="Q79" s="1664"/>
      <c r="R79" s="1649"/>
    </row>
    <row r="80" spans="1:18" s="659" customFormat="1" ht="20.100000000000001" customHeight="1">
      <c r="A80" s="1668" t="s">
        <v>3746</v>
      </c>
      <c r="B80" s="1671" t="s">
        <v>975</v>
      </c>
      <c r="C80" s="1674">
        <v>188711925</v>
      </c>
      <c r="D80" s="678" t="s">
        <v>1377</v>
      </c>
      <c r="E80" s="667">
        <v>27.26</v>
      </c>
      <c r="F80" s="765">
        <f t="shared" si="3"/>
        <v>0.10381511371973581</v>
      </c>
      <c r="G80" s="667">
        <v>27.754999999999999</v>
      </c>
      <c r="H80" s="667">
        <v>30.09</v>
      </c>
      <c r="I80" s="679">
        <v>31</v>
      </c>
      <c r="J80" s="680">
        <v>31.5</v>
      </c>
      <c r="K80" s="1652"/>
      <c r="L80" s="1665" t="s">
        <v>3818</v>
      </c>
      <c r="M80" s="1656" t="s">
        <v>1478</v>
      </c>
      <c r="N80" s="1648" t="s">
        <v>2523</v>
      </c>
      <c r="O80" s="1662" t="s">
        <v>469</v>
      </c>
      <c r="P80" s="1662" t="s">
        <v>469</v>
      </c>
      <c r="Q80" s="1662" t="s">
        <v>469</v>
      </c>
      <c r="R80" s="1649"/>
    </row>
    <row r="81" spans="1:19" s="659" customFormat="1" ht="34.200000000000003" customHeight="1">
      <c r="A81" s="1670"/>
      <c r="B81" s="1673"/>
      <c r="C81" s="1676"/>
      <c r="D81" s="682" t="s">
        <v>1372</v>
      </c>
      <c r="E81" s="671">
        <f>E80</f>
        <v>27.26</v>
      </c>
      <c r="F81" s="767">
        <f t="shared" si="3"/>
        <v>0.10381511371973581</v>
      </c>
      <c r="G81" s="671">
        <f>G80</f>
        <v>27.754999999999999</v>
      </c>
      <c r="H81" s="671">
        <f>H80</f>
        <v>30.09</v>
      </c>
      <c r="I81" s="671">
        <f>I80</f>
        <v>31</v>
      </c>
      <c r="J81" s="671">
        <f>J80</f>
        <v>31.5</v>
      </c>
      <c r="K81" s="1652"/>
      <c r="L81" s="1666"/>
      <c r="M81" s="1658"/>
      <c r="N81" s="1650"/>
      <c r="O81" s="1664"/>
      <c r="P81" s="1664"/>
      <c r="Q81" s="1664"/>
      <c r="R81" s="1649"/>
    </row>
    <row r="82" spans="1:19" s="659" customFormat="1" ht="20.100000000000001" customHeight="1">
      <c r="A82" s="1668" t="s">
        <v>3745</v>
      </c>
      <c r="B82" s="1671" t="s">
        <v>202</v>
      </c>
      <c r="C82" s="1674">
        <v>188711925</v>
      </c>
      <c r="D82" s="678" t="s">
        <v>1377</v>
      </c>
      <c r="E82" s="667">
        <v>1.45</v>
      </c>
      <c r="F82" s="765">
        <f t="shared" si="3"/>
        <v>14.136551724137933</v>
      </c>
      <c r="G82" s="667">
        <v>1.45</v>
      </c>
      <c r="H82" s="667">
        <v>21.948</v>
      </c>
      <c r="I82" s="694">
        <v>22</v>
      </c>
      <c r="J82" s="679">
        <v>22</v>
      </c>
      <c r="K82" s="1652"/>
      <c r="L82" s="1665" t="s">
        <v>3819</v>
      </c>
      <c r="M82" s="1656" t="s">
        <v>1479</v>
      </c>
      <c r="N82" s="1648" t="s">
        <v>3805</v>
      </c>
      <c r="O82" s="1662" t="s">
        <v>449</v>
      </c>
      <c r="P82" s="1662" t="s">
        <v>449</v>
      </c>
      <c r="Q82" s="1662" t="s">
        <v>449</v>
      </c>
      <c r="R82" s="1649"/>
    </row>
    <row r="83" spans="1:19" s="659" customFormat="1" ht="76.2" customHeight="1">
      <c r="A83" s="1670"/>
      <c r="B83" s="1673"/>
      <c r="C83" s="1676"/>
      <c r="D83" s="682" t="s">
        <v>1372</v>
      </c>
      <c r="E83" s="671">
        <f>E82</f>
        <v>1.45</v>
      </c>
      <c r="F83" s="767">
        <f t="shared" si="3"/>
        <v>14.136551724137933</v>
      </c>
      <c r="G83" s="671">
        <f>G82</f>
        <v>1.45</v>
      </c>
      <c r="H83" s="671">
        <f>H82</f>
        <v>21.948</v>
      </c>
      <c r="I83" s="671">
        <f>I82</f>
        <v>22</v>
      </c>
      <c r="J83" s="671">
        <f>J82</f>
        <v>22</v>
      </c>
      <c r="K83" s="1652"/>
      <c r="L83" s="1666"/>
      <c r="M83" s="1658"/>
      <c r="N83" s="1650"/>
      <c r="O83" s="1664"/>
      <c r="P83" s="1664"/>
      <c r="Q83" s="1664"/>
      <c r="R83" s="1649"/>
    </row>
    <row r="84" spans="1:19" s="659" customFormat="1" ht="20.100000000000001" customHeight="1">
      <c r="A84" s="1668" t="s">
        <v>3744</v>
      </c>
      <c r="B84" s="1671" t="s">
        <v>965</v>
      </c>
      <c r="C84" s="1674">
        <v>188711925</v>
      </c>
      <c r="D84" s="678" t="s">
        <v>1377</v>
      </c>
      <c r="E84" s="667">
        <v>1.4</v>
      </c>
      <c r="F84" s="765">
        <f t="shared" ref="F84:F166" si="28">(H84-E84)/E84</f>
        <v>0.22000000000000006</v>
      </c>
      <c r="G84" s="667">
        <v>1</v>
      </c>
      <c r="H84" s="667">
        <v>1.708</v>
      </c>
      <c r="I84" s="694">
        <v>1.4</v>
      </c>
      <c r="J84" s="679">
        <v>1.4</v>
      </c>
      <c r="K84" s="1652"/>
      <c r="L84" s="1665" t="s">
        <v>3820</v>
      </c>
      <c r="M84" s="1656" t="s">
        <v>1480</v>
      </c>
      <c r="N84" s="1648" t="s">
        <v>2521</v>
      </c>
      <c r="O84" s="1662" t="s">
        <v>2522</v>
      </c>
      <c r="P84" s="1662" t="s">
        <v>2522</v>
      </c>
      <c r="Q84" s="1662" t="s">
        <v>2522</v>
      </c>
      <c r="R84" s="1649"/>
    </row>
    <row r="85" spans="1:19" s="659" customFormat="1" ht="20.100000000000001" customHeight="1">
      <c r="A85" s="1669"/>
      <c r="B85" s="1672"/>
      <c r="C85" s="1675"/>
      <c r="D85" s="678" t="s">
        <v>668</v>
      </c>
      <c r="E85" s="667">
        <v>8</v>
      </c>
      <c r="F85" s="765">
        <f t="shared" si="28"/>
        <v>-1</v>
      </c>
      <c r="G85" s="667">
        <v>2</v>
      </c>
      <c r="H85" s="667">
        <v>0</v>
      </c>
      <c r="I85" s="679">
        <v>0</v>
      </c>
      <c r="J85" s="680">
        <v>0</v>
      </c>
      <c r="K85" s="1652"/>
      <c r="L85" s="1667"/>
      <c r="M85" s="1657"/>
      <c r="N85" s="1649"/>
      <c r="O85" s="1663"/>
      <c r="P85" s="1663"/>
      <c r="Q85" s="1663"/>
      <c r="R85" s="1649"/>
    </row>
    <row r="86" spans="1:19" s="659" customFormat="1" ht="20.100000000000001" customHeight="1">
      <c r="A86" s="1670"/>
      <c r="B86" s="1673"/>
      <c r="C86" s="1696"/>
      <c r="D86" s="685" t="s">
        <v>1372</v>
      </c>
      <c r="E86" s="686">
        <f>SUM(E84:E85)</f>
        <v>9.4</v>
      </c>
      <c r="F86" s="767">
        <f t="shared" si="28"/>
        <v>-0.8182978723404255</v>
      </c>
      <c r="G86" s="686">
        <f t="shared" ref="G86:J86" si="29">SUM(G84:G85)</f>
        <v>3</v>
      </c>
      <c r="H86" s="686">
        <f t="shared" ref="H86" si="30">SUM(H84:H85)</f>
        <v>1.708</v>
      </c>
      <c r="I86" s="686">
        <f t="shared" si="29"/>
        <v>1.4</v>
      </c>
      <c r="J86" s="686">
        <f t="shared" si="29"/>
        <v>1.4</v>
      </c>
      <c r="K86" s="1653"/>
      <c r="L86" s="1666"/>
      <c r="M86" s="1658"/>
      <c r="N86" s="1650"/>
      <c r="O86" s="1664"/>
      <c r="P86" s="1664"/>
      <c r="Q86" s="1664"/>
      <c r="R86" s="1650"/>
    </row>
    <row r="87" spans="1:19" s="659" customFormat="1" ht="45" customHeight="1">
      <c r="A87" s="740" t="s">
        <v>2558</v>
      </c>
      <c r="B87" s="664" t="s">
        <v>2573</v>
      </c>
      <c r="C87" s="740"/>
      <c r="D87" s="740"/>
      <c r="E87" s="741">
        <f>SUM(E90,E99,E101,E103)</f>
        <v>124.15</v>
      </c>
      <c r="F87" s="760">
        <f t="shared" si="28"/>
        <v>3.0205396697543293E-2</v>
      </c>
      <c r="G87" s="741">
        <f t="shared" ref="G87:J87" si="31">SUM(G90,G99,G101,G103)</f>
        <v>135.19999999999999</v>
      </c>
      <c r="H87" s="741">
        <f>SUM(H90,H99,H101,H103)</f>
        <v>127.9</v>
      </c>
      <c r="I87" s="741">
        <f t="shared" si="31"/>
        <v>142.89999999999998</v>
      </c>
      <c r="J87" s="741">
        <f t="shared" si="31"/>
        <v>142.89999999999998</v>
      </c>
      <c r="K87" s="795" t="s">
        <v>1300</v>
      </c>
      <c r="L87" s="761"/>
      <c r="M87" s="796" t="s">
        <v>2849</v>
      </c>
      <c r="N87" s="797" t="s">
        <v>1304</v>
      </c>
      <c r="O87" s="1572"/>
      <c r="P87" s="1572"/>
      <c r="Q87" s="1572"/>
      <c r="R87" s="797" t="s">
        <v>1304</v>
      </c>
    </row>
    <row r="88" spans="1:19" s="659" customFormat="1" ht="28.5" customHeight="1">
      <c r="A88" s="1668" t="s">
        <v>3743</v>
      </c>
      <c r="B88" s="1671" t="s">
        <v>976</v>
      </c>
      <c r="C88" s="1693">
        <v>188711925</v>
      </c>
      <c r="D88" s="687" t="s">
        <v>668</v>
      </c>
      <c r="E88" s="688">
        <v>90.95</v>
      </c>
      <c r="F88" s="765">
        <f t="shared" si="28"/>
        <v>0.18416712479384276</v>
      </c>
      <c r="G88" s="688">
        <v>100</v>
      </c>
      <c r="H88" s="688">
        <v>107.7</v>
      </c>
      <c r="I88" s="688">
        <v>107.7</v>
      </c>
      <c r="J88" s="699">
        <v>107.7</v>
      </c>
      <c r="K88" s="1651" t="s">
        <v>2844</v>
      </c>
      <c r="L88" s="1665" t="s">
        <v>3551</v>
      </c>
      <c r="M88" s="1656" t="s">
        <v>1481</v>
      </c>
      <c r="N88" s="1648" t="s">
        <v>2485</v>
      </c>
      <c r="O88" s="1662" t="s">
        <v>1723</v>
      </c>
      <c r="P88" s="1662" t="s">
        <v>1723</v>
      </c>
      <c r="Q88" s="1662" t="s">
        <v>1723</v>
      </c>
      <c r="R88" s="1648" t="s">
        <v>2845</v>
      </c>
      <c r="S88" s="700" t="s">
        <v>3499</v>
      </c>
    </row>
    <row r="89" spans="1:19" s="659" customFormat="1" ht="27.75" customHeight="1">
      <c r="A89" s="1669"/>
      <c r="B89" s="1672"/>
      <c r="C89" s="1675"/>
      <c r="D89" s="678" t="s">
        <v>1371</v>
      </c>
      <c r="E89" s="667"/>
      <c r="F89" s="765"/>
      <c r="G89" s="667"/>
      <c r="H89" s="667"/>
      <c r="I89" s="679"/>
      <c r="J89" s="680"/>
      <c r="K89" s="1652"/>
      <c r="L89" s="1667"/>
      <c r="M89" s="1657"/>
      <c r="N89" s="1649"/>
      <c r="O89" s="1663"/>
      <c r="P89" s="1663"/>
      <c r="Q89" s="1663"/>
      <c r="R89" s="1649"/>
    </row>
    <row r="90" spans="1:19" s="659" customFormat="1" ht="93" customHeight="1">
      <c r="A90" s="1670"/>
      <c r="B90" s="1673"/>
      <c r="C90" s="1676"/>
      <c r="D90" s="682" t="s">
        <v>1372</v>
      </c>
      <c r="E90" s="671">
        <f>E88</f>
        <v>90.95</v>
      </c>
      <c r="F90" s="767">
        <f t="shared" si="28"/>
        <v>0.18416712479384276</v>
      </c>
      <c r="G90" s="671">
        <f>G88+G89</f>
        <v>100</v>
      </c>
      <c r="H90" s="671">
        <f>H88+H89</f>
        <v>107.7</v>
      </c>
      <c r="I90" s="671">
        <f t="shared" ref="I90:J90" si="32">I88+I89</f>
        <v>107.7</v>
      </c>
      <c r="J90" s="671">
        <f t="shared" si="32"/>
        <v>107.7</v>
      </c>
      <c r="K90" s="1652"/>
      <c r="L90" s="1666"/>
      <c r="M90" s="1658"/>
      <c r="N90" s="1650"/>
      <c r="O90" s="1664"/>
      <c r="P90" s="1664"/>
      <c r="Q90" s="1664"/>
      <c r="R90" s="1649"/>
    </row>
    <row r="91" spans="1:19" s="659" customFormat="1" ht="24.6" hidden="1" customHeight="1">
      <c r="A91" s="701"/>
      <c r="B91" s="798" t="s">
        <v>3544</v>
      </c>
      <c r="C91" s="702"/>
      <c r="D91" s="703"/>
      <c r="E91" s="704"/>
      <c r="F91" s="771"/>
      <c r="G91" s="704"/>
      <c r="H91" s="779">
        <v>0.6</v>
      </c>
      <c r="I91" s="704"/>
      <c r="J91" s="705"/>
      <c r="K91" s="1652"/>
      <c r="L91" s="706"/>
      <c r="M91" s="782"/>
      <c r="N91" s="799"/>
      <c r="O91" s="1222"/>
      <c r="P91" s="1222"/>
      <c r="Q91" s="1222"/>
      <c r="R91" s="1649"/>
    </row>
    <row r="92" spans="1:19" s="659" customFormat="1" ht="24.6" hidden="1" customHeight="1">
      <c r="A92" s="701"/>
      <c r="B92" s="798" t="s">
        <v>3549</v>
      </c>
      <c r="C92" s="702"/>
      <c r="D92" s="703"/>
      <c r="E92" s="704"/>
      <c r="F92" s="771"/>
      <c r="G92" s="704"/>
      <c r="H92" s="779">
        <v>28.1</v>
      </c>
      <c r="I92" s="704"/>
      <c r="J92" s="705"/>
      <c r="K92" s="1652"/>
      <c r="L92" s="706"/>
      <c r="M92" s="782"/>
      <c r="N92" s="799"/>
      <c r="O92" s="1222"/>
      <c r="P92" s="1222"/>
      <c r="Q92" s="1222"/>
      <c r="R92" s="1649"/>
    </row>
    <row r="93" spans="1:19" s="659" customFormat="1" ht="24.6" hidden="1" customHeight="1">
      <c r="A93" s="701"/>
      <c r="B93" s="798" t="s">
        <v>3545</v>
      </c>
      <c r="C93" s="702"/>
      <c r="D93" s="703"/>
      <c r="E93" s="704"/>
      <c r="F93" s="771"/>
      <c r="G93" s="704"/>
      <c r="H93" s="779">
        <v>57.58</v>
      </c>
      <c r="I93" s="704"/>
      <c r="J93" s="705"/>
      <c r="K93" s="1652"/>
      <c r="L93" s="706"/>
      <c r="M93" s="782"/>
      <c r="N93" s="799"/>
      <c r="O93" s="1222"/>
      <c r="P93" s="1222"/>
      <c r="Q93" s="1222"/>
      <c r="R93" s="1649"/>
    </row>
    <row r="94" spans="1:19" s="659" customFormat="1" ht="24.6" hidden="1" customHeight="1">
      <c r="A94" s="701"/>
      <c r="B94" s="798" t="s">
        <v>3546</v>
      </c>
      <c r="C94" s="702"/>
      <c r="D94" s="703"/>
      <c r="E94" s="704"/>
      <c r="F94" s="771"/>
      <c r="G94" s="704"/>
      <c r="H94" s="779">
        <v>18.12</v>
      </c>
      <c r="I94" s="704"/>
      <c r="J94" s="705"/>
      <c r="K94" s="1652"/>
      <c r="L94" s="706"/>
      <c r="M94" s="782"/>
      <c r="N94" s="799"/>
      <c r="O94" s="1222"/>
      <c r="P94" s="1222"/>
      <c r="Q94" s="1222"/>
      <c r="R94" s="1649"/>
    </row>
    <row r="95" spans="1:19" s="659" customFormat="1" ht="24.6" hidden="1" customHeight="1">
      <c r="A95" s="701"/>
      <c r="B95" s="790" t="s">
        <v>3547</v>
      </c>
      <c r="C95" s="702"/>
      <c r="D95" s="703"/>
      <c r="E95" s="704"/>
      <c r="F95" s="771"/>
      <c r="G95" s="704"/>
      <c r="H95" s="800">
        <v>3.33</v>
      </c>
      <c r="I95" s="704"/>
      <c r="J95" s="704"/>
      <c r="K95" s="1652"/>
      <c r="L95" s="707"/>
      <c r="M95" s="801"/>
      <c r="N95" s="802"/>
      <c r="O95" s="1573"/>
      <c r="P95" s="1573"/>
      <c r="Q95" s="1573"/>
      <c r="R95" s="1649"/>
    </row>
    <row r="96" spans="1:19" s="659" customFormat="1" ht="36" hidden="1" customHeight="1">
      <c r="A96" s="701"/>
      <c r="B96" s="790" t="s">
        <v>3548</v>
      </c>
      <c r="C96" s="702"/>
      <c r="D96" s="703"/>
      <c r="E96" s="704"/>
      <c r="F96" s="771"/>
      <c r="G96" s="704"/>
      <c r="H96" s="800"/>
      <c r="I96" s="704"/>
      <c r="J96" s="704"/>
      <c r="K96" s="1652"/>
      <c r="L96" s="707"/>
      <c r="M96" s="801"/>
      <c r="N96" s="802"/>
      <c r="O96" s="1573"/>
      <c r="P96" s="1573"/>
      <c r="Q96" s="1573"/>
      <c r="R96" s="1649"/>
    </row>
    <row r="97" spans="1:19" s="659" customFormat="1" ht="25.5" customHeight="1">
      <c r="A97" s="1668" t="s">
        <v>3742</v>
      </c>
      <c r="B97" s="1671" t="s">
        <v>3722</v>
      </c>
      <c r="C97" s="1674">
        <v>188711925</v>
      </c>
      <c r="D97" s="678" t="s">
        <v>668</v>
      </c>
      <c r="E97" s="667">
        <v>5</v>
      </c>
      <c r="F97" s="765"/>
      <c r="G97" s="667"/>
      <c r="H97" s="688"/>
      <c r="I97" s="708"/>
      <c r="J97" s="699"/>
      <c r="K97" s="1652"/>
      <c r="L97" s="1665" t="s">
        <v>3723</v>
      </c>
      <c r="M97" s="1656"/>
      <c r="N97" s="1648"/>
      <c r="O97" s="1662"/>
      <c r="P97" s="1662"/>
      <c r="Q97" s="1662"/>
      <c r="R97" s="1649"/>
    </row>
    <row r="98" spans="1:19" s="659" customFormat="1" ht="26.25" customHeight="1">
      <c r="A98" s="1669"/>
      <c r="B98" s="1672"/>
      <c r="C98" s="1675"/>
      <c r="D98" s="678" t="s">
        <v>1375</v>
      </c>
      <c r="E98" s="693"/>
      <c r="F98" s="765"/>
      <c r="G98" s="693"/>
      <c r="H98" s="693"/>
      <c r="I98" s="679"/>
      <c r="J98" s="680"/>
      <c r="K98" s="1652"/>
      <c r="L98" s="1667"/>
      <c r="M98" s="1657"/>
      <c r="N98" s="1649"/>
      <c r="O98" s="1663"/>
      <c r="P98" s="1663"/>
      <c r="Q98" s="1663"/>
      <c r="R98" s="1649"/>
    </row>
    <row r="99" spans="1:19" s="659" customFormat="1" ht="29.25" customHeight="1">
      <c r="A99" s="1670"/>
      <c r="B99" s="1673"/>
      <c r="C99" s="1676"/>
      <c r="D99" s="682" t="s">
        <v>1372</v>
      </c>
      <c r="E99" s="671">
        <f>E97</f>
        <v>5</v>
      </c>
      <c r="F99" s="767"/>
      <c r="G99" s="671"/>
      <c r="H99" s="671">
        <f>H97+H98</f>
        <v>0</v>
      </c>
      <c r="I99" s="671">
        <f t="shared" ref="I99:J99" si="33">I97+I98</f>
        <v>0</v>
      </c>
      <c r="J99" s="671">
        <f t="shared" si="33"/>
        <v>0</v>
      </c>
      <c r="K99" s="1653"/>
      <c r="L99" s="1666"/>
      <c r="M99" s="1658"/>
      <c r="N99" s="1650"/>
      <c r="O99" s="1664"/>
      <c r="P99" s="1664"/>
      <c r="Q99" s="1664"/>
      <c r="R99" s="1650"/>
    </row>
    <row r="100" spans="1:19" s="659" customFormat="1" ht="26.25" customHeight="1">
      <c r="A100" s="1668" t="s">
        <v>3741</v>
      </c>
      <c r="B100" s="1671" t="s">
        <v>971</v>
      </c>
      <c r="C100" s="1674">
        <v>188711925</v>
      </c>
      <c r="D100" s="678" t="s">
        <v>668</v>
      </c>
      <c r="E100" s="667">
        <v>28</v>
      </c>
      <c r="F100" s="765">
        <f t="shared" si="28"/>
        <v>-0.2857142857142857</v>
      </c>
      <c r="G100" s="667">
        <v>35</v>
      </c>
      <c r="H100" s="667">
        <v>20</v>
      </c>
      <c r="I100" s="667">
        <v>35</v>
      </c>
      <c r="J100" s="680">
        <v>35</v>
      </c>
      <c r="K100" s="1651" t="s">
        <v>2847</v>
      </c>
      <c r="L100" s="1665" t="s">
        <v>2846</v>
      </c>
      <c r="M100" s="1656" t="s">
        <v>1482</v>
      </c>
      <c r="N100" s="1648" t="s">
        <v>1399</v>
      </c>
      <c r="O100" s="1662" t="s">
        <v>11</v>
      </c>
      <c r="P100" s="1662" t="s">
        <v>11</v>
      </c>
      <c r="Q100" s="1662" t="s">
        <v>11</v>
      </c>
      <c r="R100" s="1648" t="s">
        <v>2848</v>
      </c>
      <c r="S100" s="669" t="s">
        <v>3500</v>
      </c>
    </row>
    <row r="101" spans="1:19" s="659" customFormat="1" ht="29.4" customHeight="1">
      <c r="A101" s="1670"/>
      <c r="B101" s="1673"/>
      <c r="C101" s="1676"/>
      <c r="D101" s="682" t="s">
        <v>1372</v>
      </c>
      <c r="E101" s="671">
        <f>E100</f>
        <v>28</v>
      </c>
      <c r="F101" s="767">
        <f t="shared" si="28"/>
        <v>-0.2857142857142857</v>
      </c>
      <c r="G101" s="671">
        <f>G100</f>
        <v>35</v>
      </c>
      <c r="H101" s="671">
        <f>H100</f>
        <v>20</v>
      </c>
      <c r="I101" s="671">
        <f>I100</f>
        <v>35</v>
      </c>
      <c r="J101" s="671">
        <f>J100</f>
        <v>35</v>
      </c>
      <c r="K101" s="1652"/>
      <c r="L101" s="1666"/>
      <c r="M101" s="1658"/>
      <c r="N101" s="1650"/>
      <c r="O101" s="1664"/>
      <c r="P101" s="1664"/>
      <c r="Q101" s="1664"/>
      <c r="R101" s="1649"/>
    </row>
    <row r="102" spans="1:19" s="659" customFormat="1" ht="20.100000000000001" customHeight="1">
      <c r="A102" s="1668" t="s">
        <v>3740</v>
      </c>
      <c r="B102" s="1711" t="s">
        <v>966</v>
      </c>
      <c r="C102" s="1674">
        <v>188711925</v>
      </c>
      <c r="D102" s="678" t="s">
        <v>668</v>
      </c>
      <c r="E102" s="667">
        <v>0.2</v>
      </c>
      <c r="F102" s="765">
        <f t="shared" si="28"/>
        <v>0</v>
      </c>
      <c r="G102" s="667">
        <v>0.2</v>
      </c>
      <c r="H102" s="667">
        <v>0.2</v>
      </c>
      <c r="I102" s="679">
        <v>0.2</v>
      </c>
      <c r="J102" s="680">
        <v>0.2</v>
      </c>
      <c r="K102" s="1652"/>
      <c r="L102" s="1665" t="s">
        <v>1464</v>
      </c>
      <c r="M102" s="1656" t="s">
        <v>1483</v>
      </c>
      <c r="N102" s="1648" t="s">
        <v>868</v>
      </c>
      <c r="O102" s="1662">
        <v>1</v>
      </c>
      <c r="P102" s="1662">
        <v>3</v>
      </c>
      <c r="Q102" s="1662">
        <v>3</v>
      </c>
      <c r="R102" s="1649"/>
    </row>
    <row r="103" spans="1:19" s="659" customFormat="1" ht="47.4" customHeight="1">
      <c r="A103" s="1670"/>
      <c r="B103" s="1712"/>
      <c r="C103" s="1696"/>
      <c r="D103" s="685" t="s">
        <v>1372</v>
      </c>
      <c r="E103" s="686">
        <f>E102</f>
        <v>0.2</v>
      </c>
      <c r="F103" s="767">
        <f t="shared" si="28"/>
        <v>0</v>
      </c>
      <c r="G103" s="686">
        <f>G102</f>
        <v>0.2</v>
      </c>
      <c r="H103" s="686">
        <f>H102</f>
        <v>0.2</v>
      </c>
      <c r="I103" s="686">
        <f>I102</f>
        <v>0.2</v>
      </c>
      <c r="J103" s="686">
        <f>J102</f>
        <v>0.2</v>
      </c>
      <c r="K103" s="1653"/>
      <c r="L103" s="1666"/>
      <c r="M103" s="1658"/>
      <c r="N103" s="1650"/>
      <c r="O103" s="1664"/>
      <c r="P103" s="1664"/>
      <c r="Q103" s="1664"/>
      <c r="R103" s="1650"/>
    </row>
    <row r="104" spans="1:19" s="659" customFormat="1" ht="48" customHeight="1">
      <c r="A104" s="740" t="s">
        <v>2559</v>
      </c>
      <c r="B104" s="664" t="s">
        <v>2574</v>
      </c>
      <c r="C104" s="740"/>
      <c r="D104" s="740"/>
      <c r="E104" s="741">
        <f t="shared" ref="E104:J104" si="34">SUM(E106,E108,E110,E112)</f>
        <v>410.70000000000005</v>
      </c>
      <c r="F104" s="760">
        <f t="shared" si="28"/>
        <v>0.68697345994643255</v>
      </c>
      <c r="G104" s="741">
        <f t="shared" si="34"/>
        <v>709.62</v>
      </c>
      <c r="H104" s="741">
        <f t="shared" si="34"/>
        <v>692.83999999999992</v>
      </c>
      <c r="I104" s="741">
        <f t="shared" si="34"/>
        <v>1097.0579999999998</v>
      </c>
      <c r="J104" s="741">
        <f t="shared" si="34"/>
        <v>1096.1079999999999</v>
      </c>
      <c r="K104" s="795" t="s">
        <v>1254</v>
      </c>
      <c r="L104" s="761"/>
      <c r="M104" s="759" t="s">
        <v>2850</v>
      </c>
      <c r="N104" s="804" t="s">
        <v>2851</v>
      </c>
      <c r="O104" s="1043"/>
      <c r="P104" s="1043"/>
      <c r="Q104" s="1043"/>
      <c r="R104" s="804" t="s">
        <v>1256</v>
      </c>
    </row>
    <row r="105" spans="1:19" s="659" customFormat="1" ht="21.6" customHeight="1">
      <c r="A105" s="1668" t="s">
        <v>3739</v>
      </c>
      <c r="B105" s="1671" t="s">
        <v>1400</v>
      </c>
      <c r="C105" s="1693">
        <v>188711925</v>
      </c>
      <c r="D105" s="687" t="s">
        <v>668</v>
      </c>
      <c r="E105" s="688">
        <v>62.5</v>
      </c>
      <c r="F105" s="765">
        <f t="shared" si="28"/>
        <v>0.28000000000000003</v>
      </c>
      <c r="G105" s="688">
        <v>98</v>
      </c>
      <c r="H105" s="688">
        <v>80</v>
      </c>
      <c r="I105" s="708">
        <v>80</v>
      </c>
      <c r="J105" s="699">
        <v>80</v>
      </c>
      <c r="K105" s="1651" t="s">
        <v>2834</v>
      </c>
      <c r="L105" s="1665" t="s">
        <v>3148</v>
      </c>
      <c r="M105" s="1656" t="s">
        <v>1484</v>
      </c>
      <c r="N105" s="1648" t="s">
        <v>2526</v>
      </c>
      <c r="O105" s="1662">
        <v>100</v>
      </c>
      <c r="P105" s="1662">
        <v>100</v>
      </c>
      <c r="Q105" s="1662">
        <v>100</v>
      </c>
      <c r="R105" s="1648" t="s">
        <v>2532</v>
      </c>
    </row>
    <row r="106" spans="1:19" s="659" customFormat="1" ht="56.4" customHeight="1">
      <c r="A106" s="1670"/>
      <c r="B106" s="1673"/>
      <c r="C106" s="1676"/>
      <c r="D106" s="682" t="s">
        <v>1372</v>
      </c>
      <c r="E106" s="671">
        <f>E105</f>
        <v>62.5</v>
      </c>
      <c r="F106" s="767">
        <f t="shared" si="28"/>
        <v>0.28000000000000003</v>
      </c>
      <c r="G106" s="671">
        <f>G105</f>
        <v>98</v>
      </c>
      <c r="H106" s="671">
        <f>H105</f>
        <v>80</v>
      </c>
      <c r="I106" s="671">
        <f t="shared" ref="I106:J106" si="35">I105</f>
        <v>80</v>
      </c>
      <c r="J106" s="671">
        <f t="shared" si="35"/>
        <v>80</v>
      </c>
      <c r="K106" s="1652"/>
      <c r="L106" s="1666"/>
      <c r="M106" s="1658"/>
      <c r="N106" s="1650"/>
      <c r="O106" s="1664"/>
      <c r="P106" s="1664"/>
      <c r="Q106" s="1664"/>
      <c r="R106" s="1649"/>
    </row>
    <row r="107" spans="1:19" s="659" customFormat="1" ht="20.100000000000001" customHeight="1">
      <c r="A107" s="1668" t="s">
        <v>3738</v>
      </c>
      <c r="B107" s="1671" t="s">
        <v>980</v>
      </c>
      <c r="C107" s="1674">
        <v>188711925</v>
      </c>
      <c r="D107" s="678" t="s">
        <v>668</v>
      </c>
      <c r="E107" s="667">
        <v>290.86</v>
      </c>
      <c r="F107" s="765">
        <f t="shared" si="28"/>
        <v>0.89924706044144931</v>
      </c>
      <c r="G107" s="667">
        <v>551.58000000000004</v>
      </c>
      <c r="H107" s="667">
        <v>552.41499999999996</v>
      </c>
      <c r="I107" s="679">
        <v>955.35</v>
      </c>
      <c r="J107" s="680">
        <v>969.5</v>
      </c>
      <c r="K107" s="1652"/>
      <c r="L107" s="1665" t="s">
        <v>3149</v>
      </c>
      <c r="M107" s="1656" t="s">
        <v>1485</v>
      </c>
      <c r="N107" s="1648" t="s">
        <v>1401</v>
      </c>
      <c r="O107" s="1662" t="s">
        <v>2527</v>
      </c>
      <c r="P107" s="1662" t="s">
        <v>2528</v>
      </c>
      <c r="Q107" s="1662" t="s">
        <v>2527</v>
      </c>
      <c r="R107" s="1649"/>
    </row>
    <row r="108" spans="1:19" s="659" customFormat="1" ht="42" customHeight="1">
      <c r="A108" s="1670"/>
      <c r="B108" s="1673">
        <f>SUM(B107:B107)</f>
        <v>0</v>
      </c>
      <c r="C108" s="1676">
        <f>SUM(C107:C107)</f>
        <v>188711925</v>
      </c>
      <c r="D108" s="682" t="s">
        <v>1372</v>
      </c>
      <c r="E108" s="671">
        <f>E107</f>
        <v>290.86</v>
      </c>
      <c r="F108" s="767">
        <f t="shared" si="28"/>
        <v>0.89924706044144931</v>
      </c>
      <c r="G108" s="671">
        <f>G107</f>
        <v>551.58000000000004</v>
      </c>
      <c r="H108" s="671">
        <f>H107</f>
        <v>552.41499999999996</v>
      </c>
      <c r="I108" s="671">
        <f t="shared" ref="I108:J108" si="36">I107</f>
        <v>955.35</v>
      </c>
      <c r="J108" s="671">
        <f t="shared" si="36"/>
        <v>969.5</v>
      </c>
      <c r="K108" s="1652"/>
      <c r="L108" s="1666"/>
      <c r="M108" s="1658"/>
      <c r="N108" s="1650"/>
      <c r="O108" s="1664"/>
      <c r="P108" s="1664"/>
      <c r="Q108" s="1664"/>
      <c r="R108" s="1649"/>
    </row>
    <row r="109" spans="1:19" s="659" customFormat="1" ht="20.399999999999999" customHeight="1">
      <c r="A109" s="1668" t="s">
        <v>3737</v>
      </c>
      <c r="B109" s="1671" t="s">
        <v>977</v>
      </c>
      <c r="C109" s="1674">
        <v>188711925</v>
      </c>
      <c r="D109" s="678" t="s">
        <v>668</v>
      </c>
      <c r="E109" s="667">
        <v>55.84</v>
      </c>
      <c r="F109" s="765">
        <f>(H109-E109)/E109</f>
        <v>5.5247134670486989E-2</v>
      </c>
      <c r="G109" s="667">
        <v>58.54</v>
      </c>
      <c r="H109" s="667">
        <v>58.924999999999997</v>
      </c>
      <c r="I109" s="679">
        <v>59.908000000000001</v>
      </c>
      <c r="J109" s="680">
        <v>44.808</v>
      </c>
      <c r="K109" s="1652"/>
      <c r="L109" s="1665" t="s">
        <v>3854</v>
      </c>
      <c r="M109" s="1656" t="s">
        <v>1486</v>
      </c>
      <c r="N109" s="1648" t="s">
        <v>1402</v>
      </c>
      <c r="O109" s="1662" t="s">
        <v>2527</v>
      </c>
      <c r="P109" s="1662" t="s">
        <v>2528</v>
      </c>
      <c r="Q109" s="1662" t="s">
        <v>2527</v>
      </c>
      <c r="R109" s="1649"/>
    </row>
    <row r="110" spans="1:19" s="659" customFormat="1" ht="79.95" customHeight="1">
      <c r="A110" s="1670"/>
      <c r="B110" s="1673"/>
      <c r="C110" s="1675"/>
      <c r="D110" s="685" t="s">
        <v>1372</v>
      </c>
      <c r="E110" s="686">
        <f>E109</f>
        <v>55.84</v>
      </c>
      <c r="F110" s="767">
        <f t="shared" si="28"/>
        <v>5.5247134670486989E-2</v>
      </c>
      <c r="G110" s="671">
        <f>G109</f>
        <v>58.54</v>
      </c>
      <c r="H110" s="671">
        <f>H109</f>
        <v>58.924999999999997</v>
      </c>
      <c r="I110" s="671">
        <f t="shared" ref="I110:J110" si="37">I109</f>
        <v>59.908000000000001</v>
      </c>
      <c r="J110" s="671">
        <f t="shared" si="37"/>
        <v>44.808</v>
      </c>
      <c r="K110" s="1652"/>
      <c r="L110" s="1666"/>
      <c r="M110" s="1658"/>
      <c r="N110" s="1650"/>
      <c r="O110" s="1664"/>
      <c r="P110" s="1664"/>
      <c r="Q110" s="1664"/>
      <c r="R110" s="1649"/>
    </row>
    <row r="111" spans="1:19" s="659" customFormat="1" ht="19.2" customHeight="1">
      <c r="A111" s="1668" t="s">
        <v>3736</v>
      </c>
      <c r="B111" s="1671" t="s">
        <v>506</v>
      </c>
      <c r="C111" s="1689">
        <v>188711925</v>
      </c>
      <c r="D111" s="665" t="s">
        <v>668</v>
      </c>
      <c r="E111" s="667">
        <v>1.5</v>
      </c>
      <c r="F111" s="765">
        <f t="shared" si="28"/>
        <v>0</v>
      </c>
      <c r="G111" s="667">
        <v>1.5</v>
      </c>
      <c r="H111" s="667">
        <v>1.5</v>
      </c>
      <c r="I111" s="679">
        <v>1.8</v>
      </c>
      <c r="J111" s="680">
        <v>1.8</v>
      </c>
      <c r="K111" s="1652"/>
      <c r="L111" s="1665" t="s">
        <v>1465</v>
      </c>
      <c r="M111" s="1656" t="s">
        <v>1487</v>
      </c>
      <c r="N111" s="1648" t="s">
        <v>1403</v>
      </c>
      <c r="O111" s="1662" t="s">
        <v>2527</v>
      </c>
      <c r="P111" s="1662" t="s">
        <v>2528</v>
      </c>
      <c r="Q111" s="1662" t="s">
        <v>2527</v>
      </c>
      <c r="R111" s="1649"/>
    </row>
    <row r="112" spans="1:19" s="659" customFormat="1" ht="49.2" customHeight="1">
      <c r="A112" s="1670"/>
      <c r="B112" s="1672"/>
      <c r="C112" s="1695"/>
      <c r="D112" s="709" t="s">
        <v>1372</v>
      </c>
      <c r="E112" s="686">
        <f>E111</f>
        <v>1.5</v>
      </c>
      <c r="F112" s="767">
        <f t="shared" si="28"/>
        <v>0</v>
      </c>
      <c r="G112" s="686">
        <f>G111</f>
        <v>1.5</v>
      </c>
      <c r="H112" s="686">
        <f>H111</f>
        <v>1.5</v>
      </c>
      <c r="I112" s="686">
        <f t="shared" ref="I112:J112" si="38">I111</f>
        <v>1.8</v>
      </c>
      <c r="J112" s="686">
        <f t="shared" si="38"/>
        <v>1.8</v>
      </c>
      <c r="K112" s="1653"/>
      <c r="L112" s="1667"/>
      <c r="M112" s="1657"/>
      <c r="N112" s="1649"/>
      <c r="O112" s="1663"/>
      <c r="P112" s="1663"/>
      <c r="Q112" s="1663"/>
      <c r="R112" s="1649"/>
    </row>
    <row r="113" spans="1:18" s="659" customFormat="1" ht="43.95" customHeight="1">
      <c r="A113" s="710" t="s">
        <v>2560</v>
      </c>
      <c r="B113" s="664" t="s">
        <v>2572</v>
      </c>
      <c r="C113" s="739"/>
      <c r="D113" s="740"/>
      <c r="E113" s="741">
        <f t="shared" ref="E113" si="39">SUM(E115)</f>
        <v>1</v>
      </c>
      <c r="F113" s="760">
        <f t="shared" si="28"/>
        <v>0.5</v>
      </c>
      <c r="G113" s="741">
        <f>SUM(G115)</f>
        <v>2.2999999999999998</v>
      </c>
      <c r="H113" s="741">
        <f>SUM(H115)</f>
        <v>1.5</v>
      </c>
      <c r="I113" s="741">
        <f t="shared" ref="I113:J113" si="40">SUM(I115)</f>
        <v>2</v>
      </c>
      <c r="J113" s="741">
        <f t="shared" si="40"/>
        <v>2</v>
      </c>
      <c r="K113" s="795" t="s">
        <v>1259</v>
      </c>
      <c r="L113" s="805"/>
      <c r="M113" s="740" t="s">
        <v>2529</v>
      </c>
      <c r="N113" s="806" t="s">
        <v>2531</v>
      </c>
      <c r="O113" s="1043" t="s">
        <v>2303</v>
      </c>
      <c r="P113" s="1043" t="s">
        <v>2303</v>
      </c>
      <c r="Q113" s="1043" t="s">
        <v>2303</v>
      </c>
      <c r="R113" s="804" t="s">
        <v>1261</v>
      </c>
    </row>
    <row r="114" spans="1:18" s="659" customFormat="1" ht="20.100000000000001" customHeight="1">
      <c r="A114" s="1668" t="s">
        <v>3735</v>
      </c>
      <c r="B114" s="1672" t="s">
        <v>968</v>
      </c>
      <c r="C114" s="1675">
        <v>188711925</v>
      </c>
      <c r="D114" s="687" t="s">
        <v>668</v>
      </c>
      <c r="E114" s="688">
        <v>1</v>
      </c>
      <c r="F114" s="765">
        <f>(H114-E114)/E114</f>
        <v>0.5</v>
      </c>
      <c r="G114" s="688">
        <v>2.2999999999999998</v>
      </c>
      <c r="H114" s="688">
        <v>1.5</v>
      </c>
      <c r="I114" s="708">
        <v>2</v>
      </c>
      <c r="J114" s="699">
        <v>2</v>
      </c>
      <c r="K114" s="1651" t="s">
        <v>2852</v>
      </c>
      <c r="L114" s="1667" t="s">
        <v>3501</v>
      </c>
      <c r="M114" s="1657" t="s">
        <v>1488</v>
      </c>
      <c r="N114" s="1649" t="s">
        <v>2268</v>
      </c>
      <c r="O114" s="1663">
        <v>200</v>
      </c>
      <c r="P114" s="1663">
        <v>250</v>
      </c>
      <c r="Q114" s="1663">
        <v>300</v>
      </c>
      <c r="R114" s="1648" t="s">
        <v>2853</v>
      </c>
    </row>
    <row r="115" spans="1:18" s="659" customFormat="1" ht="31.5" customHeight="1">
      <c r="A115" s="1670"/>
      <c r="B115" s="1672"/>
      <c r="C115" s="1675"/>
      <c r="D115" s="685" t="s">
        <v>1372</v>
      </c>
      <c r="E115" s="686">
        <f>E114</f>
        <v>1</v>
      </c>
      <c r="F115" s="767">
        <f t="shared" si="28"/>
        <v>0.5</v>
      </c>
      <c r="G115" s="686">
        <f>G114</f>
        <v>2.2999999999999998</v>
      </c>
      <c r="H115" s="686">
        <f>H114</f>
        <v>1.5</v>
      </c>
      <c r="I115" s="686">
        <f t="shared" ref="I115:J115" si="41">I114</f>
        <v>2</v>
      </c>
      <c r="J115" s="686">
        <f t="shared" si="41"/>
        <v>2</v>
      </c>
      <c r="K115" s="1653"/>
      <c r="L115" s="1667"/>
      <c r="M115" s="1658"/>
      <c r="N115" s="1650"/>
      <c r="O115" s="1664"/>
      <c r="P115" s="1664"/>
      <c r="Q115" s="1664"/>
      <c r="R115" s="1650"/>
    </row>
    <row r="116" spans="1:18" s="659" customFormat="1" ht="49.2" customHeight="1">
      <c r="A116" s="710" t="s">
        <v>2561</v>
      </c>
      <c r="B116" s="664" t="s">
        <v>811</v>
      </c>
      <c r="C116" s="739"/>
      <c r="D116" s="740"/>
      <c r="E116" s="741">
        <f>SUM(E120,E144,E130,E133,E139,E136)</f>
        <v>262.99599999999998</v>
      </c>
      <c r="F116" s="760">
        <f t="shared" si="28"/>
        <v>-6.5118861123363014E-2</v>
      </c>
      <c r="G116" s="741">
        <f t="shared" ref="G116:J116" si="42">SUM(G120,G144,G130,G133,G139,G136)</f>
        <v>354.5</v>
      </c>
      <c r="H116" s="741">
        <f t="shared" si="42"/>
        <v>245.87</v>
      </c>
      <c r="I116" s="741">
        <f t="shared" si="42"/>
        <v>320.67</v>
      </c>
      <c r="J116" s="741">
        <f t="shared" si="42"/>
        <v>322.67</v>
      </c>
      <c r="K116" s="795" t="s">
        <v>1254</v>
      </c>
      <c r="L116" s="805"/>
      <c r="M116" s="740" t="s">
        <v>2530</v>
      </c>
      <c r="N116" s="806" t="s">
        <v>2854</v>
      </c>
      <c r="O116" s="1574">
        <v>50</v>
      </c>
      <c r="P116" s="1574">
        <v>50</v>
      </c>
      <c r="Q116" s="1574">
        <v>50</v>
      </c>
      <c r="R116" s="797" t="s">
        <v>2854</v>
      </c>
    </row>
    <row r="117" spans="1:18" s="659" customFormat="1" ht="20.100000000000001" customHeight="1">
      <c r="A117" s="1668" t="s">
        <v>3734</v>
      </c>
      <c r="B117" s="1672" t="s">
        <v>122</v>
      </c>
      <c r="C117" s="1709">
        <v>188711925</v>
      </c>
      <c r="D117" s="711" t="s">
        <v>668</v>
      </c>
      <c r="E117" s="712">
        <v>49</v>
      </c>
      <c r="F117" s="765">
        <f t="shared" si="28"/>
        <v>0.57551020408163267</v>
      </c>
      <c r="G117" s="712">
        <f>SUM(G121:G128)</f>
        <v>135.69999999999999</v>
      </c>
      <c r="H117" s="712">
        <f t="shared" ref="H117" si="43">SUM(H121:H128)</f>
        <v>77.2</v>
      </c>
      <c r="I117" s="712">
        <v>73</v>
      </c>
      <c r="J117" s="712">
        <v>75</v>
      </c>
      <c r="K117" s="1690" t="s">
        <v>2834</v>
      </c>
      <c r="L117" s="1667" t="s">
        <v>3502</v>
      </c>
      <c r="M117" s="1656" t="s">
        <v>1489</v>
      </c>
      <c r="N117" s="1648" t="s">
        <v>2577</v>
      </c>
      <c r="O117" s="1659">
        <v>3</v>
      </c>
      <c r="P117" s="1659">
        <v>5</v>
      </c>
      <c r="Q117" s="1659">
        <v>5</v>
      </c>
      <c r="R117" s="1648" t="s">
        <v>2532</v>
      </c>
    </row>
    <row r="118" spans="1:18" s="659" customFormat="1" ht="20.100000000000001" customHeight="1">
      <c r="A118" s="1669"/>
      <c r="B118" s="1672"/>
      <c r="C118" s="1709"/>
      <c r="D118" s="713" t="s">
        <v>341</v>
      </c>
      <c r="E118" s="693"/>
      <c r="F118" s="765"/>
      <c r="G118" s="693"/>
      <c r="H118" s="693"/>
      <c r="I118" s="679"/>
      <c r="J118" s="667"/>
      <c r="K118" s="1691"/>
      <c r="L118" s="1667"/>
      <c r="M118" s="1657"/>
      <c r="N118" s="1649"/>
      <c r="O118" s="1660"/>
      <c r="P118" s="1660"/>
      <c r="Q118" s="1660"/>
      <c r="R118" s="1649"/>
    </row>
    <row r="119" spans="1:18" s="659" customFormat="1" ht="20.100000000000001" customHeight="1">
      <c r="A119" s="1669"/>
      <c r="B119" s="1672"/>
      <c r="C119" s="1709"/>
      <c r="D119" s="713" t="s">
        <v>587</v>
      </c>
      <c r="E119" s="693"/>
      <c r="F119" s="765"/>
      <c r="G119" s="693"/>
      <c r="H119" s="693"/>
      <c r="I119" s="679"/>
      <c r="J119" s="667"/>
      <c r="K119" s="1691"/>
      <c r="L119" s="1667"/>
      <c r="M119" s="1657"/>
      <c r="N119" s="1649"/>
      <c r="O119" s="1660"/>
      <c r="P119" s="1660"/>
      <c r="Q119" s="1660"/>
      <c r="R119" s="1649"/>
    </row>
    <row r="120" spans="1:18" s="659" customFormat="1" ht="39" customHeight="1">
      <c r="A120" s="1670"/>
      <c r="B120" s="1673"/>
      <c r="C120" s="1710"/>
      <c r="D120" s="714" t="s">
        <v>1372</v>
      </c>
      <c r="E120" s="686">
        <f>E117</f>
        <v>49</v>
      </c>
      <c r="F120" s="767">
        <f>(H120-E120)/E120</f>
        <v>0.57551020408163267</v>
      </c>
      <c r="G120" s="686">
        <f>G117+G118+G119</f>
        <v>135.69999999999999</v>
      </c>
      <c r="H120" s="686">
        <f>H117+H118+H119</f>
        <v>77.2</v>
      </c>
      <c r="I120" s="686">
        <f t="shared" ref="I120:J120" si="44">I117+I118+I119</f>
        <v>73</v>
      </c>
      <c r="J120" s="686">
        <f t="shared" si="44"/>
        <v>75</v>
      </c>
      <c r="K120" s="1692"/>
      <c r="L120" s="1666"/>
      <c r="M120" s="1658"/>
      <c r="N120" s="1650"/>
      <c r="O120" s="1661"/>
      <c r="P120" s="1661"/>
      <c r="Q120" s="1661"/>
      <c r="R120" s="1650"/>
    </row>
    <row r="121" spans="1:18" s="659" customFormat="1" ht="25.5" hidden="1" customHeight="1">
      <c r="A121" s="665"/>
      <c r="B121" s="798" t="s">
        <v>3552</v>
      </c>
      <c r="C121" s="716"/>
      <c r="D121" s="717"/>
      <c r="E121" s="718"/>
      <c r="F121" s="771"/>
      <c r="G121" s="718">
        <v>5</v>
      </c>
      <c r="H121" s="718">
        <v>10</v>
      </c>
      <c r="I121" s="719"/>
      <c r="J121" s="719"/>
      <c r="K121" s="720"/>
      <c r="L121" s="721" t="s">
        <v>3572</v>
      </c>
      <c r="M121" s="676"/>
      <c r="N121" s="676"/>
      <c r="O121" s="1561">
        <v>1</v>
      </c>
      <c r="P121" s="1561"/>
      <c r="Q121" s="1561"/>
      <c r="R121" s="791"/>
    </row>
    <row r="122" spans="1:18" s="659" customFormat="1" ht="39.6" hidden="1" customHeight="1">
      <c r="A122" s="665" t="s">
        <v>1384</v>
      </c>
      <c r="B122" s="798" t="s">
        <v>3553</v>
      </c>
      <c r="C122" s="716"/>
      <c r="D122" s="717"/>
      <c r="E122" s="718"/>
      <c r="F122" s="771"/>
      <c r="G122" s="718">
        <v>40</v>
      </c>
      <c r="H122" s="718">
        <v>40</v>
      </c>
      <c r="I122" s="718"/>
      <c r="J122" s="718"/>
      <c r="K122" s="720"/>
      <c r="L122" s="722"/>
      <c r="M122" s="676"/>
      <c r="N122" s="676"/>
      <c r="O122" s="1561">
        <v>2</v>
      </c>
      <c r="P122" s="1561"/>
      <c r="Q122" s="1561"/>
      <c r="R122" s="791"/>
    </row>
    <row r="123" spans="1:18" s="659" customFormat="1" ht="25.95" hidden="1" customHeight="1">
      <c r="A123" s="677"/>
      <c r="B123" s="790" t="s">
        <v>3554</v>
      </c>
      <c r="C123" s="723"/>
      <c r="D123" s="724"/>
      <c r="E123" s="725"/>
      <c r="F123" s="771"/>
      <c r="G123" s="725">
        <v>11</v>
      </c>
      <c r="H123" s="725">
        <v>10</v>
      </c>
      <c r="I123" s="718"/>
      <c r="J123" s="807"/>
      <c r="K123" s="726"/>
      <c r="L123" s="727"/>
      <c r="M123" s="728"/>
      <c r="N123" s="728"/>
      <c r="O123" s="1575"/>
      <c r="P123" s="1575"/>
      <c r="Q123" s="1575"/>
      <c r="R123" s="803"/>
    </row>
    <row r="124" spans="1:18" s="659" customFormat="1" ht="42" hidden="1" customHeight="1">
      <c r="A124" s="677"/>
      <c r="B124" s="790" t="s">
        <v>3555</v>
      </c>
      <c r="C124" s="723"/>
      <c r="D124" s="724"/>
      <c r="E124" s="725"/>
      <c r="F124" s="771"/>
      <c r="G124" s="725">
        <v>10</v>
      </c>
      <c r="H124" s="725">
        <v>2.5</v>
      </c>
      <c r="I124" s="718"/>
      <c r="J124" s="807"/>
      <c r="K124" s="726"/>
      <c r="L124" s="727"/>
      <c r="M124" s="728"/>
      <c r="N124" s="728"/>
      <c r="O124" s="1575"/>
      <c r="P124" s="1575"/>
      <c r="Q124" s="1575"/>
      <c r="R124" s="803"/>
    </row>
    <row r="125" spans="1:18" s="659" customFormat="1" ht="27.6" hidden="1" customHeight="1">
      <c r="A125" s="677"/>
      <c r="B125" s="790" t="s">
        <v>3556</v>
      </c>
      <c r="C125" s="723"/>
      <c r="D125" s="724"/>
      <c r="E125" s="725"/>
      <c r="F125" s="771"/>
      <c r="G125" s="725">
        <v>15</v>
      </c>
      <c r="H125" s="725"/>
      <c r="I125" s="808"/>
      <c r="J125" s="807"/>
      <c r="K125" s="726"/>
      <c r="L125" s="727"/>
      <c r="M125" s="728"/>
      <c r="N125" s="728"/>
      <c r="O125" s="1575"/>
      <c r="P125" s="1575"/>
      <c r="Q125" s="1575"/>
      <c r="R125" s="803"/>
    </row>
    <row r="126" spans="1:18" s="659" customFormat="1" ht="25.95" hidden="1" customHeight="1">
      <c r="A126" s="677"/>
      <c r="B126" s="790" t="s">
        <v>3557</v>
      </c>
      <c r="C126" s="723"/>
      <c r="D126" s="724"/>
      <c r="E126" s="725"/>
      <c r="F126" s="771"/>
      <c r="G126" s="725">
        <v>40</v>
      </c>
      <c r="H126" s="725"/>
      <c r="I126" s="808"/>
      <c r="J126" s="807"/>
      <c r="K126" s="726"/>
      <c r="L126" s="727"/>
      <c r="M126" s="728"/>
      <c r="N126" s="728"/>
      <c r="O126" s="1575"/>
      <c r="P126" s="1575"/>
      <c r="Q126" s="1575"/>
      <c r="R126" s="803"/>
    </row>
    <row r="127" spans="1:18" s="659" customFormat="1" ht="25.95" hidden="1" customHeight="1">
      <c r="A127" s="677"/>
      <c r="B127" s="790" t="s">
        <v>3558</v>
      </c>
      <c r="C127" s="723"/>
      <c r="D127" s="724"/>
      <c r="E127" s="725"/>
      <c r="F127" s="771"/>
      <c r="G127" s="725">
        <v>4.7</v>
      </c>
      <c r="H127" s="725">
        <v>4.7</v>
      </c>
      <c r="I127" s="808"/>
      <c r="J127" s="807"/>
      <c r="K127" s="726"/>
      <c r="L127" s="727"/>
      <c r="M127" s="728"/>
      <c r="N127" s="728"/>
      <c r="O127" s="1575"/>
      <c r="P127" s="1575"/>
      <c r="Q127" s="1575"/>
      <c r="R127" s="803"/>
    </row>
    <row r="128" spans="1:18" s="659" customFormat="1" ht="25.95" hidden="1" customHeight="1">
      <c r="A128" s="677"/>
      <c r="B128" s="790" t="s">
        <v>3559</v>
      </c>
      <c r="C128" s="723"/>
      <c r="D128" s="724"/>
      <c r="E128" s="725"/>
      <c r="F128" s="771"/>
      <c r="G128" s="725">
        <v>10</v>
      </c>
      <c r="H128" s="725">
        <v>10</v>
      </c>
      <c r="I128" s="808"/>
      <c r="J128" s="807"/>
      <c r="K128" s="726"/>
      <c r="L128" s="727"/>
      <c r="M128" s="728"/>
      <c r="N128" s="728"/>
      <c r="O128" s="1575"/>
      <c r="P128" s="1575"/>
      <c r="Q128" s="1575"/>
      <c r="R128" s="803"/>
    </row>
    <row r="129" spans="1:20" s="659" customFormat="1" ht="20.100000000000001" customHeight="1">
      <c r="A129" s="1668" t="s">
        <v>3733</v>
      </c>
      <c r="B129" s="1671" t="s">
        <v>620</v>
      </c>
      <c r="C129" s="1695">
        <v>188711925</v>
      </c>
      <c r="D129" s="711" t="s">
        <v>668</v>
      </c>
      <c r="E129" s="688">
        <v>20</v>
      </c>
      <c r="F129" s="765">
        <f t="shared" si="28"/>
        <v>-0.25</v>
      </c>
      <c r="G129" s="688">
        <v>27</v>
      </c>
      <c r="H129" s="688">
        <v>15</v>
      </c>
      <c r="I129" s="667">
        <v>15</v>
      </c>
      <c r="J129" s="699">
        <v>15</v>
      </c>
      <c r="K129" s="1651" t="s">
        <v>2834</v>
      </c>
      <c r="L129" s="1665" t="s">
        <v>3503</v>
      </c>
      <c r="M129" s="1656" t="s">
        <v>1490</v>
      </c>
      <c r="N129" s="1648" t="s">
        <v>876</v>
      </c>
      <c r="O129" s="1662">
        <v>90</v>
      </c>
      <c r="P129" s="1662">
        <v>90</v>
      </c>
      <c r="Q129" s="1662">
        <v>90</v>
      </c>
      <c r="R129" s="1648" t="s">
        <v>2855</v>
      </c>
    </row>
    <row r="130" spans="1:20" s="659" customFormat="1" ht="26.25" customHeight="1">
      <c r="A130" s="1670"/>
      <c r="B130" s="1673"/>
      <c r="C130" s="1708"/>
      <c r="D130" s="729" t="s">
        <v>1372</v>
      </c>
      <c r="E130" s="671">
        <f>E129</f>
        <v>20</v>
      </c>
      <c r="F130" s="767">
        <f t="shared" si="28"/>
        <v>-0.25</v>
      </c>
      <c r="G130" s="671">
        <f>G129</f>
        <v>27</v>
      </c>
      <c r="H130" s="671">
        <f>H129</f>
        <v>15</v>
      </c>
      <c r="I130" s="671">
        <f t="shared" ref="I130:J130" si="45">I129</f>
        <v>15</v>
      </c>
      <c r="J130" s="671">
        <f t="shared" si="45"/>
        <v>15</v>
      </c>
      <c r="K130" s="1652"/>
      <c r="L130" s="1666"/>
      <c r="M130" s="1658"/>
      <c r="N130" s="1650"/>
      <c r="O130" s="1664"/>
      <c r="P130" s="1664"/>
      <c r="Q130" s="1664"/>
      <c r="R130" s="1649"/>
    </row>
    <row r="131" spans="1:20" s="659" customFormat="1" ht="20.100000000000001" customHeight="1">
      <c r="A131" s="1668" t="s">
        <v>3732</v>
      </c>
      <c r="B131" s="1671" t="s">
        <v>1379</v>
      </c>
      <c r="C131" s="1674">
        <v>188711925</v>
      </c>
      <c r="D131" s="678" t="s">
        <v>668</v>
      </c>
      <c r="E131" s="667">
        <v>12</v>
      </c>
      <c r="F131" s="765">
        <f t="shared" si="28"/>
        <v>-1</v>
      </c>
      <c r="G131" s="667"/>
      <c r="H131" s="667"/>
      <c r="I131" s="679"/>
      <c r="J131" s="680"/>
      <c r="K131" s="1652"/>
      <c r="L131" s="1705" t="s">
        <v>3328</v>
      </c>
      <c r="M131" s="1656" t="s">
        <v>1491</v>
      </c>
      <c r="N131" s="1648" t="s">
        <v>509</v>
      </c>
      <c r="O131" s="1662" t="s">
        <v>613</v>
      </c>
      <c r="P131" s="1662">
        <v>0</v>
      </c>
      <c r="Q131" s="1662">
        <v>0</v>
      </c>
      <c r="R131" s="1649"/>
    </row>
    <row r="132" spans="1:20" s="659" customFormat="1" ht="20.100000000000001" customHeight="1">
      <c r="A132" s="1669"/>
      <c r="B132" s="1672"/>
      <c r="C132" s="1675"/>
      <c r="D132" s="678" t="s">
        <v>341</v>
      </c>
      <c r="E132" s="667"/>
      <c r="F132" s="765"/>
      <c r="G132" s="667"/>
      <c r="H132" s="667"/>
      <c r="I132" s="679"/>
      <c r="J132" s="680"/>
      <c r="K132" s="1652"/>
      <c r="L132" s="1707"/>
      <c r="M132" s="1657"/>
      <c r="N132" s="1649"/>
      <c r="O132" s="1663"/>
      <c r="P132" s="1663"/>
      <c r="Q132" s="1663"/>
      <c r="R132" s="1649"/>
    </row>
    <row r="133" spans="1:20" s="659" customFormat="1" ht="20.100000000000001" customHeight="1">
      <c r="A133" s="1670"/>
      <c r="B133" s="1673"/>
      <c r="C133" s="1676"/>
      <c r="D133" s="682" t="s">
        <v>1372</v>
      </c>
      <c r="E133" s="671">
        <f>E131</f>
        <v>12</v>
      </c>
      <c r="F133" s="767">
        <f t="shared" si="28"/>
        <v>-1</v>
      </c>
      <c r="G133" s="671">
        <f>G131+G132</f>
        <v>0</v>
      </c>
      <c r="H133" s="671">
        <f>H131+H132</f>
        <v>0</v>
      </c>
      <c r="I133" s="671">
        <f t="shared" ref="I133:J133" si="46">I131+I132</f>
        <v>0</v>
      </c>
      <c r="J133" s="671">
        <f t="shared" si="46"/>
        <v>0</v>
      </c>
      <c r="K133" s="1652"/>
      <c r="L133" s="1706"/>
      <c r="M133" s="1658"/>
      <c r="N133" s="1650"/>
      <c r="O133" s="1664"/>
      <c r="P133" s="1664"/>
      <c r="Q133" s="1664"/>
      <c r="R133" s="1649"/>
    </row>
    <row r="134" spans="1:20" s="659" customFormat="1" ht="20.100000000000001" customHeight="1">
      <c r="A134" s="1668" t="s">
        <v>3731</v>
      </c>
      <c r="B134" s="1671" t="s">
        <v>1380</v>
      </c>
      <c r="C134" s="1674">
        <v>188711925</v>
      </c>
      <c r="D134" s="678" t="s">
        <v>668</v>
      </c>
      <c r="E134" s="667">
        <v>5</v>
      </c>
      <c r="F134" s="765">
        <f t="shared" si="28"/>
        <v>-1</v>
      </c>
      <c r="G134" s="667">
        <v>0</v>
      </c>
      <c r="H134" s="667">
        <v>0</v>
      </c>
      <c r="I134" s="679">
        <v>0</v>
      </c>
      <c r="J134" s="680">
        <v>0</v>
      </c>
      <c r="K134" s="1652"/>
      <c r="L134" s="1665" t="s">
        <v>1466</v>
      </c>
      <c r="M134" s="1656" t="s">
        <v>1492</v>
      </c>
      <c r="N134" s="1648" t="s">
        <v>1404</v>
      </c>
      <c r="O134" s="1659">
        <v>3</v>
      </c>
      <c r="P134" s="1659">
        <v>3</v>
      </c>
      <c r="Q134" s="1659">
        <v>3</v>
      </c>
      <c r="R134" s="1649"/>
    </row>
    <row r="135" spans="1:20" s="659" customFormat="1" ht="20.100000000000001" customHeight="1">
      <c r="A135" s="1669"/>
      <c r="B135" s="1672"/>
      <c r="C135" s="1675"/>
      <c r="D135" s="678" t="s">
        <v>341</v>
      </c>
      <c r="E135" s="667"/>
      <c r="F135" s="765"/>
      <c r="G135" s="667"/>
      <c r="H135" s="667"/>
      <c r="I135" s="695"/>
      <c r="J135" s="680"/>
      <c r="K135" s="1652"/>
      <c r="L135" s="1667"/>
      <c r="M135" s="1657"/>
      <c r="N135" s="1649"/>
      <c r="O135" s="1660"/>
      <c r="P135" s="1660"/>
      <c r="Q135" s="1660"/>
      <c r="R135" s="1649"/>
    </row>
    <row r="136" spans="1:20" s="659" customFormat="1" ht="20.100000000000001" customHeight="1">
      <c r="A136" s="1670"/>
      <c r="B136" s="1673"/>
      <c r="C136" s="1676"/>
      <c r="D136" s="682" t="s">
        <v>1372</v>
      </c>
      <c r="E136" s="671">
        <f>E134</f>
        <v>5</v>
      </c>
      <c r="F136" s="767">
        <f t="shared" si="28"/>
        <v>-1</v>
      </c>
      <c r="G136" s="671">
        <f>G134+G135</f>
        <v>0</v>
      </c>
      <c r="H136" s="671">
        <f>H134+H135</f>
        <v>0</v>
      </c>
      <c r="I136" s="671">
        <f t="shared" ref="I136:J136" si="47">I134+I135</f>
        <v>0</v>
      </c>
      <c r="J136" s="671">
        <f t="shared" si="47"/>
        <v>0</v>
      </c>
      <c r="K136" s="1652"/>
      <c r="L136" s="1666"/>
      <c r="M136" s="1658"/>
      <c r="N136" s="1650"/>
      <c r="O136" s="1661"/>
      <c r="P136" s="1661"/>
      <c r="Q136" s="1661"/>
      <c r="R136" s="1649"/>
    </row>
    <row r="137" spans="1:20" s="659" customFormat="1" ht="20.100000000000001" customHeight="1">
      <c r="A137" s="1668" t="s">
        <v>3730</v>
      </c>
      <c r="B137" s="1671" t="s">
        <v>979</v>
      </c>
      <c r="C137" s="1674" t="s">
        <v>1376</v>
      </c>
      <c r="D137" s="678" t="s">
        <v>668</v>
      </c>
      <c r="E137" s="667">
        <v>33.006</v>
      </c>
      <c r="F137" s="765">
        <f t="shared" si="28"/>
        <v>-1.0179967278676559E-2</v>
      </c>
      <c r="G137" s="667">
        <v>31.8</v>
      </c>
      <c r="H137" s="667">
        <f>SUM(H140:H141)</f>
        <v>32.67</v>
      </c>
      <c r="I137" s="667">
        <v>32.67</v>
      </c>
      <c r="J137" s="680">
        <v>32.67</v>
      </c>
      <c r="K137" s="1652"/>
      <c r="L137" s="1665" t="s">
        <v>3506</v>
      </c>
      <c r="M137" s="1656" t="s">
        <v>1493</v>
      </c>
      <c r="N137" s="1648" t="s">
        <v>2857</v>
      </c>
      <c r="O137" s="1659" t="s">
        <v>2858</v>
      </c>
      <c r="P137" s="1659" t="s">
        <v>2858</v>
      </c>
      <c r="Q137" s="1659" t="s">
        <v>2858</v>
      </c>
      <c r="R137" s="1649"/>
    </row>
    <row r="138" spans="1:20" s="659" customFormat="1" ht="20.100000000000001" customHeight="1">
      <c r="A138" s="1669"/>
      <c r="B138" s="1672"/>
      <c r="C138" s="1675"/>
      <c r="D138" s="678" t="s">
        <v>341</v>
      </c>
      <c r="E138" s="667"/>
      <c r="F138" s="765"/>
      <c r="G138" s="667"/>
      <c r="H138" s="667"/>
      <c r="I138" s="679"/>
      <c r="J138" s="680"/>
      <c r="K138" s="1652"/>
      <c r="L138" s="1667"/>
      <c r="M138" s="1657"/>
      <c r="N138" s="1649"/>
      <c r="O138" s="1660"/>
      <c r="P138" s="1660"/>
      <c r="Q138" s="1660"/>
      <c r="R138" s="1649"/>
    </row>
    <row r="139" spans="1:20" s="659" customFormat="1" ht="33" customHeight="1">
      <c r="A139" s="1670"/>
      <c r="B139" s="1673"/>
      <c r="C139" s="1676"/>
      <c r="D139" s="682" t="s">
        <v>1372</v>
      </c>
      <c r="E139" s="671">
        <f>E137</f>
        <v>33.006</v>
      </c>
      <c r="F139" s="767">
        <f t="shared" si="28"/>
        <v>-1.0179967278676559E-2</v>
      </c>
      <c r="G139" s="671">
        <f>G137+G138</f>
        <v>31.8</v>
      </c>
      <c r="H139" s="671">
        <f>H137+H138</f>
        <v>32.67</v>
      </c>
      <c r="I139" s="671">
        <f t="shared" ref="I139:J139" si="48">I137+I138</f>
        <v>32.67</v>
      </c>
      <c r="J139" s="671">
        <f t="shared" si="48"/>
        <v>32.67</v>
      </c>
      <c r="K139" s="1653"/>
      <c r="L139" s="1666"/>
      <c r="M139" s="1658"/>
      <c r="N139" s="1650"/>
      <c r="O139" s="1661"/>
      <c r="P139" s="1661"/>
      <c r="Q139" s="1661"/>
      <c r="R139" s="1650"/>
    </row>
    <row r="140" spans="1:20" s="659" customFormat="1" ht="23.25" hidden="1" customHeight="1">
      <c r="A140" s="730"/>
      <c r="B140" s="809" t="s">
        <v>3504</v>
      </c>
      <c r="C140" s="731"/>
      <c r="D140" s="732"/>
      <c r="E140" s="733"/>
      <c r="F140" s="810"/>
      <c r="G140" s="734">
        <v>45.362000000000002</v>
      </c>
      <c r="H140" s="734">
        <v>31.79</v>
      </c>
      <c r="I140" s="733"/>
      <c r="J140" s="733"/>
      <c r="K140" s="735"/>
      <c r="L140" s="736"/>
      <c r="M140" s="811"/>
      <c r="N140" s="812"/>
      <c r="O140" s="1576"/>
      <c r="P140" s="1576"/>
      <c r="Q140" s="1576"/>
      <c r="R140" s="812"/>
    </row>
    <row r="141" spans="1:20" s="659" customFormat="1" ht="23.25" hidden="1" customHeight="1">
      <c r="A141" s="730"/>
      <c r="B141" s="809" t="s">
        <v>3505</v>
      </c>
      <c r="C141" s="731"/>
      <c r="D141" s="732"/>
      <c r="E141" s="733"/>
      <c r="F141" s="810"/>
      <c r="G141" s="734">
        <v>0.872</v>
      </c>
      <c r="H141" s="734">
        <v>0.88</v>
      </c>
      <c r="I141" s="733"/>
      <c r="J141" s="733"/>
      <c r="K141" s="735"/>
      <c r="L141" s="736"/>
      <c r="M141" s="811"/>
      <c r="N141" s="812"/>
      <c r="O141" s="1576"/>
      <c r="P141" s="1576"/>
      <c r="Q141" s="1576"/>
      <c r="R141" s="812"/>
    </row>
    <row r="142" spans="1:20" s="659" customFormat="1" ht="20.100000000000001" customHeight="1">
      <c r="A142" s="1668" t="s">
        <v>3729</v>
      </c>
      <c r="B142" s="1671" t="s">
        <v>969</v>
      </c>
      <c r="C142" s="1674">
        <v>188711925</v>
      </c>
      <c r="D142" s="678" t="s">
        <v>668</v>
      </c>
      <c r="E142" s="688">
        <v>143.99</v>
      </c>
      <c r="F142" s="813">
        <f t="shared" si="28"/>
        <v>-0.15966386554621853</v>
      </c>
      <c r="G142" s="688">
        <v>160</v>
      </c>
      <c r="H142" s="688">
        <v>121</v>
      </c>
      <c r="I142" s="708">
        <v>200</v>
      </c>
      <c r="J142" s="699">
        <v>200</v>
      </c>
      <c r="K142" s="1651" t="s">
        <v>2856</v>
      </c>
      <c r="L142" s="1665" t="s">
        <v>3508</v>
      </c>
      <c r="M142" s="1656" t="s">
        <v>1494</v>
      </c>
      <c r="N142" s="1648" t="s">
        <v>1405</v>
      </c>
      <c r="O142" s="1659">
        <v>1</v>
      </c>
      <c r="P142" s="1659">
        <v>0</v>
      </c>
      <c r="Q142" s="1659">
        <v>0</v>
      </c>
      <c r="R142" s="1737" t="s">
        <v>2877</v>
      </c>
      <c r="S142" s="737" t="s">
        <v>2578</v>
      </c>
      <c r="T142" s="659">
        <v>15000</v>
      </c>
    </row>
    <row r="143" spans="1:20" s="659" customFormat="1" ht="20.100000000000001" customHeight="1">
      <c r="A143" s="1669"/>
      <c r="B143" s="1672"/>
      <c r="C143" s="1675"/>
      <c r="D143" s="678" t="s">
        <v>341</v>
      </c>
      <c r="E143" s="667"/>
      <c r="F143" s="765"/>
      <c r="G143" s="667"/>
      <c r="H143" s="667"/>
      <c r="I143" s="679"/>
      <c r="J143" s="680"/>
      <c r="K143" s="1652"/>
      <c r="L143" s="1667"/>
      <c r="M143" s="1657"/>
      <c r="N143" s="1649"/>
      <c r="O143" s="1660"/>
      <c r="P143" s="1660"/>
      <c r="Q143" s="1660"/>
      <c r="R143" s="1738"/>
      <c r="S143" s="659" t="s">
        <v>3507</v>
      </c>
    </row>
    <row r="144" spans="1:20" s="659" customFormat="1" ht="54.75" customHeight="1">
      <c r="A144" s="1669"/>
      <c r="B144" s="1672"/>
      <c r="C144" s="1675"/>
      <c r="D144" s="685" t="s">
        <v>1372</v>
      </c>
      <c r="E144" s="686">
        <f>E142</f>
        <v>143.99</v>
      </c>
      <c r="F144" s="767">
        <f t="shared" si="28"/>
        <v>-0.15966386554621853</v>
      </c>
      <c r="G144" s="686">
        <f>G142+G143</f>
        <v>160</v>
      </c>
      <c r="H144" s="686">
        <f>H142+H143</f>
        <v>121</v>
      </c>
      <c r="I144" s="686">
        <f t="shared" ref="I144:J144" si="49">I142+I143</f>
        <v>200</v>
      </c>
      <c r="J144" s="686">
        <f t="shared" si="49"/>
        <v>200</v>
      </c>
      <c r="K144" s="1653"/>
      <c r="L144" s="1667"/>
      <c r="M144" s="1657"/>
      <c r="N144" s="1649"/>
      <c r="O144" s="1660"/>
      <c r="P144" s="1660"/>
      <c r="Q144" s="1660"/>
      <c r="R144" s="1738"/>
    </row>
    <row r="145" spans="1:18" s="659" customFormat="1" ht="42.6" customHeight="1">
      <c r="A145" s="738" t="s">
        <v>2562</v>
      </c>
      <c r="B145" s="664" t="s">
        <v>373</v>
      </c>
      <c r="C145" s="739"/>
      <c r="D145" s="740"/>
      <c r="E145" s="741">
        <f t="shared" ref="E145:J145" si="50">SUM(E149)</f>
        <v>17</v>
      </c>
      <c r="F145" s="760">
        <f t="shared" si="28"/>
        <v>-0.70588235294117652</v>
      </c>
      <c r="G145" s="741">
        <f t="shared" si="50"/>
        <v>12</v>
      </c>
      <c r="H145" s="741">
        <f t="shared" si="50"/>
        <v>5</v>
      </c>
      <c r="I145" s="741">
        <f t="shared" si="50"/>
        <v>12</v>
      </c>
      <c r="J145" s="741">
        <f t="shared" si="50"/>
        <v>12</v>
      </c>
      <c r="K145" s="742"/>
      <c r="L145" s="743"/>
      <c r="M145" s="740" t="s">
        <v>2533</v>
      </c>
      <c r="N145" s="806" t="s">
        <v>2537</v>
      </c>
      <c r="O145" s="1577" t="s">
        <v>2203</v>
      </c>
      <c r="P145" s="1577" t="s">
        <v>2203</v>
      </c>
      <c r="Q145" s="1577" t="s">
        <v>2203</v>
      </c>
      <c r="R145" s="1738"/>
    </row>
    <row r="146" spans="1:18" s="659" customFormat="1" ht="20.100000000000001" customHeight="1">
      <c r="A146" s="1669" t="s">
        <v>3728</v>
      </c>
      <c r="B146" s="1687" t="s">
        <v>963</v>
      </c>
      <c r="C146" s="1689">
        <v>188711925</v>
      </c>
      <c r="D146" s="665" t="s">
        <v>668</v>
      </c>
      <c r="E146" s="667">
        <v>17</v>
      </c>
      <c r="F146" s="765">
        <f t="shared" si="28"/>
        <v>-0.70588235294117652</v>
      </c>
      <c r="G146" s="667">
        <v>12</v>
      </c>
      <c r="H146" s="667">
        <v>5</v>
      </c>
      <c r="I146" s="667">
        <v>12</v>
      </c>
      <c r="J146" s="667">
        <v>12</v>
      </c>
      <c r="K146" s="1651" t="s">
        <v>2856</v>
      </c>
      <c r="L146" s="1667" t="s">
        <v>2538</v>
      </c>
      <c r="M146" s="1657" t="s">
        <v>1495</v>
      </c>
      <c r="N146" s="1649" t="s">
        <v>2536</v>
      </c>
      <c r="O146" s="1663">
        <v>3</v>
      </c>
      <c r="P146" s="1663">
        <v>5</v>
      </c>
      <c r="Q146" s="1663" t="s">
        <v>551</v>
      </c>
      <c r="R146" s="1738"/>
    </row>
    <row r="147" spans="1:18" s="659" customFormat="1" ht="20.100000000000001" customHeight="1">
      <c r="A147" s="1669"/>
      <c r="B147" s="1687"/>
      <c r="C147" s="1689"/>
      <c r="D147" s="665" t="s">
        <v>341</v>
      </c>
      <c r="E147" s="667"/>
      <c r="F147" s="765"/>
      <c r="G147" s="667"/>
      <c r="H147" s="667"/>
      <c r="I147" s="744"/>
      <c r="J147" s="744"/>
      <c r="K147" s="1652"/>
      <c r="L147" s="1667"/>
      <c r="M147" s="1657"/>
      <c r="N147" s="1649"/>
      <c r="O147" s="1663"/>
      <c r="P147" s="1663"/>
      <c r="Q147" s="1663"/>
      <c r="R147" s="1738"/>
    </row>
    <row r="148" spans="1:18" s="659" customFormat="1" ht="20.100000000000001" customHeight="1">
      <c r="A148" s="1669"/>
      <c r="B148" s="1687"/>
      <c r="C148" s="1689"/>
      <c r="D148" s="665" t="s">
        <v>587</v>
      </c>
      <c r="E148" s="667"/>
      <c r="F148" s="765"/>
      <c r="G148" s="667"/>
      <c r="H148" s="667"/>
      <c r="I148" s="744"/>
      <c r="J148" s="744"/>
      <c r="K148" s="1652"/>
      <c r="L148" s="1667"/>
      <c r="M148" s="1657"/>
      <c r="N148" s="1649"/>
      <c r="O148" s="1663"/>
      <c r="P148" s="1663"/>
      <c r="Q148" s="1663"/>
      <c r="R148" s="1738"/>
    </row>
    <row r="149" spans="1:18" s="659" customFormat="1" ht="20.100000000000001" customHeight="1">
      <c r="A149" s="1670"/>
      <c r="B149" s="1688"/>
      <c r="C149" s="1689"/>
      <c r="D149" s="670" t="s">
        <v>1372</v>
      </c>
      <c r="E149" s="671">
        <f>E146</f>
        <v>17</v>
      </c>
      <c r="F149" s="767">
        <f t="shared" si="28"/>
        <v>-0.70588235294117652</v>
      </c>
      <c r="G149" s="671">
        <f>G146+G147+G148</f>
        <v>12</v>
      </c>
      <c r="H149" s="671">
        <f>H146+H147+H148</f>
        <v>5</v>
      </c>
      <c r="I149" s="671">
        <f t="shared" ref="I149:J149" si="51">I146+I147+I148</f>
        <v>12</v>
      </c>
      <c r="J149" s="671">
        <f t="shared" si="51"/>
        <v>12</v>
      </c>
      <c r="K149" s="1652"/>
      <c r="L149" s="1666"/>
      <c r="M149" s="1658"/>
      <c r="N149" s="1650"/>
      <c r="O149" s="1664"/>
      <c r="P149" s="1664"/>
      <c r="Q149" s="1664"/>
      <c r="R149" s="1739"/>
    </row>
    <row r="150" spans="1:18" s="659" customFormat="1" ht="53.25" customHeight="1">
      <c r="A150" s="710" t="s">
        <v>2563</v>
      </c>
      <c r="B150" s="815" t="s">
        <v>962</v>
      </c>
      <c r="C150" s="739"/>
      <c r="D150" s="740"/>
      <c r="E150" s="741">
        <f>SUM(E152,E160,E166,E168)</f>
        <v>96.589999999999989</v>
      </c>
      <c r="F150" s="760">
        <f t="shared" si="28"/>
        <v>2.3895848431514652</v>
      </c>
      <c r="G150" s="741">
        <f>SUM(G152,G160,G166,G168)</f>
        <v>193.24</v>
      </c>
      <c r="H150" s="741">
        <f>SUM(H152,H160,H166,H168)</f>
        <v>327.39999999999998</v>
      </c>
      <c r="I150" s="741">
        <f>SUM(I152,I160,I166,I168)</f>
        <v>343.3</v>
      </c>
      <c r="J150" s="741">
        <f>SUM(J152,J160,J166,J168)</f>
        <v>344.3</v>
      </c>
      <c r="K150" s="816" t="s">
        <v>1263</v>
      </c>
      <c r="L150" s="788"/>
      <c r="M150" s="740" t="s">
        <v>2535</v>
      </c>
      <c r="N150" s="806" t="s">
        <v>2534</v>
      </c>
      <c r="O150" s="1461">
        <v>4</v>
      </c>
      <c r="P150" s="1461">
        <v>5</v>
      </c>
      <c r="Q150" s="1578">
        <v>6</v>
      </c>
      <c r="R150" s="804" t="s">
        <v>1265</v>
      </c>
    </row>
    <row r="151" spans="1:18" s="659" customFormat="1" ht="25.5" customHeight="1">
      <c r="A151" s="1668" t="s">
        <v>3727</v>
      </c>
      <c r="B151" s="1702" t="s">
        <v>347</v>
      </c>
      <c r="C151" s="1703">
        <v>188711925</v>
      </c>
      <c r="D151" s="665" t="s">
        <v>668</v>
      </c>
      <c r="E151" s="667">
        <v>33</v>
      </c>
      <c r="F151" s="765">
        <f t="shared" si="28"/>
        <v>6.0636363636363635</v>
      </c>
      <c r="G151" s="667">
        <f>G158+G153</f>
        <v>74</v>
      </c>
      <c r="H151" s="667">
        <f>SUM(H153:H158)</f>
        <v>233.1</v>
      </c>
      <c r="I151" s="667">
        <v>234</v>
      </c>
      <c r="J151" s="667">
        <v>235</v>
      </c>
      <c r="K151" s="1654" t="s">
        <v>2856</v>
      </c>
      <c r="L151" s="1705"/>
      <c r="M151" s="1656" t="s">
        <v>1495</v>
      </c>
      <c r="N151" s="1648" t="s">
        <v>1406</v>
      </c>
      <c r="O151" s="1659">
        <v>2</v>
      </c>
      <c r="P151" s="1659">
        <v>2</v>
      </c>
      <c r="Q151" s="1659">
        <v>2</v>
      </c>
      <c r="R151" s="1737" t="s">
        <v>2859</v>
      </c>
    </row>
    <row r="152" spans="1:18" s="659" customFormat="1" ht="27.75" customHeight="1">
      <c r="A152" s="1670"/>
      <c r="B152" s="1688"/>
      <c r="C152" s="1704"/>
      <c r="D152" s="670" t="s">
        <v>1372</v>
      </c>
      <c r="E152" s="671">
        <f>E151</f>
        <v>33</v>
      </c>
      <c r="F152" s="767">
        <f t="shared" si="28"/>
        <v>6.0636363636363635</v>
      </c>
      <c r="G152" s="671">
        <f t="shared" ref="G152:J152" si="52">G151</f>
        <v>74</v>
      </c>
      <c r="H152" s="671">
        <f t="shared" ref="H152" si="53">H151</f>
        <v>233.1</v>
      </c>
      <c r="I152" s="671">
        <f t="shared" si="52"/>
        <v>234</v>
      </c>
      <c r="J152" s="671">
        <f t="shared" si="52"/>
        <v>235</v>
      </c>
      <c r="K152" s="1655"/>
      <c r="L152" s="1706"/>
      <c r="M152" s="1658"/>
      <c r="N152" s="1650"/>
      <c r="O152" s="1661"/>
      <c r="P152" s="1661"/>
      <c r="Q152" s="1661"/>
      <c r="R152" s="1738"/>
    </row>
    <row r="153" spans="1:18" s="659" customFormat="1" ht="20.100000000000001" hidden="1" customHeight="1">
      <c r="A153" s="665"/>
      <c r="B153" s="817" t="s">
        <v>1383</v>
      </c>
      <c r="C153" s="818"/>
      <c r="D153" s="819" t="s">
        <v>668</v>
      </c>
      <c r="E153" s="772">
        <v>15</v>
      </c>
      <c r="F153" s="771">
        <f t="shared" si="28"/>
        <v>-1</v>
      </c>
      <c r="G153" s="772"/>
      <c r="H153" s="772"/>
      <c r="I153" s="772"/>
      <c r="J153" s="772"/>
      <c r="K153" s="774"/>
      <c r="L153" s="772"/>
      <c r="M153" s="676"/>
      <c r="N153" s="676"/>
      <c r="O153" s="1561"/>
      <c r="P153" s="1561"/>
      <c r="Q153" s="1569"/>
      <c r="R153" s="1738"/>
    </row>
    <row r="154" spans="1:18" s="659" customFormat="1" ht="20.100000000000001" hidden="1" customHeight="1">
      <c r="A154" s="665"/>
      <c r="B154" s="817" t="s">
        <v>3573</v>
      </c>
      <c r="C154" s="818"/>
      <c r="D154" s="819"/>
      <c r="E154" s="772"/>
      <c r="F154" s="771"/>
      <c r="G154" s="772"/>
      <c r="H154" s="772">
        <v>12.1</v>
      </c>
      <c r="I154" s="772"/>
      <c r="J154" s="772"/>
      <c r="K154" s="774"/>
      <c r="L154" s="772"/>
      <c r="M154" s="676"/>
      <c r="N154" s="676"/>
      <c r="O154" s="1561"/>
      <c r="P154" s="1561"/>
      <c r="Q154" s="1569"/>
      <c r="R154" s="1738"/>
    </row>
    <row r="155" spans="1:18" s="659" customFormat="1" ht="20.100000000000001" hidden="1" customHeight="1">
      <c r="A155" s="665"/>
      <c r="B155" s="817" t="s">
        <v>3560</v>
      </c>
      <c r="C155" s="818"/>
      <c r="D155" s="819"/>
      <c r="E155" s="772"/>
      <c r="F155" s="771"/>
      <c r="G155" s="772"/>
      <c r="H155" s="772">
        <v>15</v>
      </c>
      <c r="I155" s="772"/>
      <c r="J155" s="772"/>
      <c r="K155" s="774"/>
      <c r="L155" s="772"/>
      <c r="M155" s="676"/>
      <c r="N155" s="676"/>
      <c r="O155" s="1561"/>
      <c r="P155" s="1561"/>
      <c r="Q155" s="1569"/>
      <c r="R155" s="1738"/>
    </row>
    <row r="156" spans="1:18" s="659" customFormat="1" ht="20.100000000000001" hidden="1" customHeight="1">
      <c r="A156" s="665"/>
      <c r="B156" s="817" t="s">
        <v>3561</v>
      </c>
      <c r="C156" s="818"/>
      <c r="D156" s="819"/>
      <c r="E156" s="772"/>
      <c r="F156" s="771"/>
      <c r="G156" s="772"/>
      <c r="H156" s="772">
        <v>123</v>
      </c>
      <c r="I156" s="772"/>
      <c r="J156" s="772"/>
      <c r="K156" s="774"/>
      <c r="L156" s="772"/>
      <c r="M156" s="676"/>
      <c r="N156" s="676"/>
      <c r="O156" s="1561"/>
      <c r="P156" s="1561"/>
      <c r="Q156" s="1569"/>
      <c r="R156" s="1738"/>
    </row>
    <row r="157" spans="1:18" s="659" customFormat="1" ht="20.100000000000001" hidden="1" customHeight="1">
      <c r="A157" s="665"/>
      <c r="B157" s="817" t="s">
        <v>3562</v>
      </c>
      <c r="C157" s="818"/>
      <c r="D157" s="819"/>
      <c r="E157" s="772"/>
      <c r="F157" s="771"/>
      <c r="G157" s="772"/>
      <c r="H157" s="772">
        <v>50</v>
      </c>
      <c r="I157" s="772"/>
      <c r="J157" s="772"/>
      <c r="K157" s="774"/>
      <c r="L157" s="772"/>
      <c r="M157" s="676"/>
      <c r="N157" s="676"/>
      <c r="O157" s="1561"/>
      <c r="P157" s="1561"/>
      <c r="Q157" s="1569"/>
      <c r="R157" s="1738"/>
    </row>
    <row r="158" spans="1:18" s="659" customFormat="1" ht="20.399999999999999" hidden="1" customHeight="1">
      <c r="A158" s="665"/>
      <c r="B158" s="798" t="s">
        <v>3563</v>
      </c>
      <c r="C158" s="746"/>
      <c r="D158" s="820" t="s">
        <v>668</v>
      </c>
      <c r="E158" s="779">
        <v>18</v>
      </c>
      <c r="F158" s="771">
        <f t="shared" si="28"/>
        <v>0.83333333333333337</v>
      </c>
      <c r="G158" s="779">
        <v>74</v>
      </c>
      <c r="H158" s="779">
        <v>33</v>
      </c>
      <c r="I158" s="779">
        <v>25</v>
      </c>
      <c r="J158" s="779">
        <v>25</v>
      </c>
      <c r="K158" s="781"/>
      <c r="L158" s="706" t="s">
        <v>3574</v>
      </c>
      <c r="M158" s="676"/>
      <c r="N158" s="676"/>
      <c r="O158" s="1561"/>
      <c r="P158" s="1561"/>
      <c r="Q158" s="1569"/>
      <c r="R158" s="1738"/>
    </row>
    <row r="159" spans="1:18" s="659" customFormat="1" ht="20.100000000000001" customHeight="1">
      <c r="A159" s="1668" t="s">
        <v>3726</v>
      </c>
      <c r="B159" s="1671" t="s">
        <v>809</v>
      </c>
      <c r="C159" s="1674">
        <v>188711925</v>
      </c>
      <c r="D159" s="678" t="s">
        <v>668</v>
      </c>
      <c r="E159" s="688">
        <v>42.6</v>
      </c>
      <c r="F159" s="765">
        <f t="shared" si="28"/>
        <v>0.20422535211267595</v>
      </c>
      <c r="G159" s="688">
        <f>G162+G161</f>
        <v>61.239999999999995</v>
      </c>
      <c r="H159" s="688">
        <f>H162+H161</f>
        <v>51.3</v>
      </c>
      <c r="I159" s="688">
        <v>51.3</v>
      </c>
      <c r="J159" s="688">
        <v>51.3</v>
      </c>
      <c r="K159" s="1651" t="s">
        <v>2856</v>
      </c>
      <c r="L159" s="1665" t="s">
        <v>2539</v>
      </c>
      <c r="M159" s="1656" t="s">
        <v>1496</v>
      </c>
      <c r="N159" s="1648" t="s">
        <v>407</v>
      </c>
      <c r="O159" s="1659"/>
      <c r="P159" s="1659"/>
      <c r="Q159" s="1659"/>
      <c r="R159" s="1738"/>
    </row>
    <row r="160" spans="1:18" s="659" customFormat="1" ht="24.75" customHeight="1">
      <c r="A160" s="1670"/>
      <c r="B160" s="1673"/>
      <c r="C160" s="1676"/>
      <c r="D160" s="682" t="s">
        <v>1372</v>
      </c>
      <c r="E160" s="671">
        <f>E159</f>
        <v>42.6</v>
      </c>
      <c r="F160" s="767">
        <f t="shared" si="28"/>
        <v>0.20422535211267595</v>
      </c>
      <c r="G160" s="671">
        <f>G159</f>
        <v>61.239999999999995</v>
      </c>
      <c r="H160" s="671">
        <f>H159</f>
        <v>51.3</v>
      </c>
      <c r="I160" s="671">
        <f t="shared" ref="I160:J160" si="54">I159</f>
        <v>51.3</v>
      </c>
      <c r="J160" s="671">
        <f t="shared" si="54"/>
        <v>51.3</v>
      </c>
      <c r="K160" s="1653"/>
      <c r="L160" s="1666"/>
      <c r="M160" s="1658"/>
      <c r="N160" s="1650"/>
      <c r="O160" s="1661"/>
      <c r="P160" s="1661"/>
      <c r="Q160" s="1661"/>
      <c r="R160" s="1738"/>
    </row>
    <row r="161" spans="1:18" s="659" customFormat="1" ht="20.100000000000001" hidden="1" customHeight="1">
      <c r="A161" s="665"/>
      <c r="B161" s="798" t="s">
        <v>3510</v>
      </c>
      <c r="C161" s="746"/>
      <c r="D161" s="703"/>
      <c r="E161" s="779"/>
      <c r="F161" s="771"/>
      <c r="G161" s="779">
        <v>24.24</v>
      </c>
      <c r="H161" s="779">
        <v>24.24</v>
      </c>
      <c r="I161" s="779">
        <v>0</v>
      </c>
      <c r="J161" s="779">
        <v>0</v>
      </c>
      <c r="K161" s="781"/>
      <c r="L161" s="779"/>
      <c r="M161" s="676"/>
      <c r="N161" s="676"/>
      <c r="O161" s="1561"/>
      <c r="P161" s="1561"/>
      <c r="Q161" s="1561"/>
      <c r="R161" s="1738"/>
    </row>
    <row r="162" spans="1:18" s="659" customFormat="1" ht="20.100000000000001" hidden="1" customHeight="1">
      <c r="A162" s="665"/>
      <c r="B162" s="798" t="s">
        <v>1384</v>
      </c>
      <c r="C162" s="746"/>
      <c r="D162" s="703"/>
      <c r="E162" s="779"/>
      <c r="F162" s="771"/>
      <c r="G162" s="779">
        <v>37</v>
      </c>
      <c r="H162" s="779">
        <v>27.06</v>
      </c>
      <c r="I162" s="779">
        <v>0</v>
      </c>
      <c r="J162" s="779">
        <v>0</v>
      </c>
      <c r="K162" s="781"/>
      <c r="L162" s="779"/>
      <c r="M162" s="676"/>
      <c r="N162" s="676"/>
      <c r="O162" s="1561"/>
      <c r="P162" s="1561"/>
      <c r="Q162" s="1561"/>
      <c r="R162" s="1738"/>
    </row>
    <row r="163" spans="1:18" s="659" customFormat="1" ht="20.100000000000001" hidden="1" customHeight="1">
      <c r="A163" s="677"/>
      <c r="B163" s="790" t="s">
        <v>3509</v>
      </c>
      <c r="C163" s="747"/>
      <c r="D163" s="703"/>
      <c r="E163" s="779"/>
      <c r="F163" s="771"/>
      <c r="G163" s="779">
        <v>24</v>
      </c>
      <c r="H163" s="779">
        <v>0</v>
      </c>
      <c r="I163" s="779"/>
      <c r="J163" s="821"/>
      <c r="K163" s="822"/>
      <c r="L163" s="823"/>
      <c r="M163" s="728"/>
      <c r="N163" s="728"/>
      <c r="O163" s="1575"/>
      <c r="P163" s="1575"/>
      <c r="Q163" s="1575"/>
      <c r="R163" s="1738"/>
    </row>
    <row r="164" spans="1:18" s="659" customFormat="1" ht="20.100000000000001" customHeight="1">
      <c r="A164" s="1668" t="s">
        <v>3725</v>
      </c>
      <c r="B164" s="1671" t="s">
        <v>862</v>
      </c>
      <c r="C164" s="1674">
        <v>188711925</v>
      </c>
      <c r="D164" s="678" t="s">
        <v>668</v>
      </c>
      <c r="E164" s="667">
        <v>10</v>
      </c>
      <c r="F164" s="765">
        <f t="shared" si="28"/>
        <v>2</v>
      </c>
      <c r="G164" s="667">
        <v>45</v>
      </c>
      <c r="H164" s="667">
        <v>30</v>
      </c>
      <c r="I164" s="708">
        <v>45</v>
      </c>
      <c r="J164" s="699">
        <v>45</v>
      </c>
      <c r="K164" s="1651" t="s">
        <v>2856</v>
      </c>
      <c r="L164" s="1665" t="s">
        <v>3511</v>
      </c>
      <c r="M164" s="1656" t="s">
        <v>1497</v>
      </c>
      <c r="N164" s="1648" t="s">
        <v>2579</v>
      </c>
      <c r="O164" s="1659">
        <v>1</v>
      </c>
      <c r="P164" s="1659">
        <v>1</v>
      </c>
      <c r="Q164" s="1659">
        <v>1</v>
      </c>
      <c r="R164" s="1738"/>
    </row>
    <row r="165" spans="1:18" s="659" customFormat="1" ht="20.100000000000001" customHeight="1">
      <c r="A165" s="1669"/>
      <c r="B165" s="1672"/>
      <c r="C165" s="1675"/>
      <c r="D165" s="678" t="s">
        <v>341</v>
      </c>
      <c r="E165" s="667"/>
      <c r="F165" s="765"/>
      <c r="G165" s="667"/>
      <c r="H165" s="667"/>
      <c r="I165" s="695"/>
      <c r="J165" s="748"/>
      <c r="K165" s="1652"/>
      <c r="L165" s="1667"/>
      <c r="M165" s="1657"/>
      <c r="N165" s="1649"/>
      <c r="O165" s="1660"/>
      <c r="P165" s="1660"/>
      <c r="Q165" s="1660"/>
      <c r="R165" s="1738"/>
    </row>
    <row r="166" spans="1:18" s="659" customFormat="1" ht="40.799999999999997" customHeight="1">
      <c r="A166" s="1670"/>
      <c r="B166" s="1673"/>
      <c r="C166" s="1676"/>
      <c r="D166" s="685" t="s">
        <v>1372</v>
      </c>
      <c r="E166" s="671">
        <f>E164</f>
        <v>10</v>
      </c>
      <c r="F166" s="767">
        <f t="shared" si="28"/>
        <v>2</v>
      </c>
      <c r="G166" s="671">
        <f>G164+G165</f>
        <v>45</v>
      </c>
      <c r="H166" s="671">
        <f>H164+H165</f>
        <v>30</v>
      </c>
      <c r="I166" s="671">
        <f t="shared" ref="I166:J166" si="55">I164+I165</f>
        <v>45</v>
      </c>
      <c r="J166" s="671">
        <f t="shared" si="55"/>
        <v>45</v>
      </c>
      <c r="K166" s="1653"/>
      <c r="L166" s="1667"/>
      <c r="M166" s="1657"/>
      <c r="N166" s="1649"/>
      <c r="O166" s="1660"/>
      <c r="P166" s="1660"/>
      <c r="Q166" s="1660"/>
      <c r="R166" s="1739"/>
    </row>
    <row r="167" spans="1:18" s="659" customFormat="1" ht="24.75" customHeight="1">
      <c r="A167" s="1668" t="s">
        <v>3724</v>
      </c>
      <c r="B167" s="1671" t="s">
        <v>810</v>
      </c>
      <c r="C167" s="1674">
        <v>188711925</v>
      </c>
      <c r="D167" s="678" t="s">
        <v>668</v>
      </c>
      <c r="E167" s="667">
        <v>10.99</v>
      </c>
      <c r="F167" s="765">
        <f t="shared" ref="F167:F179" si="56">(H167-E167)/E167</f>
        <v>0.18289353958143764</v>
      </c>
      <c r="G167" s="667">
        <v>13</v>
      </c>
      <c r="H167" s="667">
        <v>13</v>
      </c>
      <c r="I167" s="679">
        <v>13</v>
      </c>
      <c r="J167" s="680">
        <v>13</v>
      </c>
      <c r="K167" s="1701"/>
      <c r="L167" s="1697" t="s">
        <v>3150</v>
      </c>
      <c r="M167" s="1678" t="s">
        <v>1498</v>
      </c>
      <c r="N167" s="1699" t="s">
        <v>1407</v>
      </c>
      <c r="O167" s="1700">
        <v>100</v>
      </c>
      <c r="P167" s="1700">
        <v>100</v>
      </c>
      <c r="Q167" s="1700">
        <v>100</v>
      </c>
      <c r="R167" s="1740"/>
    </row>
    <row r="168" spans="1:18" s="659" customFormat="1" ht="30" customHeight="1">
      <c r="A168" s="1670"/>
      <c r="B168" s="1673"/>
      <c r="C168" s="1696"/>
      <c r="D168" s="685" t="s">
        <v>1372</v>
      </c>
      <c r="E168" s="686">
        <f>E167</f>
        <v>10.99</v>
      </c>
      <c r="F168" s="767">
        <f t="shared" si="56"/>
        <v>0.18289353958143764</v>
      </c>
      <c r="G168" s="686">
        <f t="shared" ref="G168:J168" si="57">G167</f>
        <v>13</v>
      </c>
      <c r="H168" s="686">
        <f t="shared" ref="H168" si="58">H167</f>
        <v>13</v>
      </c>
      <c r="I168" s="686">
        <f t="shared" si="57"/>
        <v>13</v>
      </c>
      <c r="J168" s="686">
        <f t="shared" si="57"/>
        <v>13</v>
      </c>
      <c r="K168" s="1701"/>
      <c r="L168" s="1698"/>
      <c r="M168" s="1678"/>
      <c r="N168" s="1699"/>
      <c r="O168" s="1700"/>
      <c r="P168" s="1700"/>
      <c r="Q168" s="1700"/>
      <c r="R168" s="1740"/>
    </row>
    <row r="169" spans="1:18" s="659" customFormat="1" ht="68.25" customHeight="1">
      <c r="B169" s="1694"/>
      <c r="C169" s="1694"/>
      <c r="D169" s="1694"/>
      <c r="E169" s="750" t="s">
        <v>1388</v>
      </c>
      <c r="F169" s="750" t="str">
        <f>F17</f>
        <v xml:space="preserve">Asignavimų pasikeitimas </v>
      </c>
      <c r="G169" s="750" t="str">
        <f>G17</f>
        <v xml:space="preserve">2024  m.asignavimų poreikis </v>
      </c>
      <c r="H169" s="750" t="str">
        <f>H17</f>
        <v>2024  m.asignavimai ir kitos lėšos, tūkst. Eur</v>
      </c>
      <c r="I169" s="751" t="str">
        <f>I17</f>
        <v>2025 m. asignavimai ir kitos lėšos, tūkst. Eur</v>
      </c>
      <c r="J169" s="751" t="str">
        <f>J17</f>
        <v>2026 m.asignavimai ir kitos lėšos, tūkst. Eur</v>
      </c>
      <c r="K169" s="752"/>
      <c r="L169" s="752"/>
      <c r="M169" s="752"/>
      <c r="N169" s="752"/>
      <c r="O169" s="1117"/>
      <c r="P169" s="1117"/>
      <c r="Q169" s="1117"/>
      <c r="R169" s="753"/>
    </row>
    <row r="170" spans="1:18" s="659" customFormat="1" ht="27.75" customHeight="1">
      <c r="B170" s="1682" t="s">
        <v>990</v>
      </c>
      <c r="C170" s="1682"/>
      <c r="D170" s="1682"/>
      <c r="E170" s="754">
        <f>SUM(E171,E172,E174,E175,E176,E177,)</f>
        <v>4584.8110000000015</v>
      </c>
      <c r="F170" s="765">
        <f>H170/E170-1</f>
        <v>0.25968136963552024</v>
      </c>
      <c r="G170" s="754">
        <f>SUM(G171,G172,G174,G175,G176,G177,)</f>
        <v>5542.4879999999994</v>
      </c>
      <c r="H170" s="754">
        <f>SUM(H171,H172,H174,H175,H176,H177,)</f>
        <v>5775.4010000000007</v>
      </c>
      <c r="I170" s="754">
        <f t="shared" ref="I170:J170" si="59">SUM(I171,I172,I174,I175,I176,I177,)</f>
        <v>6430.8830000000007</v>
      </c>
      <c r="J170" s="754">
        <f t="shared" si="59"/>
        <v>6485.933</v>
      </c>
      <c r="K170" s="755"/>
      <c r="L170" s="755"/>
      <c r="M170" s="756"/>
      <c r="N170" s="756"/>
      <c r="O170" s="977"/>
      <c r="P170" s="977"/>
      <c r="Q170" s="977"/>
      <c r="R170" s="756"/>
    </row>
    <row r="171" spans="1:18" s="659" customFormat="1" ht="33" customHeight="1">
      <c r="B171" s="1681" t="s">
        <v>2564</v>
      </c>
      <c r="C171" s="1681"/>
      <c r="D171" s="1681"/>
      <c r="E171" s="667">
        <f>SUM(E20,E28,E30,E32,E36,E44,E47,E85,E88,E97,E100,E102,E105,E107,E109,E111,E114,E117,E129,E131,E134,E137,E142,E146,E151,E159,E164,E167,E63)</f>
        <v>4339.3860000000013</v>
      </c>
      <c r="F171" s="765">
        <f>H171/E171-1</f>
        <v>0.26810567209277969</v>
      </c>
      <c r="G171" s="667">
        <f>SUM(G20,G28,G30,G32,G36,G44,G47,G85,G88,G97,G100,G102,G105,G107,G109,G111,G114,G117,G129,G131,G134,G137,G142,G146,G151,G159,G164,G167,G63)</f>
        <v>5291.9369999999999</v>
      </c>
      <c r="H171" s="667">
        <f>SUM(H20,H28,H30,H32,H36,H44,H47,H85,H88,H97,H100,H102,H105,H107,H109,H111,H114,H117,H129,H131,H134,H137,H142,H146,H151,H159,H164,H167,H63,H78)</f>
        <v>5502.8</v>
      </c>
      <c r="I171" s="667">
        <f t="shared" ref="I171:J171" si="60">SUM(I20,I28,I30,I32,I36,I44,I47,I85,I88,I97,I100,I102,I105,I107,I109,I111,I114,I117,I129,I131,I134,I137,I142,I146,I151,I159,I164,I167,I63,I78)</f>
        <v>6156.9280000000008</v>
      </c>
      <c r="J171" s="667">
        <f t="shared" si="60"/>
        <v>6210.9780000000001</v>
      </c>
      <c r="K171" s="757"/>
      <c r="L171" s="756"/>
      <c r="M171" s="756"/>
      <c r="N171" s="756"/>
      <c r="O171" s="977"/>
      <c r="P171" s="977"/>
      <c r="Q171" s="977"/>
      <c r="R171" s="756"/>
    </row>
    <row r="172" spans="1:18" s="659" customFormat="1" ht="20.100000000000001" customHeight="1">
      <c r="B172" s="1681" t="s">
        <v>993</v>
      </c>
      <c r="C172" s="1681"/>
      <c r="D172" s="1681"/>
      <c r="E172" s="667">
        <f>SUM(E35,E43,E46,E49,E51,E53,E55,E57,E60,E62,E65,E67,E69,E72,E75,E77,E80,E82,E84,)</f>
        <v>232.52999999999994</v>
      </c>
      <c r="F172" s="765">
        <f t="shared" si="56"/>
        <v>9.7927149185051729E-2</v>
      </c>
      <c r="G172" s="667">
        <f>SUM(G35,G43,G46,G49,G51,G53,G55,G57,G60,G62,G65,G67,G69,G72,G75,G77,G80,G82,G84,)</f>
        <v>235.101</v>
      </c>
      <c r="H172" s="667">
        <f>SUM(H35,H43,H46,H49,H51,H53,H55,H57,H60,H62,H65,H67,H69,H72,H75,H77,H80,H82,H84,)</f>
        <v>255.30100000000002</v>
      </c>
      <c r="I172" s="667">
        <f>SUM(I35,I43,I46,I49,I51,I53,I55,I57,I60,I62,I65,I67,I69,I72,I75,I77,I80,I82,I84,)</f>
        <v>255.95500000000001</v>
      </c>
      <c r="J172" s="667">
        <f>SUM(J35,J43,J46,J49,J51,J53,J55,J57,J60,J62,J65,J67,J69,J72,J75,J77,J80,J82,J84,)</f>
        <v>256.45499999999998</v>
      </c>
      <c r="K172" s="757"/>
      <c r="L172" s="756"/>
      <c r="M172" s="756"/>
      <c r="N172" s="756"/>
      <c r="O172" s="977"/>
      <c r="P172" s="977"/>
      <c r="Q172" s="977"/>
      <c r="R172" s="756"/>
    </row>
    <row r="173" spans="1:18" s="659" customFormat="1" ht="26.4" hidden="1" customHeight="1">
      <c r="B173" s="1684" t="s">
        <v>3588</v>
      </c>
      <c r="C173" s="1685"/>
      <c r="D173" s="1686"/>
      <c r="E173" s="704"/>
      <c r="F173" s="771"/>
      <c r="G173" s="704"/>
      <c r="H173" s="779">
        <f>SUM(H35,H43,H46,H49,H51,H53,H55,H57,H60,H62,H65,H67,H69,H72,H75,H77,H80,H82,H84,)</f>
        <v>255.30100000000002</v>
      </c>
      <c r="I173" s="704"/>
      <c r="J173" s="704"/>
      <c r="K173" s="757"/>
      <c r="L173" s="756"/>
      <c r="M173" s="756"/>
      <c r="N173" s="756"/>
      <c r="O173" s="977"/>
      <c r="P173" s="977"/>
      <c r="Q173" s="977"/>
      <c r="R173" s="756"/>
    </row>
    <row r="174" spans="1:18" s="659" customFormat="1" ht="20.100000000000001" customHeight="1">
      <c r="B174" s="1681" t="s">
        <v>994</v>
      </c>
      <c r="C174" s="1681"/>
      <c r="D174" s="1681"/>
      <c r="E174" s="667">
        <f>SUM(E21,E37)</f>
        <v>12.895</v>
      </c>
      <c r="F174" s="765">
        <f t="shared" si="56"/>
        <v>0.34160527336176821</v>
      </c>
      <c r="G174" s="667">
        <f>SUM(G21,G37)</f>
        <v>15.45</v>
      </c>
      <c r="H174" s="667">
        <f>SUM(H21,H37)</f>
        <v>17.3</v>
      </c>
      <c r="I174" s="667">
        <f t="shared" ref="I174:J174" si="61">SUM(I21,I37)</f>
        <v>18</v>
      </c>
      <c r="J174" s="667">
        <f t="shared" si="61"/>
        <v>18.5</v>
      </c>
      <c r="K174" s="757"/>
      <c r="L174" s="756"/>
      <c r="M174" s="756"/>
      <c r="N174" s="756"/>
      <c r="O174" s="977"/>
      <c r="P174" s="977"/>
      <c r="Q174" s="977"/>
      <c r="R174" s="756"/>
    </row>
    <row r="175" spans="1:18" s="659" customFormat="1" ht="25.5" customHeight="1">
      <c r="B175" s="1681" t="s">
        <v>2565</v>
      </c>
      <c r="C175" s="1681"/>
      <c r="D175" s="1681"/>
      <c r="E175" s="667">
        <v>0</v>
      </c>
      <c r="F175" s="765"/>
      <c r="G175" s="667">
        <v>0</v>
      </c>
      <c r="H175" s="667">
        <v>0</v>
      </c>
      <c r="I175" s="667">
        <v>0</v>
      </c>
      <c r="J175" s="667">
        <v>0</v>
      </c>
      <c r="K175" s="757"/>
      <c r="L175" s="756"/>
      <c r="M175" s="756"/>
      <c r="N175" s="756"/>
      <c r="O175" s="977"/>
      <c r="P175" s="977"/>
      <c r="Q175" s="977"/>
      <c r="R175" s="756"/>
    </row>
    <row r="176" spans="1:18" s="659" customFormat="1" ht="20.100000000000001" customHeight="1">
      <c r="B176" s="1681" t="s">
        <v>995</v>
      </c>
      <c r="C176" s="1681"/>
      <c r="D176" s="1681"/>
      <c r="E176" s="667">
        <v>0</v>
      </c>
      <c r="F176" s="765"/>
      <c r="G176" s="667">
        <v>0</v>
      </c>
      <c r="H176" s="667">
        <v>0</v>
      </c>
      <c r="I176" s="667">
        <v>0</v>
      </c>
      <c r="J176" s="667">
        <v>0</v>
      </c>
      <c r="K176" s="757"/>
      <c r="L176" s="756"/>
      <c r="M176" s="756"/>
      <c r="N176" s="756"/>
      <c r="O176" s="977"/>
      <c r="P176" s="977"/>
      <c r="Q176" s="977"/>
      <c r="R176" s="756"/>
    </row>
    <row r="177" spans="1:18" s="659" customFormat="1" ht="20.100000000000001" customHeight="1">
      <c r="B177" s="1681" t="s">
        <v>996</v>
      </c>
      <c r="C177" s="1681"/>
      <c r="D177" s="1681"/>
      <c r="E177" s="667">
        <v>0</v>
      </c>
      <c r="F177" s="765"/>
      <c r="G177" s="667">
        <v>0</v>
      </c>
      <c r="H177" s="667">
        <v>0</v>
      </c>
      <c r="I177" s="667">
        <v>0</v>
      </c>
      <c r="J177" s="667">
        <v>0</v>
      </c>
      <c r="K177" s="757"/>
      <c r="L177" s="756"/>
      <c r="M177" s="756"/>
      <c r="N177" s="756"/>
      <c r="O177" s="977"/>
      <c r="P177" s="977"/>
      <c r="Q177" s="977"/>
      <c r="R177" s="756"/>
    </row>
    <row r="178" spans="1:18" s="659" customFormat="1" ht="38.25" customHeight="1">
      <c r="B178" s="1682" t="s">
        <v>997</v>
      </c>
      <c r="C178" s="1682"/>
      <c r="D178" s="1682"/>
      <c r="E178" s="667">
        <v>0</v>
      </c>
      <c r="F178" s="765"/>
      <c r="G178" s="667">
        <v>0</v>
      </c>
      <c r="H178" s="667">
        <v>0</v>
      </c>
      <c r="I178" s="667">
        <v>0</v>
      </c>
      <c r="J178" s="667">
        <v>0</v>
      </c>
      <c r="K178" s="757"/>
      <c r="L178" s="756"/>
      <c r="M178" s="756"/>
      <c r="N178" s="756"/>
      <c r="O178" s="977"/>
      <c r="P178" s="977"/>
      <c r="Q178" s="977"/>
      <c r="R178" s="756"/>
    </row>
    <row r="179" spans="1:18" s="659" customFormat="1" ht="24" customHeight="1">
      <c r="B179" s="1683" t="s">
        <v>1389</v>
      </c>
      <c r="C179" s="1683"/>
      <c r="D179" s="1683"/>
      <c r="E179" s="754">
        <f>E170+E178</f>
        <v>4584.8110000000015</v>
      </c>
      <c r="F179" s="765">
        <f t="shared" si="56"/>
        <v>0.25968136963552019</v>
      </c>
      <c r="G179" s="754">
        <f>G170+G178</f>
        <v>5542.4879999999994</v>
      </c>
      <c r="H179" s="754">
        <f>H170+H178</f>
        <v>5775.4010000000007</v>
      </c>
      <c r="I179" s="754">
        <f t="shared" ref="I179:J179" si="62">I170+I178</f>
        <v>6430.8830000000007</v>
      </c>
      <c r="J179" s="754">
        <f t="shared" si="62"/>
        <v>6485.933</v>
      </c>
      <c r="K179" s="755"/>
      <c r="L179" s="756"/>
      <c r="M179" s="756"/>
      <c r="N179" s="756"/>
      <c r="O179" s="977"/>
      <c r="P179" s="977"/>
      <c r="Q179" s="977"/>
      <c r="R179" s="756"/>
    </row>
    <row r="180" spans="1:18" s="659" customFormat="1" ht="20.100000000000001" customHeight="1">
      <c r="B180" s="1682" t="s">
        <v>2566</v>
      </c>
      <c r="C180" s="1682"/>
      <c r="D180" s="1682"/>
      <c r="E180" s="754">
        <v>0</v>
      </c>
      <c r="F180" s="765"/>
      <c r="G180" s="754">
        <v>0</v>
      </c>
      <c r="H180" s="754">
        <v>0</v>
      </c>
      <c r="I180" s="754">
        <v>0</v>
      </c>
      <c r="J180" s="754">
        <v>0</v>
      </c>
      <c r="K180" s="755"/>
      <c r="L180" s="756"/>
      <c r="M180" s="756"/>
      <c r="N180" s="756"/>
      <c r="O180" s="977"/>
      <c r="P180" s="977"/>
      <c r="Q180" s="977"/>
      <c r="R180" s="756"/>
    </row>
    <row r="181" spans="1:18" s="659" customFormat="1" ht="28.5" customHeight="1">
      <c r="B181" s="1683" t="s">
        <v>998</v>
      </c>
      <c r="C181" s="1683"/>
      <c r="D181" s="1683"/>
      <c r="E181" s="754">
        <v>0</v>
      </c>
      <c r="F181" s="765"/>
      <c r="G181" s="754">
        <v>0</v>
      </c>
      <c r="H181" s="758">
        <f>(H179-E179)/E179</f>
        <v>0.25968136963552019</v>
      </c>
      <c r="I181" s="758">
        <f>(I179-H179)/H179</f>
        <v>0.11349549581059391</v>
      </c>
      <c r="J181" s="758">
        <f>(J179-I179)/I179</f>
        <v>8.5602552557711379E-3</v>
      </c>
      <c r="K181" s="755"/>
      <c r="L181" s="756"/>
      <c r="M181" s="756"/>
      <c r="N181" s="756"/>
      <c r="O181" s="977"/>
      <c r="P181" s="977"/>
      <c r="Q181" s="977"/>
      <c r="R181" s="756"/>
    </row>
    <row r="182" spans="1:18">
      <c r="E182" s="461"/>
      <c r="F182" s="461"/>
      <c r="R182" s="461"/>
    </row>
    <row r="183" spans="1:18">
      <c r="E183" s="461"/>
      <c r="F183" s="461"/>
      <c r="R183" s="461"/>
    </row>
    <row r="184" spans="1:18">
      <c r="E184" s="461"/>
      <c r="F184" s="461"/>
      <c r="R184" s="461"/>
    </row>
    <row r="185" spans="1:18">
      <c r="A185" s="464"/>
      <c r="E185" s="461"/>
      <c r="F185" s="461"/>
      <c r="H185" s="536"/>
      <c r="R185" s="461"/>
    </row>
    <row r="186" spans="1:18">
      <c r="E186" s="461"/>
      <c r="F186" s="461"/>
      <c r="R186" s="461"/>
    </row>
    <row r="187" spans="1:18">
      <c r="A187" s="464"/>
      <c r="B187" s="464"/>
      <c r="E187" s="461"/>
      <c r="F187" s="461"/>
      <c r="R187" s="461"/>
    </row>
    <row r="188" spans="1:18">
      <c r="E188" s="461"/>
      <c r="F188" s="461"/>
      <c r="R188" s="461"/>
    </row>
    <row r="189" spans="1:18">
      <c r="B189" s="469"/>
      <c r="E189" s="461"/>
      <c r="F189" s="461"/>
      <c r="R189" s="461"/>
    </row>
    <row r="190" spans="1:18">
      <c r="B190" s="469"/>
      <c r="E190" s="461"/>
      <c r="F190" s="461"/>
      <c r="R190" s="461"/>
    </row>
    <row r="191" spans="1:18">
      <c r="E191" s="461"/>
      <c r="F191" s="461"/>
      <c r="R191" s="461"/>
    </row>
    <row r="192" spans="1:18">
      <c r="E192" s="461"/>
      <c r="F192" s="461"/>
      <c r="R192" s="461"/>
    </row>
    <row r="193" spans="2:18">
      <c r="E193" s="461"/>
      <c r="F193" s="461"/>
      <c r="R193" s="461"/>
    </row>
    <row r="194" spans="2:18">
      <c r="E194" s="461"/>
      <c r="F194" s="461"/>
      <c r="R194" s="461"/>
    </row>
    <row r="195" spans="2:18">
      <c r="E195" s="461"/>
      <c r="F195" s="461"/>
      <c r="R195" s="461"/>
    </row>
    <row r="196" spans="2:18">
      <c r="E196" s="461"/>
      <c r="F196" s="461"/>
      <c r="R196" s="461"/>
    </row>
    <row r="197" spans="2:18">
      <c r="E197" s="461"/>
      <c r="F197" s="461"/>
      <c r="R197" s="461"/>
    </row>
    <row r="198" spans="2:18">
      <c r="E198" s="461"/>
      <c r="F198" s="461"/>
      <c r="R198" s="461"/>
    </row>
    <row r="199" spans="2:18">
      <c r="E199" s="461"/>
      <c r="F199" s="461"/>
      <c r="R199" s="461"/>
    </row>
    <row r="200" spans="2:18">
      <c r="E200" s="461"/>
      <c r="F200" s="461"/>
      <c r="R200" s="461"/>
    </row>
    <row r="201" spans="2:18">
      <c r="B201" s="469"/>
      <c r="E201" s="461"/>
      <c r="F201" s="461"/>
      <c r="R201" s="461"/>
    </row>
    <row r="202" spans="2:18">
      <c r="E202" s="461"/>
      <c r="F202" s="461"/>
      <c r="R202" s="461"/>
    </row>
    <row r="203" spans="2:18">
      <c r="E203" s="461"/>
      <c r="F203" s="461"/>
      <c r="R203" s="461"/>
    </row>
    <row r="204" spans="2:18">
      <c r="E204" s="461"/>
      <c r="F204" s="461"/>
      <c r="R204" s="461"/>
    </row>
    <row r="205" spans="2:18">
      <c r="E205" s="461"/>
      <c r="F205" s="461"/>
      <c r="R205" s="461"/>
    </row>
    <row r="206" spans="2:18">
      <c r="E206" s="461"/>
      <c r="F206" s="461"/>
      <c r="R206" s="461"/>
    </row>
    <row r="207" spans="2:18">
      <c r="E207" s="461"/>
      <c r="F207" s="461"/>
      <c r="R207" s="461"/>
    </row>
    <row r="208" spans="2:18">
      <c r="E208" s="461"/>
      <c r="F208" s="461"/>
      <c r="R208" s="461"/>
    </row>
    <row r="209" spans="11:17" s="461" customFormat="1">
      <c r="K209" s="464"/>
      <c r="O209" s="587"/>
      <c r="P209" s="587"/>
      <c r="Q209" s="587"/>
    </row>
    <row r="210" spans="11:17" s="461" customFormat="1">
      <c r="K210" s="464"/>
      <c r="O210" s="587"/>
      <c r="P210" s="587"/>
      <c r="Q210" s="587"/>
    </row>
    <row r="211" spans="11:17" s="461" customFormat="1">
      <c r="K211" s="464"/>
      <c r="O211" s="587"/>
      <c r="P211" s="587"/>
      <c r="Q211" s="587"/>
    </row>
    <row r="212" spans="11:17" s="461" customFormat="1">
      <c r="K212" s="464"/>
      <c r="O212" s="587"/>
      <c r="P212" s="587"/>
      <c r="Q212" s="587"/>
    </row>
    <row r="213" spans="11:17" s="461" customFormat="1">
      <c r="K213" s="464"/>
      <c r="O213" s="587"/>
      <c r="P213" s="587"/>
      <c r="Q213" s="587"/>
    </row>
    <row r="214" spans="11:17" s="461" customFormat="1">
      <c r="K214" s="464"/>
      <c r="O214" s="587"/>
      <c r="P214" s="587"/>
      <c r="Q214" s="587"/>
    </row>
    <row r="215" spans="11:17" s="461" customFormat="1">
      <c r="K215" s="464"/>
      <c r="O215" s="587"/>
      <c r="P215" s="587"/>
      <c r="Q215" s="587"/>
    </row>
    <row r="216" spans="11:17" s="461" customFormat="1">
      <c r="K216" s="464"/>
      <c r="O216" s="587"/>
      <c r="P216" s="587"/>
      <c r="Q216" s="587"/>
    </row>
    <row r="217" spans="11:17" s="461" customFormat="1">
      <c r="K217" s="464"/>
      <c r="O217" s="587"/>
      <c r="P217" s="587"/>
      <c r="Q217" s="587"/>
    </row>
    <row r="218" spans="11:17" s="461" customFormat="1">
      <c r="K218" s="464"/>
      <c r="O218" s="587"/>
      <c r="P218" s="587"/>
      <c r="Q218" s="587"/>
    </row>
    <row r="219" spans="11:17" s="461" customFormat="1">
      <c r="K219" s="464"/>
      <c r="O219" s="587"/>
      <c r="P219" s="587"/>
      <c r="Q219" s="587"/>
    </row>
    <row r="220" spans="11:17" s="461" customFormat="1">
      <c r="K220" s="464"/>
      <c r="O220" s="587"/>
      <c r="P220" s="587"/>
      <c r="Q220" s="587"/>
    </row>
    <row r="221" spans="11:17" s="461" customFormat="1">
      <c r="K221" s="464"/>
      <c r="O221" s="587"/>
      <c r="P221" s="587"/>
      <c r="Q221" s="587"/>
    </row>
    <row r="222" spans="11:17" s="461" customFormat="1">
      <c r="K222" s="464"/>
      <c r="O222" s="587"/>
      <c r="P222" s="587"/>
      <c r="Q222" s="587"/>
    </row>
    <row r="223" spans="11:17" s="461" customFormat="1">
      <c r="K223" s="464"/>
      <c r="O223" s="587"/>
      <c r="P223" s="587"/>
      <c r="Q223" s="587"/>
    </row>
    <row r="224" spans="11:17" s="461" customFormat="1">
      <c r="K224" s="464"/>
      <c r="O224" s="587"/>
      <c r="P224" s="587"/>
      <c r="Q224" s="587"/>
    </row>
    <row r="225" spans="11:17" s="461" customFormat="1">
      <c r="K225" s="464"/>
      <c r="O225" s="587"/>
      <c r="P225" s="587"/>
      <c r="Q225" s="587"/>
    </row>
    <row r="226" spans="11:17" s="461" customFormat="1">
      <c r="K226" s="464"/>
      <c r="O226" s="587"/>
      <c r="P226" s="587"/>
      <c r="Q226" s="587"/>
    </row>
    <row r="227" spans="11:17" s="461" customFormat="1">
      <c r="K227" s="464"/>
      <c r="O227" s="587"/>
      <c r="P227" s="587"/>
      <c r="Q227" s="587"/>
    </row>
    <row r="228" spans="11:17" s="461" customFormat="1">
      <c r="K228" s="464"/>
      <c r="O228" s="587"/>
      <c r="P228" s="587"/>
      <c r="Q228" s="587"/>
    </row>
    <row r="229" spans="11:17" s="461" customFormat="1">
      <c r="K229" s="464"/>
      <c r="O229" s="587"/>
      <c r="P229" s="587"/>
      <c r="Q229" s="587"/>
    </row>
    <row r="230" spans="11:17" s="461" customFormat="1">
      <c r="K230" s="464"/>
      <c r="O230" s="587"/>
      <c r="P230" s="587"/>
      <c r="Q230" s="587"/>
    </row>
    <row r="231" spans="11:17" s="461" customFormat="1">
      <c r="K231" s="464"/>
      <c r="O231" s="587"/>
      <c r="P231" s="587"/>
      <c r="Q231" s="587"/>
    </row>
    <row r="232" spans="11:17" s="461" customFormat="1">
      <c r="K232" s="464"/>
      <c r="O232" s="587"/>
      <c r="P232" s="587"/>
      <c r="Q232" s="587"/>
    </row>
    <row r="233" spans="11:17" s="461" customFormat="1">
      <c r="K233" s="464"/>
      <c r="O233" s="587"/>
      <c r="P233" s="587"/>
      <c r="Q233" s="587"/>
    </row>
    <row r="234" spans="11:17" s="461" customFormat="1">
      <c r="K234" s="464"/>
      <c r="O234" s="587"/>
      <c r="P234" s="587"/>
      <c r="Q234" s="587"/>
    </row>
    <row r="235" spans="11:17" s="461" customFormat="1">
      <c r="K235" s="464"/>
      <c r="O235" s="587"/>
      <c r="P235" s="587"/>
      <c r="Q235" s="587"/>
    </row>
    <row r="236" spans="11:17" s="461" customFormat="1">
      <c r="K236" s="464"/>
      <c r="O236" s="587"/>
      <c r="P236" s="587"/>
      <c r="Q236" s="587"/>
    </row>
    <row r="237" spans="11:17" s="461" customFormat="1">
      <c r="K237" s="464"/>
      <c r="O237" s="587"/>
      <c r="P237" s="587"/>
      <c r="Q237" s="587"/>
    </row>
    <row r="238" spans="11:17" s="461" customFormat="1">
      <c r="K238" s="464"/>
      <c r="O238" s="587"/>
      <c r="P238" s="587"/>
      <c r="Q238" s="587"/>
    </row>
    <row r="239" spans="11:17" s="461" customFormat="1">
      <c r="K239" s="464"/>
      <c r="O239" s="587"/>
      <c r="P239" s="587"/>
      <c r="Q239" s="587"/>
    </row>
    <row r="240" spans="11:17" s="461" customFormat="1">
      <c r="K240" s="464"/>
      <c r="O240" s="587"/>
      <c r="P240" s="587"/>
      <c r="Q240" s="587"/>
    </row>
    <row r="241" spans="11:17" s="461" customFormat="1">
      <c r="K241" s="464"/>
      <c r="O241" s="587"/>
      <c r="P241" s="587"/>
      <c r="Q241" s="587"/>
    </row>
    <row r="242" spans="11:17" s="461" customFormat="1">
      <c r="K242" s="464"/>
      <c r="O242" s="587"/>
      <c r="P242" s="587"/>
      <c r="Q242" s="587"/>
    </row>
    <row r="243" spans="11:17" s="461" customFormat="1">
      <c r="K243" s="464"/>
      <c r="O243" s="587"/>
      <c r="P243" s="587"/>
      <c r="Q243" s="587"/>
    </row>
    <row r="244" spans="11:17" s="461" customFormat="1">
      <c r="K244" s="464"/>
      <c r="O244" s="587"/>
      <c r="P244" s="587"/>
      <c r="Q244" s="587"/>
    </row>
    <row r="245" spans="11:17" s="461" customFormat="1">
      <c r="K245" s="464"/>
      <c r="O245" s="587"/>
      <c r="P245" s="587"/>
      <c r="Q245" s="587"/>
    </row>
    <row r="246" spans="11:17" s="461" customFormat="1">
      <c r="K246" s="464"/>
      <c r="O246" s="587"/>
      <c r="P246" s="587"/>
      <c r="Q246" s="587"/>
    </row>
    <row r="247" spans="11:17" s="461" customFormat="1">
      <c r="K247" s="464"/>
      <c r="O247" s="587"/>
      <c r="P247" s="587"/>
      <c r="Q247" s="587"/>
    </row>
    <row r="248" spans="11:17" s="461" customFormat="1">
      <c r="K248" s="464"/>
      <c r="O248" s="587"/>
      <c r="P248" s="587"/>
      <c r="Q248" s="587"/>
    </row>
    <row r="249" spans="11:17" s="461" customFormat="1">
      <c r="K249" s="464"/>
      <c r="O249" s="587"/>
      <c r="P249" s="587"/>
      <c r="Q249" s="587"/>
    </row>
    <row r="250" spans="11:17" s="461" customFormat="1">
      <c r="K250" s="464"/>
      <c r="O250" s="587"/>
      <c r="P250" s="587"/>
      <c r="Q250" s="587"/>
    </row>
    <row r="251" spans="11:17" s="461" customFormat="1">
      <c r="K251" s="464"/>
      <c r="O251" s="587"/>
      <c r="P251" s="587"/>
      <c r="Q251" s="587"/>
    </row>
    <row r="252" spans="11:17" s="461" customFormat="1">
      <c r="K252" s="464"/>
      <c r="O252" s="587"/>
      <c r="P252" s="587"/>
      <c r="Q252" s="587"/>
    </row>
    <row r="253" spans="11:17" s="461" customFormat="1">
      <c r="K253" s="464"/>
      <c r="O253" s="587"/>
      <c r="P253" s="587"/>
      <c r="Q253" s="587"/>
    </row>
    <row r="254" spans="11:17" s="461" customFormat="1">
      <c r="K254" s="464"/>
      <c r="O254" s="587"/>
      <c r="P254" s="587"/>
      <c r="Q254" s="587"/>
    </row>
    <row r="255" spans="11:17" s="461" customFormat="1">
      <c r="K255" s="464"/>
      <c r="O255" s="587"/>
      <c r="P255" s="587"/>
      <c r="Q255" s="587"/>
    </row>
    <row r="256" spans="11:17" s="461" customFormat="1">
      <c r="K256" s="464"/>
      <c r="O256" s="587"/>
      <c r="P256" s="587"/>
      <c r="Q256" s="587"/>
    </row>
    <row r="257" spans="11:17" s="461" customFormat="1">
      <c r="K257" s="464"/>
      <c r="O257" s="587"/>
      <c r="P257" s="587"/>
      <c r="Q257" s="587"/>
    </row>
    <row r="258" spans="11:17" s="461" customFormat="1">
      <c r="K258" s="464"/>
      <c r="O258" s="587"/>
      <c r="P258" s="587"/>
      <c r="Q258" s="587"/>
    </row>
    <row r="259" spans="11:17" s="461" customFormat="1">
      <c r="K259" s="464"/>
      <c r="O259" s="587"/>
      <c r="P259" s="587"/>
      <c r="Q259" s="587"/>
    </row>
    <row r="260" spans="11:17" s="461" customFormat="1">
      <c r="K260" s="464"/>
      <c r="O260" s="587"/>
      <c r="P260" s="587"/>
      <c r="Q260" s="587"/>
    </row>
    <row r="261" spans="11:17" s="461" customFormat="1">
      <c r="K261" s="464"/>
      <c r="O261" s="587"/>
      <c r="P261" s="587"/>
      <c r="Q261" s="587"/>
    </row>
    <row r="262" spans="11:17" s="461" customFormat="1">
      <c r="K262" s="464"/>
      <c r="O262" s="587"/>
      <c r="P262" s="587"/>
      <c r="Q262" s="587"/>
    </row>
    <row r="263" spans="11:17" s="461" customFormat="1">
      <c r="K263" s="464"/>
      <c r="O263" s="587"/>
      <c r="P263" s="587"/>
      <c r="Q263" s="587"/>
    </row>
    <row r="264" spans="11:17" s="461" customFormat="1">
      <c r="K264" s="464"/>
      <c r="O264" s="587"/>
      <c r="P264" s="587"/>
      <c r="Q264" s="587"/>
    </row>
    <row r="265" spans="11:17" s="461" customFormat="1">
      <c r="K265" s="464"/>
      <c r="O265" s="587"/>
      <c r="P265" s="587"/>
      <c r="Q265" s="587"/>
    </row>
    <row r="266" spans="11:17" s="461" customFormat="1">
      <c r="K266" s="464"/>
      <c r="O266" s="587"/>
      <c r="P266" s="587"/>
      <c r="Q266" s="587"/>
    </row>
    <row r="267" spans="11:17" s="461" customFormat="1">
      <c r="K267" s="464"/>
      <c r="O267" s="587"/>
      <c r="P267" s="587"/>
      <c r="Q267" s="587"/>
    </row>
    <row r="268" spans="11:17" s="461" customFormat="1">
      <c r="K268" s="464"/>
      <c r="O268" s="587"/>
      <c r="P268" s="587"/>
      <c r="Q268" s="587"/>
    </row>
    <row r="269" spans="11:17" s="461" customFormat="1">
      <c r="K269" s="464"/>
      <c r="O269" s="587"/>
      <c r="P269" s="587"/>
      <c r="Q269" s="587"/>
    </row>
    <row r="270" spans="11:17" s="461" customFormat="1">
      <c r="K270" s="464"/>
      <c r="O270" s="587"/>
      <c r="P270" s="587"/>
      <c r="Q270" s="587"/>
    </row>
    <row r="271" spans="11:17" s="461" customFormat="1">
      <c r="K271" s="464"/>
      <c r="O271" s="587"/>
      <c r="P271" s="587"/>
      <c r="Q271" s="587"/>
    </row>
    <row r="272" spans="11:17" s="461" customFormat="1">
      <c r="K272" s="464"/>
      <c r="O272" s="587"/>
      <c r="P272" s="587"/>
      <c r="Q272" s="587"/>
    </row>
    <row r="273" spans="11:17" s="461" customFormat="1">
      <c r="K273" s="464"/>
      <c r="O273" s="587"/>
      <c r="P273" s="587"/>
      <c r="Q273" s="587"/>
    </row>
    <row r="274" spans="11:17" s="461" customFormat="1">
      <c r="K274" s="464"/>
      <c r="O274" s="587"/>
      <c r="P274" s="587"/>
      <c r="Q274" s="587"/>
    </row>
    <row r="275" spans="11:17" s="461" customFormat="1">
      <c r="K275" s="464"/>
      <c r="O275" s="587"/>
      <c r="P275" s="587"/>
      <c r="Q275" s="587"/>
    </row>
    <row r="276" spans="11:17" s="461" customFormat="1">
      <c r="K276" s="464"/>
      <c r="O276" s="587"/>
      <c r="P276" s="587"/>
      <c r="Q276" s="587"/>
    </row>
    <row r="277" spans="11:17" s="461" customFormat="1">
      <c r="K277" s="464"/>
      <c r="O277" s="587"/>
      <c r="P277" s="587"/>
      <c r="Q277" s="587"/>
    </row>
    <row r="278" spans="11:17" s="461" customFormat="1">
      <c r="K278" s="464"/>
      <c r="O278" s="587"/>
      <c r="P278" s="587"/>
      <c r="Q278" s="587"/>
    </row>
    <row r="279" spans="11:17" s="461" customFormat="1">
      <c r="K279" s="464"/>
      <c r="O279" s="587"/>
      <c r="P279" s="587"/>
      <c r="Q279" s="587"/>
    </row>
    <row r="280" spans="11:17" s="461" customFormat="1">
      <c r="K280" s="464"/>
      <c r="O280" s="587"/>
      <c r="P280" s="587"/>
      <c r="Q280" s="587"/>
    </row>
    <row r="281" spans="11:17" s="461" customFormat="1">
      <c r="K281" s="464"/>
      <c r="O281" s="587"/>
      <c r="P281" s="587"/>
      <c r="Q281" s="587"/>
    </row>
    <row r="282" spans="11:17" s="461" customFormat="1">
      <c r="K282" s="464"/>
      <c r="O282" s="587"/>
      <c r="P282" s="587"/>
      <c r="Q282" s="587"/>
    </row>
    <row r="283" spans="11:17" s="461" customFormat="1">
      <c r="K283" s="464"/>
      <c r="O283" s="587"/>
      <c r="P283" s="587"/>
      <c r="Q283" s="587"/>
    </row>
    <row r="284" spans="11:17" s="461" customFormat="1">
      <c r="K284" s="464"/>
      <c r="O284" s="587"/>
      <c r="P284" s="587"/>
      <c r="Q284" s="587"/>
    </row>
    <row r="285" spans="11:17" s="461" customFormat="1">
      <c r="K285" s="464"/>
      <c r="O285" s="587"/>
      <c r="P285" s="587"/>
      <c r="Q285" s="587"/>
    </row>
    <row r="286" spans="11:17" s="461" customFormat="1">
      <c r="K286" s="464"/>
      <c r="O286" s="587"/>
      <c r="P286" s="587"/>
      <c r="Q286" s="587"/>
    </row>
    <row r="287" spans="11:17" s="461" customFormat="1">
      <c r="K287" s="464"/>
      <c r="O287" s="587"/>
      <c r="P287" s="587"/>
      <c r="Q287" s="587"/>
    </row>
    <row r="288" spans="11:17" s="461" customFormat="1">
      <c r="K288" s="464"/>
      <c r="O288" s="587"/>
      <c r="P288" s="587"/>
      <c r="Q288" s="587"/>
    </row>
    <row r="289" spans="11:17" s="461" customFormat="1">
      <c r="K289" s="464"/>
      <c r="O289" s="587"/>
      <c r="P289" s="587"/>
      <c r="Q289" s="587"/>
    </row>
    <row r="290" spans="11:17" s="461" customFormat="1">
      <c r="K290" s="464"/>
      <c r="O290" s="587"/>
      <c r="P290" s="587"/>
      <c r="Q290" s="587"/>
    </row>
    <row r="291" spans="11:17" s="461" customFormat="1">
      <c r="K291" s="464"/>
      <c r="O291" s="587"/>
      <c r="P291" s="587"/>
      <c r="Q291" s="587"/>
    </row>
    <row r="292" spans="11:17" s="461" customFormat="1">
      <c r="K292" s="464"/>
      <c r="O292" s="587"/>
      <c r="P292" s="587"/>
      <c r="Q292" s="587"/>
    </row>
    <row r="293" spans="11:17" s="461" customFormat="1">
      <c r="K293" s="464"/>
      <c r="O293" s="587"/>
      <c r="P293" s="587"/>
      <c r="Q293" s="587"/>
    </row>
    <row r="294" spans="11:17" s="461" customFormat="1">
      <c r="K294" s="464"/>
      <c r="O294" s="587"/>
      <c r="P294" s="587"/>
      <c r="Q294" s="587"/>
    </row>
    <row r="295" spans="11:17" s="461" customFormat="1">
      <c r="K295" s="464"/>
      <c r="O295" s="587"/>
      <c r="P295" s="587"/>
      <c r="Q295" s="587"/>
    </row>
    <row r="296" spans="11:17" s="461" customFormat="1">
      <c r="K296" s="464"/>
      <c r="O296" s="587"/>
      <c r="P296" s="587"/>
      <c r="Q296" s="587"/>
    </row>
    <row r="297" spans="11:17" s="461" customFormat="1">
      <c r="K297" s="464"/>
      <c r="O297" s="587"/>
      <c r="P297" s="587"/>
      <c r="Q297" s="587"/>
    </row>
    <row r="298" spans="11:17" s="461" customFormat="1">
      <c r="K298" s="464"/>
      <c r="O298" s="587"/>
      <c r="P298" s="587"/>
      <c r="Q298" s="587"/>
    </row>
    <row r="299" spans="11:17" s="461" customFormat="1">
      <c r="K299" s="464"/>
      <c r="O299" s="587"/>
      <c r="P299" s="587"/>
      <c r="Q299" s="587"/>
    </row>
    <row r="300" spans="11:17" s="461" customFormat="1">
      <c r="K300" s="464"/>
      <c r="O300" s="587"/>
      <c r="P300" s="587"/>
      <c r="Q300" s="587"/>
    </row>
    <row r="301" spans="11:17" s="461" customFormat="1">
      <c r="K301" s="464"/>
      <c r="O301" s="587"/>
      <c r="P301" s="587"/>
      <c r="Q301" s="587"/>
    </row>
    <row r="302" spans="11:17" s="461" customFormat="1">
      <c r="K302" s="464"/>
      <c r="O302" s="587"/>
      <c r="P302" s="587"/>
      <c r="Q302" s="587"/>
    </row>
    <row r="303" spans="11:17" s="461" customFormat="1">
      <c r="K303" s="464"/>
      <c r="O303" s="587"/>
      <c r="P303" s="587"/>
      <c r="Q303" s="587"/>
    </row>
    <row r="304" spans="11:17" s="461" customFormat="1">
      <c r="K304" s="464"/>
      <c r="O304" s="587"/>
      <c r="P304" s="587"/>
      <c r="Q304" s="587"/>
    </row>
    <row r="305" spans="11:17" s="461" customFormat="1">
      <c r="K305" s="464"/>
      <c r="O305" s="587"/>
      <c r="P305" s="587"/>
      <c r="Q305" s="587"/>
    </row>
    <row r="306" spans="11:17" s="461" customFormat="1">
      <c r="K306" s="464"/>
      <c r="O306" s="587"/>
      <c r="P306" s="587"/>
      <c r="Q306" s="587"/>
    </row>
    <row r="307" spans="11:17" s="461" customFormat="1">
      <c r="K307" s="464"/>
      <c r="O307" s="587"/>
      <c r="P307" s="587"/>
      <c r="Q307" s="587"/>
    </row>
    <row r="308" spans="11:17" s="461" customFormat="1">
      <c r="K308" s="464"/>
      <c r="O308" s="587"/>
      <c r="P308" s="587"/>
      <c r="Q308" s="587"/>
    </row>
    <row r="309" spans="11:17" s="461" customFormat="1">
      <c r="K309" s="464"/>
      <c r="O309" s="587"/>
      <c r="P309" s="587"/>
      <c r="Q309" s="587"/>
    </row>
    <row r="310" spans="11:17" s="461" customFormat="1">
      <c r="K310" s="464"/>
      <c r="O310" s="587"/>
      <c r="P310" s="587"/>
      <c r="Q310" s="587"/>
    </row>
    <row r="311" spans="11:17" s="461" customFormat="1">
      <c r="K311" s="464"/>
      <c r="O311" s="587"/>
      <c r="P311" s="587"/>
      <c r="Q311" s="587"/>
    </row>
    <row r="312" spans="11:17" s="461" customFormat="1">
      <c r="K312" s="464"/>
      <c r="O312" s="587"/>
      <c r="P312" s="587"/>
      <c r="Q312" s="587"/>
    </row>
    <row r="313" spans="11:17" s="461" customFormat="1">
      <c r="K313" s="464"/>
      <c r="O313" s="587"/>
      <c r="P313" s="587"/>
      <c r="Q313" s="587"/>
    </row>
    <row r="314" spans="11:17" s="461" customFormat="1">
      <c r="K314" s="464"/>
      <c r="O314" s="587"/>
      <c r="P314" s="587"/>
      <c r="Q314" s="587"/>
    </row>
    <row r="315" spans="11:17" s="461" customFormat="1">
      <c r="K315" s="464"/>
      <c r="O315" s="587"/>
      <c r="P315" s="587"/>
      <c r="Q315" s="587"/>
    </row>
    <row r="316" spans="11:17" s="461" customFormat="1">
      <c r="K316" s="464"/>
      <c r="O316" s="587"/>
      <c r="P316" s="587"/>
      <c r="Q316" s="587"/>
    </row>
    <row r="317" spans="11:17" s="461" customFormat="1">
      <c r="K317" s="464"/>
      <c r="O317" s="587"/>
      <c r="P317" s="587"/>
      <c r="Q317" s="587"/>
    </row>
    <row r="318" spans="11:17" s="461" customFormat="1">
      <c r="K318" s="464"/>
      <c r="O318" s="587"/>
      <c r="P318" s="587"/>
      <c r="Q318" s="587"/>
    </row>
    <row r="319" spans="11:17" s="461" customFormat="1">
      <c r="K319" s="464"/>
      <c r="O319" s="587"/>
      <c r="P319" s="587"/>
      <c r="Q319" s="587"/>
    </row>
    <row r="320" spans="11:17" s="461" customFormat="1">
      <c r="K320" s="464"/>
      <c r="O320" s="587"/>
      <c r="P320" s="587"/>
      <c r="Q320" s="587"/>
    </row>
    <row r="321" spans="11:17" s="461" customFormat="1">
      <c r="K321" s="464"/>
      <c r="O321" s="587"/>
      <c r="P321" s="587"/>
      <c r="Q321" s="587"/>
    </row>
    <row r="322" spans="11:17" s="461" customFormat="1">
      <c r="K322" s="464"/>
      <c r="O322" s="587"/>
      <c r="P322" s="587"/>
      <c r="Q322" s="587"/>
    </row>
    <row r="323" spans="11:17" s="461" customFormat="1">
      <c r="K323" s="464"/>
      <c r="O323" s="587"/>
      <c r="P323" s="587"/>
      <c r="Q323" s="587"/>
    </row>
    <row r="324" spans="11:17" s="461" customFormat="1">
      <c r="K324" s="464"/>
      <c r="O324" s="587"/>
      <c r="P324" s="587"/>
      <c r="Q324" s="587"/>
    </row>
    <row r="325" spans="11:17" s="461" customFormat="1">
      <c r="K325" s="464"/>
      <c r="O325" s="587"/>
      <c r="P325" s="587"/>
      <c r="Q325" s="587"/>
    </row>
    <row r="326" spans="11:17" s="461" customFormat="1">
      <c r="K326" s="464"/>
      <c r="O326" s="587"/>
      <c r="P326" s="587"/>
      <c r="Q326" s="587"/>
    </row>
    <row r="327" spans="11:17" s="461" customFormat="1">
      <c r="K327" s="464"/>
      <c r="O327" s="587"/>
      <c r="P327" s="587"/>
      <c r="Q327" s="587"/>
    </row>
    <row r="328" spans="11:17" s="461" customFormat="1">
      <c r="K328" s="464"/>
      <c r="O328" s="587"/>
      <c r="P328" s="587"/>
      <c r="Q328" s="587"/>
    </row>
    <row r="329" spans="11:17" s="461" customFormat="1">
      <c r="K329" s="464"/>
      <c r="O329" s="587"/>
      <c r="P329" s="587"/>
      <c r="Q329" s="587"/>
    </row>
    <row r="330" spans="11:17" s="461" customFormat="1">
      <c r="K330" s="464"/>
      <c r="O330" s="587"/>
      <c r="P330" s="587"/>
      <c r="Q330" s="587"/>
    </row>
    <row r="331" spans="11:17" s="461" customFormat="1">
      <c r="K331" s="464"/>
      <c r="O331" s="587"/>
      <c r="P331" s="587"/>
      <c r="Q331" s="587"/>
    </row>
    <row r="332" spans="11:17" s="461" customFormat="1">
      <c r="K332" s="464"/>
      <c r="O332" s="587"/>
      <c r="P332" s="587"/>
      <c r="Q332" s="587"/>
    </row>
    <row r="333" spans="11:17" s="461" customFormat="1">
      <c r="K333" s="464"/>
      <c r="O333" s="587"/>
      <c r="P333" s="587"/>
      <c r="Q333" s="587"/>
    </row>
    <row r="334" spans="11:17" s="461" customFormat="1">
      <c r="K334" s="464"/>
      <c r="O334" s="587"/>
      <c r="P334" s="587"/>
      <c r="Q334" s="587"/>
    </row>
    <row r="335" spans="11:17" s="461" customFormat="1">
      <c r="K335" s="464"/>
      <c r="O335" s="587"/>
      <c r="P335" s="587"/>
      <c r="Q335" s="587"/>
    </row>
    <row r="336" spans="11:17" s="461" customFormat="1">
      <c r="K336" s="464"/>
      <c r="O336" s="587"/>
      <c r="P336" s="587"/>
      <c r="Q336" s="587"/>
    </row>
    <row r="337" spans="11:17" s="461" customFormat="1">
      <c r="K337" s="464"/>
      <c r="O337" s="587"/>
      <c r="P337" s="587"/>
      <c r="Q337" s="587"/>
    </row>
    <row r="338" spans="11:17" s="461" customFormat="1">
      <c r="K338" s="464"/>
      <c r="O338" s="587"/>
      <c r="P338" s="587"/>
      <c r="Q338" s="587"/>
    </row>
    <row r="339" spans="11:17" s="461" customFormat="1">
      <c r="K339" s="464"/>
      <c r="O339" s="587"/>
      <c r="P339" s="587"/>
      <c r="Q339" s="587"/>
    </row>
    <row r="340" spans="11:17" s="461" customFormat="1">
      <c r="K340" s="464"/>
      <c r="O340" s="587"/>
      <c r="P340" s="587"/>
      <c r="Q340" s="587"/>
    </row>
    <row r="341" spans="11:17" s="461" customFormat="1">
      <c r="K341" s="464"/>
      <c r="O341" s="587"/>
      <c r="P341" s="587"/>
      <c r="Q341" s="587"/>
    </row>
    <row r="342" spans="11:17" s="461" customFormat="1">
      <c r="K342" s="464"/>
      <c r="O342" s="587"/>
      <c r="P342" s="587"/>
      <c r="Q342" s="587"/>
    </row>
    <row r="343" spans="11:17" s="461" customFormat="1">
      <c r="K343" s="464"/>
      <c r="O343" s="587"/>
      <c r="P343" s="587"/>
      <c r="Q343" s="587"/>
    </row>
    <row r="344" spans="11:17" s="461" customFormat="1">
      <c r="K344" s="464"/>
      <c r="O344" s="587"/>
      <c r="P344" s="587"/>
      <c r="Q344" s="587"/>
    </row>
    <row r="345" spans="11:17" s="461" customFormat="1">
      <c r="K345" s="464"/>
      <c r="O345" s="587"/>
      <c r="P345" s="587"/>
      <c r="Q345" s="587"/>
    </row>
    <row r="346" spans="11:17" s="461" customFormat="1">
      <c r="K346" s="464"/>
      <c r="O346" s="587"/>
      <c r="P346" s="587"/>
      <c r="Q346" s="587"/>
    </row>
    <row r="347" spans="11:17" s="461" customFormat="1">
      <c r="K347" s="464"/>
      <c r="O347" s="587"/>
      <c r="P347" s="587"/>
      <c r="Q347" s="587"/>
    </row>
    <row r="348" spans="11:17" s="461" customFormat="1">
      <c r="K348" s="464"/>
      <c r="O348" s="587"/>
      <c r="P348" s="587"/>
      <c r="Q348" s="587"/>
    </row>
    <row r="349" spans="11:17" s="461" customFormat="1">
      <c r="K349" s="464"/>
      <c r="O349" s="587"/>
      <c r="P349" s="587"/>
      <c r="Q349" s="587"/>
    </row>
    <row r="350" spans="11:17" s="461" customFormat="1">
      <c r="K350" s="464"/>
      <c r="O350" s="587"/>
      <c r="P350" s="587"/>
      <c r="Q350" s="587"/>
    </row>
    <row r="351" spans="11:17" s="461" customFormat="1">
      <c r="K351" s="464"/>
      <c r="O351" s="587"/>
      <c r="P351" s="587"/>
      <c r="Q351" s="587"/>
    </row>
    <row r="352" spans="11:17" s="461" customFormat="1">
      <c r="K352" s="464"/>
      <c r="O352" s="587"/>
      <c r="P352" s="587"/>
      <c r="Q352" s="587"/>
    </row>
    <row r="353" spans="11:17" s="461" customFormat="1">
      <c r="K353" s="464"/>
      <c r="O353" s="587"/>
      <c r="P353" s="587"/>
      <c r="Q353" s="587"/>
    </row>
    <row r="354" spans="11:17" s="461" customFormat="1">
      <c r="K354" s="464"/>
      <c r="O354" s="587"/>
      <c r="P354" s="587"/>
      <c r="Q354" s="587"/>
    </row>
    <row r="355" spans="11:17" s="461" customFormat="1">
      <c r="K355" s="464"/>
      <c r="O355" s="587"/>
      <c r="P355" s="587"/>
      <c r="Q355" s="587"/>
    </row>
    <row r="356" spans="11:17" s="461" customFormat="1">
      <c r="K356" s="464"/>
      <c r="O356" s="587"/>
      <c r="P356" s="587"/>
      <c r="Q356" s="587"/>
    </row>
    <row r="357" spans="11:17" s="461" customFormat="1">
      <c r="K357" s="464"/>
      <c r="O357" s="587"/>
      <c r="P357" s="587"/>
      <c r="Q357" s="587"/>
    </row>
    <row r="358" spans="11:17" s="461" customFormat="1">
      <c r="K358" s="464"/>
      <c r="O358" s="587"/>
      <c r="P358" s="587"/>
      <c r="Q358" s="587"/>
    </row>
    <row r="359" spans="11:17" s="461" customFormat="1">
      <c r="K359" s="464"/>
      <c r="O359" s="587"/>
      <c r="P359" s="587"/>
      <c r="Q359" s="587"/>
    </row>
    <row r="360" spans="11:17" s="461" customFormat="1">
      <c r="K360" s="464"/>
      <c r="O360" s="587"/>
      <c r="P360" s="587"/>
      <c r="Q360" s="587"/>
    </row>
    <row r="361" spans="11:17" s="461" customFormat="1">
      <c r="K361" s="464"/>
      <c r="O361" s="587"/>
      <c r="P361" s="587"/>
      <c r="Q361" s="587"/>
    </row>
    <row r="362" spans="11:17" s="461" customFormat="1">
      <c r="K362" s="464"/>
      <c r="O362" s="587"/>
      <c r="P362" s="587"/>
      <c r="Q362" s="587"/>
    </row>
    <row r="363" spans="11:17" s="461" customFormat="1">
      <c r="K363" s="464"/>
      <c r="O363" s="587"/>
      <c r="P363" s="587"/>
      <c r="Q363" s="587"/>
    </row>
    <row r="364" spans="11:17" s="461" customFormat="1">
      <c r="K364" s="464"/>
      <c r="O364" s="587"/>
      <c r="P364" s="587"/>
      <c r="Q364" s="587"/>
    </row>
    <row r="365" spans="11:17" s="461" customFormat="1">
      <c r="K365" s="464"/>
      <c r="O365" s="587"/>
      <c r="P365" s="587"/>
      <c r="Q365" s="587"/>
    </row>
    <row r="366" spans="11:17" s="461" customFormat="1">
      <c r="K366" s="464"/>
      <c r="O366" s="587"/>
      <c r="P366" s="587"/>
      <c r="Q366" s="587"/>
    </row>
    <row r="367" spans="11:17" s="461" customFormat="1">
      <c r="K367" s="464"/>
      <c r="O367" s="587"/>
      <c r="P367" s="587"/>
      <c r="Q367" s="587"/>
    </row>
    <row r="368" spans="11:17" s="461" customFormat="1">
      <c r="K368" s="464"/>
      <c r="O368" s="587"/>
      <c r="P368" s="587"/>
      <c r="Q368" s="587"/>
    </row>
    <row r="369" spans="11:17" s="461" customFormat="1">
      <c r="K369" s="464"/>
      <c r="O369" s="587"/>
      <c r="P369" s="587"/>
      <c r="Q369" s="587"/>
    </row>
    <row r="370" spans="11:17" s="461" customFormat="1">
      <c r="K370" s="464"/>
      <c r="O370" s="587"/>
      <c r="P370" s="587"/>
      <c r="Q370" s="587"/>
    </row>
    <row r="371" spans="11:17" s="461" customFormat="1">
      <c r="K371" s="464"/>
      <c r="O371" s="587"/>
      <c r="P371" s="587"/>
      <c r="Q371" s="587"/>
    </row>
    <row r="372" spans="11:17" s="461" customFormat="1">
      <c r="K372" s="464"/>
      <c r="O372" s="587"/>
      <c r="P372" s="587"/>
      <c r="Q372" s="587"/>
    </row>
    <row r="373" spans="11:17" s="461" customFormat="1">
      <c r="K373" s="464"/>
      <c r="O373" s="587"/>
      <c r="P373" s="587"/>
      <c r="Q373" s="587"/>
    </row>
    <row r="374" spans="11:17" s="461" customFormat="1">
      <c r="K374" s="464"/>
      <c r="O374" s="587"/>
      <c r="P374" s="587"/>
      <c r="Q374" s="587"/>
    </row>
    <row r="375" spans="11:17" s="461" customFormat="1">
      <c r="K375" s="464"/>
      <c r="O375" s="587"/>
      <c r="P375" s="587"/>
      <c r="Q375" s="587"/>
    </row>
    <row r="376" spans="11:17" s="461" customFormat="1">
      <c r="K376" s="464"/>
      <c r="O376" s="587"/>
      <c r="P376" s="587"/>
      <c r="Q376" s="587"/>
    </row>
    <row r="377" spans="11:17" s="461" customFormat="1">
      <c r="K377" s="464"/>
      <c r="O377" s="587"/>
      <c r="P377" s="587"/>
      <c r="Q377" s="587"/>
    </row>
    <row r="378" spans="11:17" s="461" customFormat="1">
      <c r="K378" s="464"/>
      <c r="O378" s="587"/>
      <c r="P378" s="587"/>
      <c r="Q378" s="587"/>
    </row>
    <row r="379" spans="11:17" s="461" customFormat="1">
      <c r="K379" s="464"/>
      <c r="O379" s="587"/>
      <c r="P379" s="587"/>
      <c r="Q379" s="587"/>
    </row>
    <row r="380" spans="11:17" s="461" customFormat="1">
      <c r="K380" s="464"/>
      <c r="O380" s="587"/>
      <c r="P380" s="587"/>
      <c r="Q380" s="587"/>
    </row>
    <row r="381" spans="11:17" s="461" customFormat="1">
      <c r="K381" s="464"/>
      <c r="O381" s="587"/>
      <c r="P381" s="587"/>
      <c r="Q381" s="587"/>
    </row>
    <row r="382" spans="11:17" s="461" customFormat="1">
      <c r="K382" s="464"/>
      <c r="O382" s="587"/>
      <c r="P382" s="587"/>
      <c r="Q382" s="587"/>
    </row>
    <row r="383" spans="11:17" s="461" customFormat="1">
      <c r="K383" s="464"/>
      <c r="O383" s="587"/>
      <c r="P383" s="587"/>
      <c r="Q383" s="587"/>
    </row>
    <row r="384" spans="11:17" s="461" customFormat="1">
      <c r="K384" s="464"/>
      <c r="O384" s="587"/>
      <c r="P384" s="587"/>
      <c r="Q384" s="587"/>
    </row>
    <row r="385" spans="11:17" s="461" customFormat="1">
      <c r="K385" s="464"/>
      <c r="O385" s="587"/>
      <c r="P385" s="587"/>
      <c r="Q385" s="587"/>
    </row>
    <row r="386" spans="11:17" s="461" customFormat="1">
      <c r="K386" s="464"/>
      <c r="O386" s="587"/>
      <c r="P386" s="587"/>
      <c r="Q386" s="587"/>
    </row>
    <row r="387" spans="11:17" s="461" customFormat="1">
      <c r="K387" s="464"/>
      <c r="O387" s="587"/>
      <c r="P387" s="587"/>
      <c r="Q387" s="587"/>
    </row>
    <row r="388" spans="11:17" s="461" customFormat="1">
      <c r="K388" s="464"/>
      <c r="O388" s="587"/>
      <c r="P388" s="587"/>
      <c r="Q388" s="587"/>
    </row>
    <row r="389" spans="11:17" s="461" customFormat="1">
      <c r="K389" s="464"/>
      <c r="O389" s="587"/>
      <c r="P389" s="587"/>
      <c r="Q389" s="587"/>
    </row>
    <row r="390" spans="11:17" s="461" customFormat="1">
      <c r="K390" s="464"/>
      <c r="O390" s="587"/>
      <c r="P390" s="587"/>
      <c r="Q390" s="587"/>
    </row>
    <row r="391" spans="11:17" s="461" customFormat="1">
      <c r="K391" s="464"/>
      <c r="O391" s="587"/>
      <c r="P391" s="587"/>
      <c r="Q391" s="587"/>
    </row>
    <row r="392" spans="11:17" s="461" customFormat="1">
      <c r="K392" s="464"/>
      <c r="O392" s="587"/>
      <c r="P392" s="587"/>
      <c r="Q392" s="587"/>
    </row>
    <row r="393" spans="11:17" s="461" customFormat="1">
      <c r="K393" s="464"/>
      <c r="O393" s="587"/>
      <c r="P393" s="587"/>
      <c r="Q393" s="587"/>
    </row>
    <row r="394" spans="11:17" s="461" customFormat="1">
      <c r="K394" s="464"/>
      <c r="O394" s="587"/>
      <c r="P394" s="587"/>
      <c r="Q394" s="587"/>
    </row>
    <row r="395" spans="11:17" s="461" customFormat="1">
      <c r="K395" s="464"/>
      <c r="O395" s="587"/>
      <c r="P395" s="587"/>
      <c r="Q395" s="587"/>
    </row>
    <row r="396" spans="11:17" s="461" customFormat="1">
      <c r="K396" s="464"/>
      <c r="O396" s="587"/>
      <c r="P396" s="587"/>
      <c r="Q396" s="587"/>
    </row>
    <row r="397" spans="11:17" s="461" customFormat="1">
      <c r="K397" s="464"/>
      <c r="O397" s="587"/>
      <c r="P397" s="587"/>
      <c r="Q397" s="587"/>
    </row>
    <row r="398" spans="11:17" s="461" customFormat="1">
      <c r="K398" s="464"/>
      <c r="O398" s="587"/>
      <c r="P398" s="587"/>
      <c r="Q398" s="587"/>
    </row>
    <row r="399" spans="11:17" s="461" customFormat="1">
      <c r="K399" s="464"/>
      <c r="O399" s="587"/>
      <c r="P399" s="587"/>
      <c r="Q399" s="587"/>
    </row>
    <row r="400" spans="11:17" s="461" customFormat="1">
      <c r="K400" s="464"/>
      <c r="O400" s="587"/>
      <c r="P400" s="587"/>
      <c r="Q400" s="587"/>
    </row>
    <row r="401" spans="11:17" s="461" customFormat="1">
      <c r="K401" s="464"/>
      <c r="O401" s="587"/>
      <c r="P401" s="587"/>
      <c r="Q401" s="587"/>
    </row>
    <row r="402" spans="11:17" s="461" customFormat="1">
      <c r="K402" s="464"/>
      <c r="O402" s="587"/>
      <c r="P402" s="587"/>
      <c r="Q402" s="587"/>
    </row>
    <row r="403" spans="11:17" s="461" customFormat="1">
      <c r="K403" s="464"/>
      <c r="O403" s="587"/>
      <c r="P403" s="587"/>
      <c r="Q403" s="587"/>
    </row>
    <row r="404" spans="11:17" s="461" customFormat="1">
      <c r="K404" s="464"/>
      <c r="O404" s="587"/>
      <c r="P404" s="587"/>
      <c r="Q404" s="587"/>
    </row>
    <row r="405" spans="11:17" s="461" customFormat="1">
      <c r="K405" s="464"/>
      <c r="O405" s="587"/>
      <c r="P405" s="587"/>
      <c r="Q405" s="587"/>
    </row>
    <row r="406" spans="11:17" s="461" customFormat="1">
      <c r="K406" s="464"/>
      <c r="O406" s="587"/>
      <c r="P406" s="587"/>
      <c r="Q406" s="587"/>
    </row>
    <row r="407" spans="11:17" s="461" customFormat="1">
      <c r="K407" s="464"/>
      <c r="O407" s="587"/>
      <c r="P407" s="587"/>
      <c r="Q407" s="587"/>
    </row>
    <row r="408" spans="11:17" s="461" customFormat="1">
      <c r="K408" s="464"/>
      <c r="O408" s="587"/>
      <c r="P408" s="587"/>
      <c r="Q408" s="587"/>
    </row>
    <row r="409" spans="11:17" s="461" customFormat="1">
      <c r="K409" s="464"/>
      <c r="O409" s="587"/>
      <c r="P409" s="587"/>
      <c r="Q409" s="587"/>
    </row>
    <row r="410" spans="11:17" s="461" customFormat="1">
      <c r="K410" s="464"/>
      <c r="O410" s="587"/>
      <c r="P410" s="587"/>
      <c r="Q410" s="587"/>
    </row>
    <row r="411" spans="11:17" s="461" customFormat="1">
      <c r="K411" s="464"/>
      <c r="O411" s="587"/>
      <c r="P411" s="587"/>
      <c r="Q411" s="587"/>
    </row>
    <row r="412" spans="11:17" s="461" customFormat="1">
      <c r="K412" s="464"/>
      <c r="O412" s="587"/>
      <c r="P412" s="587"/>
      <c r="Q412" s="587"/>
    </row>
    <row r="413" spans="11:17" s="461" customFormat="1">
      <c r="K413" s="464"/>
      <c r="O413" s="587"/>
      <c r="P413" s="587"/>
      <c r="Q413" s="587"/>
    </row>
    <row r="414" spans="11:17" s="461" customFormat="1">
      <c r="K414" s="464"/>
      <c r="O414" s="587"/>
      <c r="P414" s="587"/>
      <c r="Q414" s="587"/>
    </row>
    <row r="415" spans="11:17" s="461" customFormat="1">
      <c r="K415" s="464"/>
      <c r="O415" s="587"/>
      <c r="P415" s="587"/>
      <c r="Q415" s="587"/>
    </row>
    <row r="416" spans="11:17" s="461" customFormat="1">
      <c r="K416" s="464"/>
      <c r="O416" s="587"/>
      <c r="P416" s="587"/>
      <c r="Q416" s="587"/>
    </row>
    <row r="417" spans="11:17" s="461" customFormat="1">
      <c r="K417" s="464"/>
      <c r="O417" s="587"/>
      <c r="P417" s="587"/>
      <c r="Q417" s="587"/>
    </row>
    <row r="418" spans="11:17" s="461" customFormat="1">
      <c r="K418" s="464"/>
      <c r="O418" s="587"/>
      <c r="P418" s="587"/>
      <c r="Q418" s="587"/>
    </row>
    <row r="419" spans="11:17" s="461" customFormat="1">
      <c r="K419" s="464"/>
      <c r="O419" s="587"/>
      <c r="P419" s="587"/>
      <c r="Q419" s="587"/>
    </row>
    <row r="420" spans="11:17" s="461" customFormat="1">
      <c r="K420" s="464"/>
      <c r="O420" s="587"/>
      <c r="P420" s="587"/>
      <c r="Q420" s="587"/>
    </row>
    <row r="421" spans="11:17" s="461" customFormat="1">
      <c r="K421" s="464"/>
      <c r="O421" s="587"/>
      <c r="P421" s="587"/>
      <c r="Q421" s="587"/>
    </row>
    <row r="422" spans="11:17" s="461" customFormat="1">
      <c r="K422" s="464"/>
      <c r="O422" s="587"/>
      <c r="P422" s="587"/>
      <c r="Q422" s="587"/>
    </row>
    <row r="423" spans="11:17" s="461" customFormat="1">
      <c r="K423" s="464"/>
      <c r="O423" s="587"/>
      <c r="P423" s="587"/>
      <c r="Q423" s="587"/>
    </row>
    <row r="424" spans="11:17" s="461" customFormat="1">
      <c r="K424" s="464"/>
      <c r="O424" s="587"/>
      <c r="P424" s="587"/>
      <c r="Q424" s="587"/>
    </row>
    <row r="425" spans="11:17" s="461" customFormat="1">
      <c r="K425" s="464"/>
      <c r="O425" s="587"/>
      <c r="P425" s="587"/>
      <c r="Q425" s="587"/>
    </row>
    <row r="426" spans="11:17" s="461" customFormat="1">
      <c r="K426" s="464"/>
      <c r="O426" s="587"/>
      <c r="P426" s="587"/>
      <c r="Q426" s="587"/>
    </row>
    <row r="427" spans="11:17" s="461" customFormat="1">
      <c r="K427" s="464"/>
      <c r="O427" s="587"/>
      <c r="P427" s="587"/>
      <c r="Q427" s="587"/>
    </row>
    <row r="428" spans="11:17" s="461" customFormat="1">
      <c r="K428" s="464"/>
      <c r="O428" s="587"/>
      <c r="P428" s="587"/>
      <c r="Q428" s="587"/>
    </row>
    <row r="429" spans="11:17" s="461" customFormat="1">
      <c r="K429" s="464"/>
      <c r="O429" s="587"/>
      <c r="P429" s="587"/>
      <c r="Q429" s="587"/>
    </row>
    <row r="430" spans="11:17" s="461" customFormat="1">
      <c r="K430" s="464"/>
      <c r="O430" s="587"/>
      <c r="P430" s="587"/>
      <c r="Q430" s="587"/>
    </row>
    <row r="431" spans="11:17" s="461" customFormat="1">
      <c r="K431" s="464"/>
      <c r="O431" s="587"/>
      <c r="P431" s="587"/>
      <c r="Q431" s="587"/>
    </row>
    <row r="432" spans="11:17" s="461" customFormat="1">
      <c r="K432" s="464"/>
      <c r="O432" s="587"/>
      <c r="P432" s="587"/>
      <c r="Q432" s="587"/>
    </row>
    <row r="433" spans="11:17" s="461" customFormat="1">
      <c r="K433" s="464"/>
      <c r="O433" s="587"/>
      <c r="P433" s="587"/>
      <c r="Q433" s="587"/>
    </row>
    <row r="434" spans="11:17" s="461" customFormat="1">
      <c r="K434" s="464"/>
      <c r="O434" s="587"/>
      <c r="P434" s="587"/>
      <c r="Q434" s="587"/>
    </row>
    <row r="435" spans="11:17" s="461" customFormat="1">
      <c r="K435" s="464"/>
      <c r="O435" s="587"/>
      <c r="P435" s="587"/>
      <c r="Q435" s="587"/>
    </row>
    <row r="436" spans="11:17" s="461" customFormat="1">
      <c r="K436" s="464"/>
      <c r="O436" s="587"/>
      <c r="P436" s="587"/>
      <c r="Q436" s="587"/>
    </row>
    <row r="437" spans="11:17" s="461" customFormat="1">
      <c r="K437" s="464"/>
      <c r="O437" s="587"/>
      <c r="P437" s="587"/>
      <c r="Q437" s="587"/>
    </row>
    <row r="438" spans="11:17" s="461" customFormat="1">
      <c r="K438" s="464"/>
      <c r="O438" s="587"/>
      <c r="P438" s="587"/>
      <c r="Q438" s="587"/>
    </row>
    <row r="439" spans="11:17" s="461" customFormat="1">
      <c r="K439" s="464"/>
      <c r="O439" s="587"/>
      <c r="P439" s="587"/>
      <c r="Q439" s="587"/>
    </row>
    <row r="440" spans="11:17" s="461" customFormat="1">
      <c r="K440" s="464"/>
      <c r="O440" s="587"/>
      <c r="P440" s="587"/>
      <c r="Q440" s="587"/>
    </row>
    <row r="441" spans="11:17" s="461" customFormat="1">
      <c r="K441" s="464"/>
      <c r="O441" s="587"/>
      <c r="P441" s="587"/>
      <c r="Q441" s="587"/>
    </row>
    <row r="442" spans="11:17" s="461" customFormat="1">
      <c r="K442" s="464"/>
      <c r="O442" s="587"/>
      <c r="P442" s="587"/>
      <c r="Q442" s="587"/>
    </row>
    <row r="443" spans="11:17" s="461" customFormat="1">
      <c r="K443" s="464"/>
      <c r="O443" s="587"/>
      <c r="P443" s="587"/>
      <c r="Q443" s="587"/>
    </row>
    <row r="444" spans="11:17" s="461" customFormat="1">
      <c r="K444" s="464"/>
      <c r="O444" s="587"/>
      <c r="P444" s="587"/>
      <c r="Q444" s="587"/>
    </row>
    <row r="445" spans="11:17" s="461" customFormat="1">
      <c r="K445" s="464"/>
      <c r="O445" s="587"/>
      <c r="P445" s="587"/>
      <c r="Q445" s="587"/>
    </row>
    <row r="446" spans="11:17" s="461" customFormat="1">
      <c r="K446" s="464"/>
      <c r="O446" s="587"/>
      <c r="P446" s="587"/>
      <c r="Q446" s="587"/>
    </row>
    <row r="447" spans="11:17" s="461" customFormat="1">
      <c r="K447" s="464"/>
      <c r="O447" s="587"/>
      <c r="P447" s="587"/>
      <c r="Q447" s="587"/>
    </row>
    <row r="448" spans="11:17" s="461" customFormat="1">
      <c r="K448" s="464"/>
      <c r="O448" s="587"/>
      <c r="P448" s="587"/>
      <c r="Q448" s="587"/>
    </row>
    <row r="449" spans="11:17" s="461" customFormat="1">
      <c r="K449" s="464"/>
      <c r="O449" s="587"/>
      <c r="P449" s="587"/>
      <c r="Q449" s="587"/>
    </row>
    <row r="450" spans="11:17" s="461" customFormat="1">
      <c r="K450" s="464"/>
      <c r="O450" s="587"/>
      <c r="P450" s="587"/>
      <c r="Q450" s="587"/>
    </row>
    <row r="451" spans="11:17" s="461" customFormat="1">
      <c r="K451" s="464"/>
      <c r="O451" s="587"/>
      <c r="P451" s="587"/>
      <c r="Q451" s="587"/>
    </row>
    <row r="452" spans="11:17" s="461" customFormat="1">
      <c r="K452" s="464"/>
      <c r="O452" s="587"/>
      <c r="P452" s="587"/>
      <c r="Q452" s="587"/>
    </row>
    <row r="453" spans="11:17" s="461" customFormat="1">
      <c r="K453" s="464"/>
      <c r="O453" s="587"/>
      <c r="P453" s="587"/>
      <c r="Q453" s="587"/>
    </row>
    <row r="454" spans="11:17" s="461" customFormat="1">
      <c r="K454" s="464"/>
      <c r="O454" s="587"/>
      <c r="P454" s="587"/>
      <c r="Q454" s="587"/>
    </row>
    <row r="455" spans="11:17" s="461" customFormat="1">
      <c r="K455" s="464"/>
      <c r="O455" s="587"/>
      <c r="P455" s="587"/>
      <c r="Q455" s="587"/>
    </row>
    <row r="456" spans="11:17" s="461" customFormat="1">
      <c r="K456" s="464"/>
      <c r="O456" s="587"/>
      <c r="P456" s="587"/>
      <c r="Q456" s="587"/>
    </row>
    <row r="457" spans="11:17" s="461" customFormat="1">
      <c r="K457" s="464"/>
      <c r="O457" s="587"/>
      <c r="P457" s="587"/>
      <c r="Q457" s="587"/>
    </row>
    <row r="458" spans="11:17" s="461" customFormat="1">
      <c r="K458" s="464"/>
      <c r="O458" s="587"/>
      <c r="P458" s="587"/>
      <c r="Q458" s="587"/>
    </row>
    <row r="459" spans="11:17" s="461" customFormat="1">
      <c r="K459" s="464"/>
      <c r="O459" s="587"/>
      <c r="P459" s="587"/>
      <c r="Q459" s="587"/>
    </row>
    <row r="460" spans="11:17" s="461" customFormat="1">
      <c r="K460" s="464"/>
      <c r="O460" s="587"/>
      <c r="P460" s="587"/>
      <c r="Q460" s="587"/>
    </row>
    <row r="461" spans="11:17" s="461" customFormat="1">
      <c r="K461" s="464"/>
      <c r="O461" s="587"/>
      <c r="P461" s="587"/>
      <c r="Q461" s="587"/>
    </row>
    <row r="462" spans="11:17" s="461" customFormat="1">
      <c r="K462" s="464"/>
      <c r="O462" s="587"/>
      <c r="P462" s="587"/>
      <c r="Q462" s="587"/>
    </row>
    <row r="463" spans="11:17" s="461" customFormat="1">
      <c r="K463" s="464"/>
      <c r="O463" s="587"/>
      <c r="P463" s="587"/>
      <c r="Q463" s="587"/>
    </row>
    <row r="464" spans="11:17" s="461" customFormat="1">
      <c r="K464" s="464"/>
      <c r="O464" s="587"/>
      <c r="P464" s="587"/>
      <c r="Q464" s="587"/>
    </row>
    <row r="465" spans="11:17" s="461" customFormat="1">
      <c r="K465" s="464"/>
      <c r="O465" s="587"/>
      <c r="P465" s="587"/>
      <c r="Q465" s="587"/>
    </row>
    <row r="466" spans="11:17" s="461" customFormat="1">
      <c r="K466" s="464"/>
      <c r="O466" s="587"/>
      <c r="P466" s="587"/>
      <c r="Q466" s="587"/>
    </row>
    <row r="467" spans="11:17" s="461" customFormat="1">
      <c r="K467" s="464"/>
      <c r="O467" s="587"/>
      <c r="P467" s="587"/>
      <c r="Q467" s="587"/>
    </row>
    <row r="468" spans="11:17" s="461" customFormat="1">
      <c r="K468" s="464"/>
      <c r="O468" s="587"/>
      <c r="P468" s="587"/>
      <c r="Q468" s="587"/>
    </row>
    <row r="469" spans="11:17" s="461" customFormat="1">
      <c r="K469" s="464"/>
      <c r="O469" s="587"/>
      <c r="P469" s="587"/>
      <c r="Q469" s="587"/>
    </row>
    <row r="470" spans="11:17" s="461" customFormat="1">
      <c r="K470" s="464"/>
      <c r="O470" s="587"/>
      <c r="P470" s="587"/>
      <c r="Q470" s="587"/>
    </row>
    <row r="471" spans="11:17" s="461" customFormat="1">
      <c r="K471" s="464"/>
      <c r="O471" s="587"/>
      <c r="P471" s="587"/>
      <c r="Q471" s="587"/>
    </row>
    <row r="472" spans="11:17" s="461" customFormat="1">
      <c r="K472" s="464"/>
      <c r="O472" s="587"/>
      <c r="P472" s="587"/>
      <c r="Q472" s="587"/>
    </row>
    <row r="473" spans="11:17" s="461" customFormat="1">
      <c r="K473" s="464"/>
      <c r="O473" s="587"/>
      <c r="P473" s="587"/>
      <c r="Q473" s="587"/>
    </row>
    <row r="474" spans="11:17" s="461" customFormat="1">
      <c r="K474" s="464"/>
      <c r="O474" s="587"/>
      <c r="P474" s="587"/>
      <c r="Q474" s="587"/>
    </row>
    <row r="475" spans="11:17" s="461" customFormat="1">
      <c r="K475" s="464"/>
      <c r="O475" s="587"/>
      <c r="P475" s="587"/>
      <c r="Q475" s="587"/>
    </row>
    <row r="476" spans="11:17" s="461" customFormat="1">
      <c r="K476" s="464"/>
      <c r="O476" s="587"/>
      <c r="P476" s="587"/>
      <c r="Q476" s="587"/>
    </row>
    <row r="477" spans="11:17" s="461" customFormat="1">
      <c r="K477" s="464"/>
      <c r="O477" s="587"/>
      <c r="P477" s="587"/>
      <c r="Q477" s="587"/>
    </row>
    <row r="478" spans="11:17" s="461" customFormat="1">
      <c r="K478" s="464"/>
      <c r="O478" s="587"/>
      <c r="P478" s="587"/>
      <c r="Q478" s="587"/>
    </row>
    <row r="479" spans="11:17" s="461" customFormat="1">
      <c r="K479" s="464"/>
      <c r="O479" s="587"/>
      <c r="P479" s="587"/>
      <c r="Q479" s="587"/>
    </row>
    <row r="480" spans="11:17" s="461" customFormat="1">
      <c r="K480" s="464"/>
      <c r="O480" s="587"/>
      <c r="P480" s="587"/>
      <c r="Q480" s="587"/>
    </row>
    <row r="481" spans="11:17" s="461" customFormat="1">
      <c r="K481" s="464"/>
      <c r="O481" s="587"/>
      <c r="P481" s="587"/>
      <c r="Q481" s="587"/>
    </row>
    <row r="482" spans="11:17" s="461" customFormat="1">
      <c r="K482" s="464"/>
      <c r="O482" s="587"/>
      <c r="P482" s="587"/>
      <c r="Q482" s="587"/>
    </row>
    <row r="483" spans="11:17" s="461" customFormat="1">
      <c r="K483" s="464"/>
      <c r="O483" s="587"/>
      <c r="P483" s="587"/>
      <c r="Q483" s="587"/>
    </row>
    <row r="484" spans="11:17" s="461" customFormat="1">
      <c r="K484" s="464"/>
      <c r="O484" s="587"/>
      <c r="P484" s="587"/>
      <c r="Q484" s="587"/>
    </row>
    <row r="485" spans="11:17" s="461" customFormat="1">
      <c r="K485" s="464"/>
      <c r="O485" s="587"/>
      <c r="P485" s="587"/>
      <c r="Q485" s="587"/>
    </row>
    <row r="486" spans="11:17" s="461" customFormat="1">
      <c r="K486" s="464"/>
      <c r="O486" s="587"/>
      <c r="P486" s="587"/>
      <c r="Q486" s="587"/>
    </row>
    <row r="487" spans="11:17" s="461" customFormat="1">
      <c r="K487" s="464"/>
      <c r="O487" s="587"/>
      <c r="P487" s="587"/>
      <c r="Q487" s="587"/>
    </row>
    <row r="488" spans="11:17" s="461" customFormat="1">
      <c r="K488" s="464"/>
      <c r="O488" s="587"/>
      <c r="P488" s="587"/>
      <c r="Q488" s="587"/>
    </row>
    <row r="489" spans="11:17" s="461" customFormat="1">
      <c r="K489" s="464"/>
      <c r="O489" s="587"/>
      <c r="P489" s="587"/>
      <c r="Q489" s="587"/>
    </row>
    <row r="490" spans="11:17" s="461" customFormat="1">
      <c r="K490" s="464"/>
      <c r="O490" s="587"/>
      <c r="P490" s="587"/>
      <c r="Q490" s="587"/>
    </row>
    <row r="491" spans="11:17" s="461" customFormat="1">
      <c r="K491" s="464"/>
      <c r="O491" s="587"/>
      <c r="P491" s="587"/>
      <c r="Q491" s="587"/>
    </row>
    <row r="492" spans="11:17" s="461" customFormat="1">
      <c r="K492" s="464"/>
      <c r="O492" s="587"/>
      <c r="P492" s="587"/>
      <c r="Q492" s="587"/>
    </row>
    <row r="493" spans="11:17" s="461" customFormat="1">
      <c r="K493" s="464"/>
      <c r="O493" s="587"/>
      <c r="P493" s="587"/>
      <c r="Q493" s="587"/>
    </row>
    <row r="494" spans="11:17" s="461" customFormat="1">
      <c r="K494" s="464"/>
      <c r="O494" s="587"/>
      <c r="P494" s="587"/>
      <c r="Q494" s="587"/>
    </row>
    <row r="495" spans="11:17" s="461" customFormat="1">
      <c r="K495" s="464"/>
      <c r="O495" s="587"/>
      <c r="P495" s="587"/>
      <c r="Q495" s="587"/>
    </row>
    <row r="496" spans="11:17" s="461" customFormat="1">
      <c r="K496" s="464"/>
      <c r="O496" s="587"/>
      <c r="P496" s="587"/>
      <c r="Q496" s="587"/>
    </row>
    <row r="497" spans="11:17" s="461" customFormat="1">
      <c r="K497" s="464"/>
      <c r="O497" s="587"/>
      <c r="P497" s="587"/>
      <c r="Q497" s="587"/>
    </row>
    <row r="498" spans="11:17" s="461" customFormat="1">
      <c r="K498" s="464"/>
      <c r="O498" s="587"/>
      <c r="P498" s="587"/>
      <c r="Q498" s="587"/>
    </row>
    <row r="499" spans="11:17" s="461" customFormat="1">
      <c r="K499" s="464"/>
      <c r="O499" s="587"/>
      <c r="P499" s="587"/>
      <c r="Q499" s="587"/>
    </row>
    <row r="500" spans="11:17" s="461" customFormat="1">
      <c r="K500" s="464"/>
      <c r="O500" s="587"/>
      <c r="P500" s="587"/>
      <c r="Q500" s="587"/>
    </row>
    <row r="501" spans="11:17" s="461" customFormat="1">
      <c r="K501" s="464"/>
      <c r="O501" s="587"/>
      <c r="P501" s="587"/>
      <c r="Q501" s="587"/>
    </row>
    <row r="502" spans="11:17" s="461" customFormat="1">
      <c r="K502" s="464"/>
      <c r="O502" s="587"/>
      <c r="P502" s="587"/>
      <c r="Q502" s="587"/>
    </row>
    <row r="503" spans="11:17" s="461" customFormat="1">
      <c r="K503" s="464"/>
      <c r="O503" s="587"/>
      <c r="P503" s="587"/>
      <c r="Q503" s="587"/>
    </row>
    <row r="504" spans="11:17" s="461" customFormat="1">
      <c r="K504" s="464"/>
      <c r="O504" s="587"/>
      <c r="P504" s="587"/>
      <c r="Q504" s="587"/>
    </row>
    <row r="505" spans="11:17" s="461" customFormat="1">
      <c r="K505" s="464"/>
      <c r="O505" s="587"/>
      <c r="P505" s="587"/>
      <c r="Q505" s="587"/>
    </row>
    <row r="506" spans="11:17" s="461" customFormat="1">
      <c r="K506" s="464"/>
      <c r="O506" s="587"/>
      <c r="P506" s="587"/>
      <c r="Q506" s="587"/>
    </row>
    <row r="507" spans="11:17" s="461" customFormat="1">
      <c r="K507" s="464"/>
      <c r="O507" s="587"/>
      <c r="P507" s="587"/>
      <c r="Q507" s="587"/>
    </row>
    <row r="508" spans="11:17" s="461" customFormat="1">
      <c r="K508" s="464"/>
      <c r="O508" s="587"/>
      <c r="P508" s="587"/>
      <c r="Q508" s="587"/>
    </row>
    <row r="509" spans="11:17" s="461" customFormat="1">
      <c r="K509" s="464"/>
      <c r="O509" s="587"/>
      <c r="P509" s="587"/>
      <c r="Q509" s="587"/>
    </row>
    <row r="510" spans="11:17" s="461" customFormat="1">
      <c r="K510" s="464"/>
      <c r="O510" s="587"/>
      <c r="P510" s="587"/>
      <c r="Q510" s="587"/>
    </row>
    <row r="511" spans="11:17" s="461" customFormat="1">
      <c r="K511" s="464"/>
      <c r="O511" s="587"/>
      <c r="P511" s="587"/>
      <c r="Q511" s="587"/>
    </row>
    <row r="512" spans="11:17" s="461" customFormat="1">
      <c r="K512" s="464"/>
      <c r="O512" s="587"/>
      <c r="P512" s="587"/>
      <c r="Q512" s="587"/>
    </row>
    <row r="513" spans="11:17" s="461" customFormat="1">
      <c r="K513" s="464"/>
      <c r="O513" s="587"/>
      <c r="P513" s="587"/>
      <c r="Q513" s="587"/>
    </row>
    <row r="514" spans="11:17" s="461" customFormat="1">
      <c r="K514" s="464"/>
      <c r="O514" s="587"/>
      <c r="P514" s="587"/>
      <c r="Q514" s="587"/>
    </row>
    <row r="515" spans="11:17" s="461" customFormat="1">
      <c r="K515" s="464"/>
      <c r="O515" s="587"/>
      <c r="P515" s="587"/>
      <c r="Q515" s="587"/>
    </row>
    <row r="516" spans="11:17" s="461" customFormat="1">
      <c r="K516" s="464"/>
      <c r="O516" s="587"/>
      <c r="P516" s="587"/>
      <c r="Q516" s="587"/>
    </row>
    <row r="517" spans="11:17" s="461" customFormat="1">
      <c r="K517" s="464"/>
      <c r="O517" s="587"/>
      <c r="P517" s="587"/>
      <c r="Q517" s="587"/>
    </row>
    <row r="518" spans="11:17" s="461" customFormat="1">
      <c r="K518" s="464"/>
      <c r="O518" s="587"/>
      <c r="P518" s="587"/>
      <c r="Q518" s="587"/>
    </row>
    <row r="519" spans="11:17" s="461" customFormat="1">
      <c r="K519" s="464"/>
      <c r="O519" s="587"/>
      <c r="P519" s="587"/>
      <c r="Q519" s="587"/>
    </row>
    <row r="520" spans="11:17" s="461" customFormat="1">
      <c r="K520" s="464"/>
      <c r="O520" s="587"/>
      <c r="P520" s="587"/>
      <c r="Q520" s="587"/>
    </row>
    <row r="521" spans="11:17" s="461" customFormat="1">
      <c r="K521" s="464"/>
      <c r="O521" s="587"/>
      <c r="P521" s="587"/>
      <c r="Q521" s="587"/>
    </row>
    <row r="522" spans="11:17" s="461" customFormat="1">
      <c r="K522" s="464"/>
      <c r="O522" s="587"/>
      <c r="P522" s="587"/>
      <c r="Q522" s="587"/>
    </row>
    <row r="523" spans="11:17" s="461" customFormat="1">
      <c r="K523" s="464"/>
      <c r="O523" s="587"/>
      <c r="P523" s="587"/>
      <c r="Q523" s="587"/>
    </row>
    <row r="524" spans="11:17" s="461" customFormat="1">
      <c r="K524" s="464"/>
      <c r="O524" s="587"/>
      <c r="P524" s="587"/>
      <c r="Q524" s="587"/>
    </row>
    <row r="525" spans="11:17" s="461" customFormat="1">
      <c r="K525" s="464"/>
      <c r="O525" s="587"/>
      <c r="P525" s="587"/>
      <c r="Q525" s="587"/>
    </row>
    <row r="526" spans="11:17" s="461" customFormat="1">
      <c r="K526" s="464"/>
      <c r="O526" s="587"/>
      <c r="P526" s="587"/>
      <c r="Q526" s="587"/>
    </row>
    <row r="527" spans="11:17" s="461" customFormat="1">
      <c r="K527" s="464"/>
      <c r="O527" s="587"/>
      <c r="P527" s="587"/>
      <c r="Q527" s="587"/>
    </row>
    <row r="528" spans="11:17" s="461" customFormat="1">
      <c r="K528" s="464"/>
      <c r="O528" s="587"/>
      <c r="P528" s="587"/>
      <c r="Q528" s="587"/>
    </row>
    <row r="529" spans="11:17" s="461" customFormat="1">
      <c r="K529" s="464"/>
      <c r="O529" s="587"/>
      <c r="P529" s="587"/>
      <c r="Q529" s="587"/>
    </row>
    <row r="530" spans="11:17" s="461" customFormat="1">
      <c r="K530" s="464"/>
      <c r="O530" s="587"/>
      <c r="P530" s="587"/>
      <c r="Q530" s="587"/>
    </row>
    <row r="531" spans="11:17" s="461" customFormat="1">
      <c r="K531" s="464"/>
      <c r="O531" s="587"/>
      <c r="P531" s="587"/>
      <c r="Q531" s="587"/>
    </row>
    <row r="532" spans="11:17" s="461" customFormat="1">
      <c r="K532" s="464"/>
      <c r="O532" s="587"/>
      <c r="P532" s="587"/>
      <c r="Q532" s="587"/>
    </row>
    <row r="533" spans="11:17" s="461" customFormat="1">
      <c r="K533" s="464"/>
      <c r="O533" s="587"/>
      <c r="P533" s="587"/>
      <c r="Q533" s="587"/>
    </row>
    <row r="534" spans="11:17" s="461" customFormat="1">
      <c r="K534" s="464"/>
      <c r="O534" s="587"/>
      <c r="P534" s="587"/>
      <c r="Q534" s="587"/>
    </row>
    <row r="535" spans="11:17" s="461" customFormat="1">
      <c r="K535" s="464"/>
      <c r="O535" s="587"/>
      <c r="P535" s="587"/>
      <c r="Q535" s="587"/>
    </row>
    <row r="536" spans="11:17" s="461" customFormat="1">
      <c r="K536" s="464"/>
      <c r="O536" s="587"/>
      <c r="P536" s="587"/>
      <c r="Q536" s="587"/>
    </row>
    <row r="537" spans="11:17" s="461" customFormat="1">
      <c r="K537" s="464"/>
      <c r="O537" s="587"/>
      <c r="P537" s="587"/>
      <c r="Q537" s="587"/>
    </row>
    <row r="538" spans="11:17" s="461" customFormat="1">
      <c r="K538" s="464"/>
      <c r="O538" s="587"/>
      <c r="P538" s="587"/>
      <c r="Q538" s="587"/>
    </row>
    <row r="539" spans="11:17" s="461" customFormat="1">
      <c r="K539" s="464"/>
      <c r="O539" s="587"/>
      <c r="P539" s="587"/>
      <c r="Q539" s="587"/>
    </row>
    <row r="540" spans="11:17" s="461" customFormat="1">
      <c r="K540" s="464"/>
      <c r="O540" s="587"/>
      <c r="P540" s="587"/>
      <c r="Q540" s="587"/>
    </row>
    <row r="541" spans="11:17" s="461" customFormat="1">
      <c r="K541" s="464"/>
      <c r="O541" s="587"/>
      <c r="P541" s="587"/>
      <c r="Q541" s="587"/>
    </row>
    <row r="542" spans="11:17" s="461" customFormat="1">
      <c r="K542" s="464"/>
      <c r="O542" s="587"/>
      <c r="P542" s="587"/>
      <c r="Q542" s="587"/>
    </row>
    <row r="543" spans="11:17" s="461" customFormat="1">
      <c r="K543" s="464"/>
      <c r="O543" s="587"/>
      <c r="P543" s="587"/>
      <c r="Q543" s="587"/>
    </row>
    <row r="544" spans="11:17" s="461" customFormat="1">
      <c r="K544" s="464"/>
      <c r="O544" s="587"/>
      <c r="P544" s="587"/>
      <c r="Q544" s="587"/>
    </row>
    <row r="545" spans="11:17" s="461" customFormat="1">
      <c r="K545" s="464"/>
      <c r="O545" s="587"/>
      <c r="P545" s="587"/>
      <c r="Q545" s="587"/>
    </row>
    <row r="546" spans="11:17" s="461" customFormat="1">
      <c r="K546" s="464"/>
      <c r="O546" s="587"/>
      <c r="P546" s="587"/>
      <c r="Q546" s="587"/>
    </row>
    <row r="547" spans="11:17" s="461" customFormat="1">
      <c r="K547" s="464"/>
      <c r="O547" s="587"/>
      <c r="P547" s="587"/>
      <c r="Q547" s="587"/>
    </row>
    <row r="548" spans="11:17" s="461" customFormat="1">
      <c r="K548" s="464"/>
      <c r="O548" s="587"/>
      <c r="P548" s="587"/>
      <c r="Q548" s="587"/>
    </row>
    <row r="549" spans="11:17" s="461" customFormat="1">
      <c r="K549" s="464"/>
      <c r="O549" s="587"/>
      <c r="P549" s="587"/>
      <c r="Q549" s="587"/>
    </row>
    <row r="550" spans="11:17" s="461" customFormat="1">
      <c r="K550" s="464"/>
      <c r="O550" s="587"/>
      <c r="P550" s="587"/>
      <c r="Q550" s="587"/>
    </row>
    <row r="551" spans="11:17" s="461" customFormat="1">
      <c r="K551" s="464"/>
      <c r="O551" s="587"/>
      <c r="P551" s="587"/>
      <c r="Q551" s="587"/>
    </row>
    <row r="552" spans="11:17" s="461" customFormat="1">
      <c r="K552" s="464"/>
      <c r="O552" s="587"/>
      <c r="P552" s="587"/>
      <c r="Q552" s="587"/>
    </row>
    <row r="553" spans="11:17" s="461" customFormat="1">
      <c r="K553" s="464"/>
      <c r="O553" s="587"/>
      <c r="P553" s="587"/>
      <c r="Q553" s="587"/>
    </row>
    <row r="554" spans="11:17" s="461" customFormat="1">
      <c r="K554" s="464"/>
      <c r="O554" s="587"/>
      <c r="P554" s="587"/>
      <c r="Q554" s="587"/>
    </row>
    <row r="555" spans="11:17" s="461" customFormat="1">
      <c r="K555" s="464"/>
      <c r="O555" s="587"/>
      <c r="P555" s="587"/>
      <c r="Q555" s="587"/>
    </row>
    <row r="556" spans="11:17" s="461" customFormat="1">
      <c r="K556" s="464"/>
      <c r="O556" s="587"/>
      <c r="P556" s="587"/>
      <c r="Q556" s="587"/>
    </row>
    <row r="557" spans="11:17" s="461" customFormat="1">
      <c r="K557" s="464"/>
      <c r="O557" s="587"/>
      <c r="P557" s="587"/>
      <c r="Q557" s="587"/>
    </row>
    <row r="558" spans="11:17" s="461" customFormat="1">
      <c r="K558" s="464"/>
      <c r="O558" s="587"/>
      <c r="P558" s="587"/>
      <c r="Q558" s="587"/>
    </row>
    <row r="559" spans="11:17" s="461" customFormat="1">
      <c r="K559" s="464"/>
      <c r="O559" s="587"/>
      <c r="P559" s="587"/>
      <c r="Q559" s="587"/>
    </row>
    <row r="560" spans="11:17" s="461" customFormat="1">
      <c r="K560" s="464"/>
      <c r="O560" s="587"/>
      <c r="P560" s="587"/>
      <c r="Q560" s="587"/>
    </row>
    <row r="561" spans="11:17" s="461" customFormat="1">
      <c r="K561" s="464"/>
      <c r="O561" s="587"/>
      <c r="P561" s="587"/>
      <c r="Q561" s="587"/>
    </row>
    <row r="562" spans="11:17" s="461" customFormat="1">
      <c r="K562" s="464"/>
      <c r="O562" s="587"/>
      <c r="P562" s="587"/>
      <c r="Q562" s="587"/>
    </row>
    <row r="563" spans="11:17" s="461" customFormat="1">
      <c r="K563" s="464"/>
      <c r="O563" s="587"/>
      <c r="P563" s="587"/>
      <c r="Q563" s="587"/>
    </row>
    <row r="564" spans="11:17" s="461" customFormat="1">
      <c r="K564" s="464"/>
      <c r="O564" s="587"/>
      <c r="P564" s="587"/>
      <c r="Q564" s="587"/>
    </row>
    <row r="565" spans="11:17" s="461" customFormat="1">
      <c r="K565" s="464"/>
      <c r="O565" s="587"/>
      <c r="P565" s="587"/>
      <c r="Q565" s="587"/>
    </row>
    <row r="566" spans="11:17" s="461" customFormat="1">
      <c r="K566" s="464"/>
      <c r="O566" s="587"/>
      <c r="P566" s="587"/>
      <c r="Q566" s="587"/>
    </row>
    <row r="567" spans="11:17" s="461" customFormat="1">
      <c r="K567" s="464"/>
      <c r="O567" s="587"/>
      <c r="P567" s="587"/>
      <c r="Q567" s="587"/>
    </row>
    <row r="568" spans="11:17" s="461" customFormat="1">
      <c r="K568" s="464"/>
      <c r="O568" s="587"/>
      <c r="P568" s="587"/>
      <c r="Q568" s="587"/>
    </row>
    <row r="569" spans="11:17" s="461" customFormat="1">
      <c r="K569" s="464"/>
      <c r="O569" s="587"/>
      <c r="P569" s="587"/>
      <c r="Q569" s="587"/>
    </row>
    <row r="570" spans="11:17" s="461" customFormat="1">
      <c r="K570" s="464"/>
      <c r="O570" s="587"/>
      <c r="P570" s="587"/>
      <c r="Q570" s="587"/>
    </row>
    <row r="571" spans="11:17" s="461" customFormat="1">
      <c r="K571" s="464"/>
      <c r="O571" s="587"/>
      <c r="P571" s="587"/>
      <c r="Q571" s="587"/>
    </row>
    <row r="572" spans="11:17" s="461" customFormat="1">
      <c r="K572" s="464"/>
      <c r="O572" s="587"/>
      <c r="P572" s="587"/>
      <c r="Q572" s="587"/>
    </row>
    <row r="573" spans="11:17" s="461" customFormat="1">
      <c r="K573" s="464"/>
      <c r="O573" s="587"/>
      <c r="P573" s="587"/>
      <c r="Q573" s="587"/>
    </row>
    <row r="574" spans="11:17" s="461" customFormat="1">
      <c r="K574" s="464"/>
      <c r="O574" s="587"/>
      <c r="P574" s="587"/>
      <c r="Q574" s="587"/>
    </row>
    <row r="575" spans="11:17" s="461" customFormat="1">
      <c r="K575" s="464"/>
      <c r="O575" s="587"/>
      <c r="P575" s="587"/>
      <c r="Q575" s="587"/>
    </row>
    <row r="576" spans="11:17" s="461" customFormat="1">
      <c r="K576" s="464"/>
      <c r="O576" s="587"/>
      <c r="P576" s="587"/>
      <c r="Q576" s="587"/>
    </row>
    <row r="577" spans="11:17" s="461" customFormat="1">
      <c r="K577" s="464"/>
      <c r="O577" s="587"/>
      <c r="P577" s="587"/>
      <c r="Q577" s="587"/>
    </row>
    <row r="578" spans="11:17" s="461" customFormat="1">
      <c r="K578" s="464"/>
      <c r="O578" s="587"/>
      <c r="P578" s="587"/>
      <c r="Q578" s="587"/>
    </row>
    <row r="579" spans="11:17" s="461" customFormat="1">
      <c r="K579" s="464"/>
      <c r="O579" s="587"/>
      <c r="P579" s="587"/>
      <c r="Q579" s="587"/>
    </row>
    <row r="580" spans="11:17" s="461" customFormat="1">
      <c r="K580" s="464"/>
      <c r="O580" s="587"/>
      <c r="P580" s="587"/>
      <c r="Q580" s="587"/>
    </row>
    <row r="581" spans="11:17" s="461" customFormat="1">
      <c r="K581" s="464"/>
      <c r="O581" s="587"/>
      <c r="P581" s="587"/>
      <c r="Q581" s="587"/>
    </row>
    <row r="582" spans="11:17" s="461" customFormat="1">
      <c r="K582" s="464"/>
      <c r="O582" s="587"/>
      <c r="P582" s="587"/>
      <c r="Q582" s="587"/>
    </row>
    <row r="583" spans="11:17" s="461" customFormat="1">
      <c r="K583" s="464"/>
      <c r="O583" s="587"/>
      <c r="P583" s="587"/>
      <c r="Q583" s="587"/>
    </row>
    <row r="584" spans="11:17" s="461" customFormat="1">
      <c r="K584" s="464"/>
      <c r="O584" s="587"/>
      <c r="P584" s="587"/>
      <c r="Q584" s="587"/>
    </row>
    <row r="585" spans="11:17" s="461" customFormat="1">
      <c r="K585" s="464"/>
      <c r="O585" s="587"/>
      <c r="P585" s="587"/>
      <c r="Q585" s="587"/>
    </row>
    <row r="586" spans="11:17" s="461" customFormat="1">
      <c r="K586" s="464"/>
      <c r="O586" s="587"/>
      <c r="P586" s="587"/>
      <c r="Q586" s="587"/>
    </row>
    <row r="587" spans="11:17" s="461" customFormat="1">
      <c r="K587" s="464"/>
      <c r="O587" s="587"/>
      <c r="P587" s="587"/>
      <c r="Q587" s="587"/>
    </row>
    <row r="588" spans="11:17" s="461" customFormat="1">
      <c r="K588" s="464"/>
      <c r="O588" s="587"/>
      <c r="P588" s="587"/>
      <c r="Q588" s="587"/>
    </row>
    <row r="589" spans="11:17" s="461" customFormat="1">
      <c r="K589" s="464"/>
      <c r="O589" s="587"/>
      <c r="P589" s="587"/>
      <c r="Q589" s="587"/>
    </row>
    <row r="590" spans="11:17" s="461" customFormat="1">
      <c r="K590" s="464"/>
      <c r="O590" s="587"/>
      <c r="P590" s="587"/>
      <c r="Q590" s="587"/>
    </row>
    <row r="591" spans="11:17" s="461" customFormat="1">
      <c r="K591" s="464"/>
      <c r="O591" s="587"/>
      <c r="P591" s="587"/>
      <c r="Q591" s="587"/>
    </row>
    <row r="592" spans="11:17" s="461" customFormat="1">
      <c r="K592" s="464"/>
      <c r="O592" s="587"/>
      <c r="P592" s="587"/>
      <c r="Q592" s="587"/>
    </row>
    <row r="593" spans="11:17" s="461" customFormat="1">
      <c r="K593" s="464"/>
      <c r="O593" s="587"/>
      <c r="P593" s="587"/>
      <c r="Q593" s="587"/>
    </row>
    <row r="594" spans="11:17" s="461" customFormat="1">
      <c r="K594" s="464"/>
      <c r="O594" s="587"/>
      <c r="P594" s="587"/>
      <c r="Q594" s="587"/>
    </row>
    <row r="595" spans="11:17" s="461" customFormat="1">
      <c r="K595" s="464"/>
      <c r="O595" s="587"/>
      <c r="P595" s="587"/>
      <c r="Q595" s="587"/>
    </row>
    <row r="596" spans="11:17" s="461" customFormat="1">
      <c r="K596" s="464"/>
      <c r="O596" s="587"/>
      <c r="P596" s="587"/>
      <c r="Q596" s="587"/>
    </row>
    <row r="597" spans="11:17" s="461" customFormat="1">
      <c r="K597" s="464"/>
      <c r="O597" s="587"/>
      <c r="P597" s="587"/>
      <c r="Q597" s="587"/>
    </row>
    <row r="598" spans="11:17" s="461" customFormat="1">
      <c r="K598" s="464"/>
      <c r="O598" s="587"/>
      <c r="P598" s="587"/>
      <c r="Q598" s="587"/>
    </row>
    <row r="599" spans="11:17" s="461" customFormat="1">
      <c r="K599" s="464"/>
      <c r="O599" s="587"/>
      <c r="P599" s="587"/>
      <c r="Q599" s="587"/>
    </row>
    <row r="600" spans="11:17" s="461" customFormat="1">
      <c r="K600" s="464"/>
      <c r="O600" s="587"/>
      <c r="P600" s="587"/>
      <c r="Q600" s="587"/>
    </row>
    <row r="601" spans="11:17" s="461" customFormat="1">
      <c r="K601" s="464"/>
      <c r="O601" s="587"/>
      <c r="P601" s="587"/>
      <c r="Q601" s="587"/>
    </row>
    <row r="602" spans="11:17" s="461" customFormat="1">
      <c r="K602" s="464"/>
      <c r="O602" s="587"/>
      <c r="P602" s="587"/>
      <c r="Q602" s="587"/>
    </row>
    <row r="603" spans="11:17" s="461" customFormat="1">
      <c r="K603" s="464"/>
      <c r="O603" s="587"/>
      <c r="P603" s="587"/>
      <c r="Q603" s="587"/>
    </row>
    <row r="604" spans="11:17" s="461" customFormat="1">
      <c r="K604" s="464"/>
      <c r="O604" s="587"/>
      <c r="P604" s="587"/>
      <c r="Q604" s="587"/>
    </row>
    <row r="605" spans="11:17" s="461" customFormat="1">
      <c r="K605" s="464"/>
      <c r="O605" s="587"/>
      <c r="P605" s="587"/>
      <c r="Q605" s="587"/>
    </row>
    <row r="606" spans="11:17" s="461" customFormat="1">
      <c r="K606" s="464"/>
      <c r="O606" s="587"/>
      <c r="P606" s="587"/>
      <c r="Q606" s="587"/>
    </row>
    <row r="607" spans="11:17" s="461" customFormat="1">
      <c r="K607" s="464"/>
      <c r="O607" s="587"/>
      <c r="P607" s="587"/>
      <c r="Q607" s="587"/>
    </row>
    <row r="608" spans="11:17" s="461" customFormat="1">
      <c r="K608" s="464"/>
      <c r="O608" s="587"/>
      <c r="P608" s="587"/>
      <c r="Q608" s="587"/>
    </row>
    <row r="609" spans="11:17" s="461" customFormat="1">
      <c r="K609" s="464"/>
      <c r="O609" s="587"/>
      <c r="P609" s="587"/>
      <c r="Q609" s="587"/>
    </row>
    <row r="610" spans="11:17" s="461" customFormat="1">
      <c r="K610" s="464"/>
      <c r="O610" s="587"/>
      <c r="P610" s="587"/>
      <c r="Q610" s="587"/>
    </row>
    <row r="611" spans="11:17" s="461" customFormat="1">
      <c r="K611" s="464"/>
      <c r="O611" s="587"/>
      <c r="P611" s="587"/>
      <c r="Q611" s="587"/>
    </row>
    <row r="612" spans="11:17" s="461" customFormat="1">
      <c r="K612" s="464"/>
      <c r="O612" s="587"/>
      <c r="P612" s="587"/>
      <c r="Q612" s="587"/>
    </row>
    <row r="613" spans="11:17" s="461" customFormat="1">
      <c r="K613" s="464"/>
      <c r="O613" s="587"/>
      <c r="P613" s="587"/>
      <c r="Q613" s="587"/>
    </row>
    <row r="614" spans="11:17" s="461" customFormat="1">
      <c r="K614" s="464"/>
      <c r="O614" s="587"/>
      <c r="P614" s="587"/>
      <c r="Q614" s="587"/>
    </row>
    <row r="615" spans="11:17" s="461" customFormat="1">
      <c r="K615" s="464"/>
      <c r="O615" s="587"/>
      <c r="P615" s="587"/>
      <c r="Q615" s="587"/>
    </row>
    <row r="616" spans="11:17" s="461" customFormat="1">
      <c r="K616" s="464"/>
      <c r="O616" s="587"/>
      <c r="P616" s="587"/>
      <c r="Q616" s="587"/>
    </row>
    <row r="617" spans="11:17" s="461" customFormat="1">
      <c r="K617" s="464"/>
      <c r="O617" s="587"/>
      <c r="P617" s="587"/>
      <c r="Q617" s="587"/>
    </row>
    <row r="618" spans="11:17" s="461" customFormat="1">
      <c r="K618" s="464"/>
      <c r="O618" s="587"/>
      <c r="P618" s="587"/>
      <c r="Q618" s="587"/>
    </row>
    <row r="619" spans="11:17" s="461" customFormat="1">
      <c r="K619" s="464"/>
      <c r="O619" s="587"/>
      <c r="P619" s="587"/>
      <c r="Q619" s="587"/>
    </row>
    <row r="620" spans="11:17" s="461" customFormat="1">
      <c r="K620" s="464"/>
      <c r="O620" s="587"/>
      <c r="P620" s="587"/>
      <c r="Q620" s="587"/>
    </row>
    <row r="621" spans="11:17" s="461" customFormat="1">
      <c r="K621" s="464"/>
      <c r="O621" s="587"/>
      <c r="P621" s="587"/>
      <c r="Q621" s="587"/>
    </row>
    <row r="622" spans="11:17" s="461" customFormat="1">
      <c r="K622" s="464"/>
      <c r="O622" s="587"/>
      <c r="P622" s="587"/>
      <c r="Q622" s="587"/>
    </row>
    <row r="623" spans="11:17" s="461" customFormat="1">
      <c r="K623" s="464"/>
      <c r="O623" s="587"/>
      <c r="P623" s="587"/>
      <c r="Q623" s="587"/>
    </row>
    <row r="624" spans="11:17" s="461" customFormat="1">
      <c r="K624" s="464"/>
      <c r="O624" s="587"/>
      <c r="P624" s="587"/>
      <c r="Q624" s="587"/>
    </row>
    <row r="625" spans="11:17" s="461" customFormat="1">
      <c r="K625" s="464"/>
      <c r="O625" s="587"/>
      <c r="P625" s="587"/>
      <c r="Q625" s="587"/>
    </row>
    <row r="626" spans="11:17" s="461" customFormat="1">
      <c r="K626" s="464"/>
      <c r="O626" s="587"/>
      <c r="P626" s="587"/>
      <c r="Q626" s="587"/>
    </row>
    <row r="627" spans="11:17" s="461" customFormat="1">
      <c r="K627" s="464"/>
      <c r="O627" s="587"/>
      <c r="P627" s="587"/>
      <c r="Q627" s="587"/>
    </row>
    <row r="628" spans="11:17" s="461" customFormat="1">
      <c r="K628" s="464"/>
      <c r="O628" s="587"/>
      <c r="P628" s="587"/>
      <c r="Q628" s="587"/>
    </row>
    <row r="629" spans="11:17" s="461" customFormat="1">
      <c r="K629" s="464"/>
      <c r="O629" s="587"/>
      <c r="P629" s="587"/>
      <c r="Q629" s="587"/>
    </row>
    <row r="630" spans="11:17" s="461" customFormat="1">
      <c r="K630" s="464"/>
      <c r="O630" s="587"/>
      <c r="P630" s="587"/>
      <c r="Q630" s="587"/>
    </row>
    <row r="631" spans="11:17" s="461" customFormat="1">
      <c r="K631" s="464"/>
      <c r="O631" s="587"/>
      <c r="P631" s="587"/>
      <c r="Q631" s="587"/>
    </row>
    <row r="632" spans="11:17" s="461" customFormat="1">
      <c r="K632" s="464"/>
      <c r="O632" s="587"/>
      <c r="P632" s="587"/>
      <c r="Q632" s="587"/>
    </row>
    <row r="633" spans="11:17" s="461" customFormat="1">
      <c r="K633" s="464"/>
      <c r="O633" s="587"/>
      <c r="P633" s="587"/>
      <c r="Q633" s="587"/>
    </row>
    <row r="634" spans="11:17" s="461" customFormat="1">
      <c r="K634" s="464"/>
      <c r="O634" s="587"/>
      <c r="P634" s="587"/>
      <c r="Q634" s="587"/>
    </row>
    <row r="635" spans="11:17" s="461" customFormat="1">
      <c r="K635" s="464"/>
      <c r="O635" s="587"/>
      <c r="P635" s="587"/>
      <c r="Q635" s="587"/>
    </row>
    <row r="636" spans="11:17" s="461" customFormat="1">
      <c r="K636" s="464"/>
      <c r="O636" s="587"/>
      <c r="P636" s="587"/>
      <c r="Q636" s="587"/>
    </row>
    <row r="637" spans="11:17" s="461" customFormat="1">
      <c r="K637" s="464"/>
      <c r="O637" s="587"/>
      <c r="P637" s="587"/>
      <c r="Q637" s="587"/>
    </row>
    <row r="638" spans="11:17" s="461" customFormat="1">
      <c r="K638" s="464"/>
      <c r="O638" s="587"/>
      <c r="P638" s="587"/>
      <c r="Q638" s="587"/>
    </row>
    <row r="639" spans="11:17" s="461" customFormat="1">
      <c r="K639" s="464"/>
      <c r="O639" s="587"/>
      <c r="P639" s="587"/>
      <c r="Q639" s="587"/>
    </row>
    <row r="640" spans="11:17" s="461" customFormat="1">
      <c r="K640" s="464"/>
      <c r="O640" s="587"/>
      <c r="P640" s="587"/>
      <c r="Q640" s="587"/>
    </row>
    <row r="641" spans="11:17" s="461" customFormat="1">
      <c r="K641" s="464"/>
      <c r="O641" s="587"/>
      <c r="P641" s="587"/>
      <c r="Q641" s="587"/>
    </row>
    <row r="642" spans="11:17" s="461" customFormat="1">
      <c r="K642" s="464"/>
      <c r="O642" s="587"/>
      <c r="P642" s="587"/>
      <c r="Q642" s="587"/>
    </row>
    <row r="643" spans="11:17" s="461" customFormat="1">
      <c r="K643" s="464"/>
      <c r="O643" s="587"/>
      <c r="P643" s="587"/>
      <c r="Q643" s="587"/>
    </row>
    <row r="644" spans="11:17" s="461" customFormat="1">
      <c r="K644" s="464"/>
      <c r="O644" s="587"/>
      <c r="P644" s="587"/>
      <c r="Q644" s="587"/>
    </row>
    <row r="645" spans="11:17" s="461" customFormat="1">
      <c r="K645" s="464"/>
      <c r="O645" s="587"/>
      <c r="P645" s="587"/>
      <c r="Q645" s="587"/>
    </row>
    <row r="646" spans="11:17" s="461" customFormat="1">
      <c r="K646" s="464"/>
      <c r="O646" s="587"/>
      <c r="P646" s="587"/>
      <c r="Q646" s="587"/>
    </row>
    <row r="647" spans="11:17" s="461" customFormat="1">
      <c r="K647" s="464"/>
      <c r="O647" s="587"/>
      <c r="P647" s="587"/>
      <c r="Q647" s="587"/>
    </row>
    <row r="648" spans="11:17" s="461" customFormat="1">
      <c r="K648" s="464"/>
      <c r="O648" s="587"/>
      <c r="P648" s="587"/>
      <c r="Q648" s="587"/>
    </row>
    <row r="649" spans="11:17" s="461" customFormat="1">
      <c r="K649" s="464"/>
      <c r="O649" s="587"/>
      <c r="P649" s="587"/>
      <c r="Q649" s="587"/>
    </row>
    <row r="650" spans="11:17" s="461" customFormat="1">
      <c r="K650" s="464"/>
      <c r="O650" s="587"/>
      <c r="P650" s="587"/>
      <c r="Q650" s="587"/>
    </row>
    <row r="651" spans="11:17" s="461" customFormat="1">
      <c r="K651" s="464"/>
      <c r="O651" s="587"/>
      <c r="P651" s="587"/>
      <c r="Q651" s="587"/>
    </row>
    <row r="652" spans="11:17" s="461" customFormat="1">
      <c r="K652" s="464"/>
      <c r="O652" s="587"/>
      <c r="P652" s="587"/>
      <c r="Q652" s="587"/>
    </row>
    <row r="653" spans="11:17" s="461" customFormat="1">
      <c r="K653" s="464"/>
      <c r="O653" s="587"/>
      <c r="P653" s="587"/>
      <c r="Q653" s="587"/>
    </row>
    <row r="654" spans="11:17" s="461" customFormat="1">
      <c r="K654" s="464"/>
      <c r="O654" s="587"/>
      <c r="P654" s="587"/>
      <c r="Q654" s="587"/>
    </row>
    <row r="655" spans="11:17" s="461" customFormat="1">
      <c r="K655" s="464"/>
      <c r="O655" s="587"/>
      <c r="P655" s="587"/>
      <c r="Q655" s="587"/>
    </row>
    <row r="656" spans="11:17" s="461" customFormat="1">
      <c r="K656" s="464"/>
      <c r="O656" s="587"/>
      <c r="P656" s="587"/>
      <c r="Q656" s="587"/>
    </row>
    <row r="657" spans="11:17" s="461" customFormat="1">
      <c r="K657" s="464"/>
      <c r="O657" s="587"/>
      <c r="P657" s="587"/>
      <c r="Q657" s="587"/>
    </row>
    <row r="658" spans="11:17" s="461" customFormat="1">
      <c r="K658" s="464"/>
      <c r="O658" s="587"/>
      <c r="P658" s="587"/>
      <c r="Q658" s="587"/>
    </row>
    <row r="659" spans="11:17" s="461" customFormat="1">
      <c r="K659" s="464"/>
      <c r="O659" s="587"/>
      <c r="P659" s="587"/>
      <c r="Q659" s="587"/>
    </row>
    <row r="660" spans="11:17" s="461" customFormat="1">
      <c r="K660" s="464"/>
      <c r="O660" s="587"/>
      <c r="P660" s="587"/>
      <c r="Q660" s="587"/>
    </row>
    <row r="661" spans="11:17" s="461" customFormat="1">
      <c r="K661" s="464"/>
      <c r="O661" s="587"/>
      <c r="P661" s="587"/>
      <c r="Q661" s="587"/>
    </row>
    <row r="662" spans="11:17" s="461" customFormat="1">
      <c r="K662" s="464"/>
      <c r="O662" s="587"/>
      <c r="P662" s="587"/>
      <c r="Q662" s="587"/>
    </row>
    <row r="663" spans="11:17" s="461" customFormat="1">
      <c r="K663" s="464"/>
      <c r="O663" s="587"/>
      <c r="P663" s="587"/>
      <c r="Q663" s="587"/>
    </row>
    <row r="664" spans="11:17" s="461" customFormat="1">
      <c r="K664" s="464"/>
      <c r="O664" s="587"/>
      <c r="P664" s="587"/>
      <c r="Q664" s="587"/>
    </row>
    <row r="665" spans="11:17" s="461" customFormat="1">
      <c r="K665" s="464"/>
      <c r="O665" s="587"/>
      <c r="P665" s="587"/>
      <c r="Q665" s="587"/>
    </row>
    <row r="666" spans="11:17" s="461" customFormat="1">
      <c r="K666" s="464"/>
      <c r="O666" s="587"/>
      <c r="P666" s="587"/>
      <c r="Q666" s="587"/>
    </row>
    <row r="667" spans="11:17" s="461" customFormat="1">
      <c r="K667" s="464"/>
      <c r="O667" s="587"/>
      <c r="P667" s="587"/>
      <c r="Q667" s="587"/>
    </row>
    <row r="668" spans="11:17" s="461" customFormat="1">
      <c r="K668" s="464"/>
      <c r="O668" s="587"/>
      <c r="P668" s="587"/>
      <c r="Q668" s="587"/>
    </row>
    <row r="669" spans="11:17" s="461" customFormat="1">
      <c r="K669" s="464"/>
      <c r="O669" s="587"/>
      <c r="P669" s="587"/>
      <c r="Q669" s="587"/>
    </row>
    <row r="670" spans="11:17" s="461" customFormat="1">
      <c r="K670" s="464"/>
      <c r="O670" s="587"/>
      <c r="P670" s="587"/>
      <c r="Q670" s="587"/>
    </row>
    <row r="671" spans="11:17" s="461" customFormat="1">
      <c r="K671" s="464"/>
      <c r="O671" s="587"/>
      <c r="P671" s="587"/>
      <c r="Q671" s="587"/>
    </row>
    <row r="672" spans="11:17" s="461" customFormat="1">
      <c r="K672" s="464"/>
      <c r="O672" s="587"/>
      <c r="P672" s="587"/>
      <c r="Q672" s="587"/>
    </row>
    <row r="673" spans="11:17" s="461" customFormat="1">
      <c r="K673" s="464"/>
      <c r="O673" s="587"/>
      <c r="P673" s="587"/>
      <c r="Q673" s="587"/>
    </row>
    <row r="674" spans="11:17" s="461" customFormat="1">
      <c r="K674" s="464"/>
      <c r="O674" s="587"/>
      <c r="P674" s="587"/>
      <c r="Q674" s="587"/>
    </row>
    <row r="675" spans="11:17" s="461" customFormat="1">
      <c r="K675" s="464"/>
      <c r="O675" s="587"/>
      <c r="P675" s="587"/>
      <c r="Q675" s="587"/>
    </row>
    <row r="676" spans="11:17" s="461" customFormat="1">
      <c r="K676" s="464"/>
      <c r="O676" s="587"/>
      <c r="P676" s="587"/>
      <c r="Q676" s="587"/>
    </row>
    <row r="677" spans="11:17" s="461" customFormat="1">
      <c r="K677" s="464"/>
      <c r="O677" s="587"/>
      <c r="P677" s="587"/>
      <c r="Q677" s="587"/>
    </row>
    <row r="678" spans="11:17" s="461" customFormat="1">
      <c r="K678" s="464"/>
      <c r="O678" s="587"/>
      <c r="P678" s="587"/>
      <c r="Q678" s="587"/>
    </row>
    <row r="679" spans="11:17" s="461" customFormat="1">
      <c r="K679" s="464"/>
      <c r="O679" s="587"/>
      <c r="P679" s="587"/>
      <c r="Q679" s="587"/>
    </row>
    <row r="680" spans="11:17" s="461" customFormat="1">
      <c r="K680" s="464"/>
      <c r="O680" s="587"/>
      <c r="P680" s="587"/>
      <c r="Q680" s="587"/>
    </row>
    <row r="681" spans="11:17" s="461" customFormat="1">
      <c r="K681" s="464"/>
      <c r="O681" s="587"/>
      <c r="P681" s="587"/>
      <c r="Q681" s="587"/>
    </row>
    <row r="682" spans="11:17" s="461" customFormat="1">
      <c r="K682" s="464"/>
      <c r="O682" s="587"/>
      <c r="P682" s="587"/>
      <c r="Q682" s="587"/>
    </row>
    <row r="683" spans="11:17" s="461" customFormat="1">
      <c r="K683" s="464"/>
      <c r="O683" s="587"/>
      <c r="P683" s="587"/>
      <c r="Q683" s="587"/>
    </row>
    <row r="684" spans="11:17" s="461" customFormat="1">
      <c r="K684" s="464"/>
      <c r="O684" s="587"/>
      <c r="P684" s="587"/>
      <c r="Q684" s="587"/>
    </row>
    <row r="685" spans="11:17" s="461" customFormat="1">
      <c r="K685" s="464"/>
      <c r="O685" s="587"/>
      <c r="P685" s="587"/>
      <c r="Q685" s="587"/>
    </row>
    <row r="686" spans="11:17" s="461" customFormat="1">
      <c r="K686" s="464"/>
      <c r="O686" s="587"/>
      <c r="P686" s="587"/>
      <c r="Q686" s="587"/>
    </row>
    <row r="687" spans="11:17" s="461" customFormat="1">
      <c r="K687" s="464"/>
      <c r="O687" s="587"/>
      <c r="P687" s="587"/>
      <c r="Q687" s="587"/>
    </row>
    <row r="688" spans="11:17" s="461" customFormat="1">
      <c r="K688" s="464"/>
      <c r="O688" s="587"/>
      <c r="P688" s="587"/>
      <c r="Q688" s="587"/>
    </row>
    <row r="689" spans="11:17" s="461" customFormat="1">
      <c r="K689" s="464"/>
      <c r="O689" s="587"/>
      <c r="P689" s="587"/>
      <c r="Q689" s="587"/>
    </row>
    <row r="690" spans="11:17" s="461" customFormat="1">
      <c r="K690" s="464"/>
      <c r="O690" s="587"/>
      <c r="P690" s="587"/>
      <c r="Q690" s="587"/>
    </row>
    <row r="691" spans="11:17" s="461" customFormat="1">
      <c r="K691" s="464"/>
      <c r="O691" s="587"/>
      <c r="P691" s="587"/>
      <c r="Q691" s="587"/>
    </row>
    <row r="692" spans="11:17" s="461" customFormat="1">
      <c r="K692" s="464"/>
      <c r="O692" s="587"/>
      <c r="P692" s="587"/>
      <c r="Q692" s="587"/>
    </row>
    <row r="693" spans="11:17" s="461" customFormat="1">
      <c r="K693" s="464"/>
      <c r="O693" s="587"/>
      <c r="P693" s="587"/>
      <c r="Q693" s="587"/>
    </row>
    <row r="694" spans="11:17" s="461" customFormat="1">
      <c r="K694" s="464"/>
      <c r="O694" s="587"/>
      <c r="P694" s="587"/>
      <c r="Q694" s="587"/>
    </row>
    <row r="695" spans="11:17" s="461" customFormat="1">
      <c r="K695" s="464"/>
      <c r="O695" s="587"/>
      <c r="P695" s="587"/>
      <c r="Q695" s="587"/>
    </row>
    <row r="696" spans="11:17" s="461" customFormat="1">
      <c r="K696" s="464"/>
      <c r="O696" s="587"/>
      <c r="P696" s="587"/>
      <c r="Q696" s="587"/>
    </row>
    <row r="697" spans="11:17" s="461" customFormat="1">
      <c r="K697" s="464"/>
      <c r="O697" s="587"/>
      <c r="P697" s="587"/>
      <c r="Q697" s="587"/>
    </row>
    <row r="698" spans="11:17" s="461" customFormat="1">
      <c r="K698" s="464"/>
      <c r="O698" s="587"/>
      <c r="P698" s="587"/>
      <c r="Q698" s="587"/>
    </row>
    <row r="699" spans="11:17" s="461" customFormat="1">
      <c r="K699" s="464"/>
      <c r="O699" s="587"/>
      <c r="P699" s="587"/>
      <c r="Q699" s="587"/>
    </row>
    <row r="700" spans="11:17" s="461" customFormat="1">
      <c r="K700" s="464"/>
      <c r="O700" s="587"/>
      <c r="P700" s="587"/>
      <c r="Q700" s="587"/>
    </row>
    <row r="701" spans="11:17" s="461" customFormat="1">
      <c r="K701" s="464"/>
      <c r="O701" s="587"/>
      <c r="P701" s="587"/>
      <c r="Q701" s="587"/>
    </row>
    <row r="702" spans="11:17" s="461" customFormat="1">
      <c r="K702" s="464"/>
      <c r="O702" s="587"/>
      <c r="P702" s="587"/>
      <c r="Q702" s="587"/>
    </row>
    <row r="703" spans="11:17" s="461" customFormat="1">
      <c r="K703" s="464"/>
      <c r="O703" s="587"/>
      <c r="P703" s="587"/>
      <c r="Q703" s="587"/>
    </row>
    <row r="704" spans="11:17" s="461" customFormat="1">
      <c r="K704" s="464"/>
      <c r="O704" s="587"/>
      <c r="P704" s="587"/>
      <c r="Q704" s="587"/>
    </row>
    <row r="705" spans="11:17" s="461" customFormat="1">
      <c r="K705" s="464"/>
      <c r="O705" s="587"/>
      <c r="P705" s="587"/>
      <c r="Q705" s="587"/>
    </row>
    <row r="706" spans="11:17" s="461" customFormat="1">
      <c r="K706" s="464"/>
      <c r="O706" s="587"/>
      <c r="P706" s="587"/>
      <c r="Q706" s="587"/>
    </row>
    <row r="707" spans="11:17" s="461" customFormat="1">
      <c r="K707" s="464"/>
      <c r="O707" s="587"/>
      <c r="P707" s="587"/>
      <c r="Q707" s="587"/>
    </row>
    <row r="708" spans="11:17" s="461" customFormat="1">
      <c r="K708" s="464"/>
      <c r="O708" s="587"/>
      <c r="P708" s="587"/>
      <c r="Q708" s="587"/>
    </row>
    <row r="709" spans="11:17" s="461" customFormat="1">
      <c r="K709" s="464"/>
      <c r="O709" s="587"/>
      <c r="P709" s="587"/>
      <c r="Q709" s="587"/>
    </row>
    <row r="710" spans="11:17" s="461" customFormat="1">
      <c r="K710" s="464"/>
      <c r="O710" s="587"/>
      <c r="P710" s="587"/>
      <c r="Q710" s="587"/>
    </row>
    <row r="711" spans="11:17" s="461" customFormat="1">
      <c r="K711" s="464"/>
      <c r="O711" s="587"/>
      <c r="P711" s="587"/>
      <c r="Q711" s="587"/>
    </row>
    <row r="712" spans="11:17" s="461" customFormat="1">
      <c r="K712" s="464"/>
      <c r="O712" s="587"/>
      <c r="P712" s="587"/>
      <c r="Q712" s="587"/>
    </row>
    <row r="713" spans="11:17" s="461" customFormat="1">
      <c r="K713" s="464"/>
      <c r="O713" s="587"/>
      <c r="P713" s="587"/>
      <c r="Q713" s="587"/>
    </row>
    <row r="714" spans="11:17" s="461" customFormat="1">
      <c r="K714" s="464"/>
      <c r="O714" s="587"/>
      <c r="P714" s="587"/>
      <c r="Q714" s="587"/>
    </row>
    <row r="715" spans="11:17" s="461" customFormat="1">
      <c r="K715" s="464"/>
      <c r="O715" s="587"/>
      <c r="P715" s="587"/>
      <c r="Q715" s="587"/>
    </row>
    <row r="716" spans="11:17" s="461" customFormat="1">
      <c r="K716" s="464"/>
      <c r="O716" s="587"/>
      <c r="P716" s="587"/>
      <c r="Q716" s="587"/>
    </row>
    <row r="717" spans="11:17" s="461" customFormat="1">
      <c r="K717" s="464"/>
      <c r="O717" s="587"/>
      <c r="P717" s="587"/>
      <c r="Q717" s="587"/>
    </row>
    <row r="718" spans="11:17" s="461" customFormat="1">
      <c r="K718" s="464"/>
      <c r="O718" s="587"/>
      <c r="P718" s="587"/>
      <c r="Q718" s="587"/>
    </row>
    <row r="719" spans="11:17" s="461" customFormat="1">
      <c r="K719" s="464"/>
      <c r="O719" s="587"/>
      <c r="P719" s="587"/>
      <c r="Q719" s="587"/>
    </row>
    <row r="720" spans="11:17" s="461" customFormat="1">
      <c r="K720" s="464"/>
      <c r="O720" s="587"/>
      <c r="P720" s="587"/>
      <c r="Q720" s="587"/>
    </row>
    <row r="721" spans="11:17" s="461" customFormat="1">
      <c r="K721" s="464"/>
      <c r="O721" s="587"/>
      <c r="P721" s="587"/>
      <c r="Q721" s="587"/>
    </row>
    <row r="722" spans="11:17" s="461" customFormat="1">
      <c r="K722" s="464"/>
      <c r="O722" s="587"/>
      <c r="P722" s="587"/>
      <c r="Q722" s="587"/>
    </row>
    <row r="723" spans="11:17" s="461" customFormat="1">
      <c r="K723" s="464"/>
      <c r="O723" s="587"/>
      <c r="P723" s="587"/>
      <c r="Q723" s="587"/>
    </row>
    <row r="724" spans="11:17" s="461" customFormat="1">
      <c r="K724" s="464"/>
      <c r="O724" s="587"/>
      <c r="P724" s="587"/>
      <c r="Q724" s="587"/>
    </row>
    <row r="725" spans="11:17" s="461" customFormat="1">
      <c r="K725" s="464"/>
      <c r="O725" s="587"/>
      <c r="P725" s="587"/>
      <c r="Q725" s="587"/>
    </row>
    <row r="726" spans="11:17" s="461" customFormat="1">
      <c r="K726" s="464"/>
      <c r="O726" s="587"/>
      <c r="P726" s="587"/>
      <c r="Q726" s="587"/>
    </row>
    <row r="727" spans="11:17" s="461" customFormat="1">
      <c r="K727" s="464"/>
      <c r="O727" s="587"/>
      <c r="P727" s="587"/>
      <c r="Q727" s="587"/>
    </row>
    <row r="728" spans="11:17" s="461" customFormat="1">
      <c r="K728" s="464"/>
      <c r="O728" s="587"/>
      <c r="P728" s="587"/>
      <c r="Q728" s="587"/>
    </row>
    <row r="729" spans="11:17" s="461" customFormat="1">
      <c r="K729" s="464"/>
      <c r="O729" s="587"/>
      <c r="P729" s="587"/>
      <c r="Q729" s="587"/>
    </row>
    <row r="730" spans="11:17" s="461" customFormat="1">
      <c r="K730" s="464"/>
      <c r="O730" s="587"/>
      <c r="P730" s="587"/>
      <c r="Q730" s="587"/>
    </row>
    <row r="731" spans="11:17" s="461" customFormat="1">
      <c r="K731" s="464"/>
      <c r="O731" s="587"/>
      <c r="P731" s="587"/>
      <c r="Q731" s="587"/>
    </row>
    <row r="732" spans="11:17" s="461" customFormat="1">
      <c r="K732" s="464"/>
      <c r="O732" s="587"/>
      <c r="P732" s="587"/>
      <c r="Q732" s="587"/>
    </row>
    <row r="733" spans="11:17" s="461" customFormat="1">
      <c r="K733" s="464"/>
      <c r="O733" s="587"/>
      <c r="P733" s="587"/>
      <c r="Q733" s="587"/>
    </row>
    <row r="734" spans="11:17" s="461" customFormat="1">
      <c r="K734" s="464"/>
      <c r="O734" s="587"/>
      <c r="P734" s="587"/>
      <c r="Q734" s="587"/>
    </row>
    <row r="735" spans="11:17" s="461" customFormat="1">
      <c r="K735" s="464"/>
      <c r="O735" s="587"/>
      <c r="P735" s="587"/>
      <c r="Q735" s="587"/>
    </row>
    <row r="736" spans="11:17" s="461" customFormat="1">
      <c r="K736" s="464"/>
      <c r="O736" s="587"/>
      <c r="P736" s="587"/>
      <c r="Q736" s="587"/>
    </row>
    <row r="737" spans="11:17" s="461" customFormat="1">
      <c r="K737" s="464"/>
      <c r="O737" s="587"/>
      <c r="P737" s="587"/>
      <c r="Q737" s="587"/>
    </row>
    <row r="738" spans="11:17" s="461" customFormat="1">
      <c r="K738" s="464"/>
      <c r="O738" s="587"/>
      <c r="P738" s="587"/>
      <c r="Q738" s="587"/>
    </row>
    <row r="739" spans="11:17" s="461" customFormat="1">
      <c r="K739" s="464"/>
      <c r="O739" s="587"/>
      <c r="P739" s="587"/>
      <c r="Q739" s="587"/>
    </row>
    <row r="740" spans="11:17" s="461" customFormat="1">
      <c r="K740" s="464"/>
      <c r="O740" s="587"/>
      <c r="P740" s="587"/>
      <c r="Q740" s="587"/>
    </row>
    <row r="741" spans="11:17" s="461" customFormat="1">
      <c r="K741" s="464"/>
      <c r="O741" s="587"/>
      <c r="P741" s="587"/>
      <c r="Q741" s="587"/>
    </row>
    <row r="742" spans="11:17" s="461" customFormat="1">
      <c r="K742" s="464"/>
      <c r="O742" s="587"/>
      <c r="P742" s="587"/>
      <c r="Q742" s="587"/>
    </row>
    <row r="743" spans="11:17" s="461" customFormat="1">
      <c r="K743" s="464"/>
      <c r="O743" s="587"/>
      <c r="P743" s="587"/>
      <c r="Q743" s="587"/>
    </row>
    <row r="744" spans="11:17" s="461" customFormat="1">
      <c r="K744" s="464"/>
      <c r="O744" s="587"/>
      <c r="P744" s="587"/>
      <c r="Q744" s="587"/>
    </row>
    <row r="745" spans="11:17" s="461" customFormat="1">
      <c r="K745" s="464"/>
      <c r="O745" s="587"/>
      <c r="P745" s="587"/>
      <c r="Q745" s="587"/>
    </row>
    <row r="746" spans="11:17" s="461" customFormat="1">
      <c r="K746" s="464"/>
      <c r="O746" s="587"/>
      <c r="P746" s="587"/>
      <c r="Q746" s="587"/>
    </row>
    <row r="747" spans="11:17" s="461" customFormat="1">
      <c r="K747" s="464"/>
      <c r="O747" s="587"/>
      <c r="P747" s="587"/>
      <c r="Q747" s="587"/>
    </row>
    <row r="748" spans="11:17" s="461" customFormat="1">
      <c r="K748" s="464"/>
      <c r="O748" s="587"/>
      <c r="P748" s="587"/>
      <c r="Q748" s="587"/>
    </row>
    <row r="749" spans="11:17" s="461" customFormat="1">
      <c r="K749" s="464"/>
      <c r="O749" s="587"/>
      <c r="P749" s="587"/>
      <c r="Q749" s="587"/>
    </row>
    <row r="750" spans="11:17" s="461" customFormat="1">
      <c r="K750" s="464"/>
      <c r="O750" s="587"/>
      <c r="P750" s="587"/>
      <c r="Q750" s="587"/>
    </row>
    <row r="751" spans="11:17" s="461" customFormat="1">
      <c r="K751" s="464"/>
      <c r="O751" s="587"/>
      <c r="P751" s="587"/>
      <c r="Q751" s="587"/>
    </row>
    <row r="752" spans="11:17" s="461" customFormat="1">
      <c r="K752" s="464"/>
      <c r="O752" s="587"/>
      <c r="P752" s="587"/>
      <c r="Q752" s="587"/>
    </row>
    <row r="753" spans="11:17" s="461" customFormat="1">
      <c r="K753" s="464"/>
      <c r="O753" s="587"/>
      <c r="P753" s="587"/>
      <c r="Q753" s="587"/>
    </row>
    <row r="754" spans="11:17" s="461" customFormat="1">
      <c r="K754" s="464"/>
      <c r="O754" s="587"/>
      <c r="P754" s="587"/>
      <c r="Q754" s="587"/>
    </row>
    <row r="755" spans="11:17" s="461" customFormat="1">
      <c r="K755" s="464"/>
      <c r="O755" s="587"/>
      <c r="P755" s="587"/>
      <c r="Q755" s="587"/>
    </row>
    <row r="756" spans="11:17" s="461" customFormat="1">
      <c r="K756" s="464"/>
      <c r="O756" s="587"/>
      <c r="P756" s="587"/>
      <c r="Q756" s="587"/>
    </row>
    <row r="757" spans="11:17" s="461" customFormat="1">
      <c r="K757" s="464"/>
      <c r="O757" s="587"/>
      <c r="P757" s="587"/>
      <c r="Q757" s="587"/>
    </row>
    <row r="758" spans="11:17" s="461" customFormat="1">
      <c r="K758" s="464"/>
      <c r="O758" s="587"/>
      <c r="P758" s="587"/>
      <c r="Q758" s="587"/>
    </row>
    <row r="759" spans="11:17" s="461" customFormat="1">
      <c r="K759" s="464"/>
      <c r="O759" s="587"/>
      <c r="P759" s="587"/>
      <c r="Q759" s="587"/>
    </row>
    <row r="760" spans="11:17" s="461" customFormat="1">
      <c r="K760" s="464"/>
      <c r="O760" s="587"/>
      <c r="P760" s="587"/>
      <c r="Q760" s="587"/>
    </row>
    <row r="761" spans="11:17" s="461" customFormat="1">
      <c r="K761" s="464"/>
      <c r="O761" s="587"/>
      <c r="P761" s="587"/>
      <c r="Q761" s="587"/>
    </row>
    <row r="762" spans="11:17" s="461" customFormat="1">
      <c r="K762" s="464"/>
      <c r="O762" s="587"/>
      <c r="P762" s="587"/>
      <c r="Q762" s="587"/>
    </row>
    <row r="763" spans="11:17" s="461" customFormat="1">
      <c r="K763" s="464"/>
      <c r="O763" s="587"/>
      <c r="P763" s="587"/>
      <c r="Q763" s="587"/>
    </row>
    <row r="764" spans="11:17" s="461" customFormat="1">
      <c r="K764" s="464"/>
      <c r="O764" s="587"/>
      <c r="P764" s="587"/>
      <c r="Q764" s="587"/>
    </row>
    <row r="765" spans="11:17" s="461" customFormat="1">
      <c r="K765" s="464"/>
      <c r="O765" s="587"/>
      <c r="P765" s="587"/>
      <c r="Q765" s="587"/>
    </row>
    <row r="766" spans="11:17" s="461" customFormat="1">
      <c r="K766" s="464"/>
      <c r="O766" s="587"/>
      <c r="P766" s="587"/>
      <c r="Q766" s="587"/>
    </row>
    <row r="767" spans="11:17" s="461" customFormat="1">
      <c r="K767" s="464"/>
      <c r="O767" s="587"/>
      <c r="P767" s="587"/>
      <c r="Q767" s="587"/>
    </row>
    <row r="768" spans="11:17" s="461" customFormat="1">
      <c r="K768" s="464"/>
      <c r="O768" s="587"/>
      <c r="P768" s="587"/>
      <c r="Q768" s="587"/>
    </row>
    <row r="769" spans="11:17" s="461" customFormat="1">
      <c r="K769" s="464"/>
      <c r="O769" s="587"/>
      <c r="P769" s="587"/>
      <c r="Q769" s="587"/>
    </row>
    <row r="770" spans="11:17" s="461" customFormat="1">
      <c r="K770" s="464"/>
      <c r="O770" s="587"/>
      <c r="P770" s="587"/>
      <c r="Q770" s="587"/>
    </row>
    <row r="771" spans="11:17" s="461" customFormat="1">
      <c r="K771" s="464"/>
      <c r="O771" s="587"/>
      <c r="P771" s="587"/>
      <c r="Q771" s="587"/>
    </row>
    <row r="772" spans="11:17" s="461" customFormat="1">
      <c r="K772" s="464"/>
      <c r="O772" s="587"/>
      <c r="P772" s="587"/>
      <c r="Q772" s="587"/>
    </row>
    <row r="773" spans="11:17" s="461" customFormat="1">
      <c r="K773" s="464"/>
      <c r="O773" s="587"/>
      <c r="P773" s="587"/>
      <c r="Q773" s="587"/>
    </row>
    <row r="774" spans="11:17" s="461" customFormat="1">
      <c r="K774" s="464"/>
      <c r="O774" s="587"/>
      <c r="P774" s="587"/>
      <c r="Q774" s="587"/>
    </row>
    <row r="775" spans="11:17" s="461" customFormat="1">
      <c r="K775" s="464"/>
      <c r="O775" s="587"/>
      <c r="P775" s="587"/>
      <c r="Q775" s="587"/>
    </row>
    <row r="776" spans="11:17" s="461" customFormat="1">
      <c r="K776" s="464"/>
      <c r="O776" s="587"/>
      <c r="P776" s="587"/>
      <c r="Q776" s="587"/>
    </row>
    <row r="777" spans="11:17" s="461" customFormat="1">
      <c r="K777" s="464"/>
      <c r="O777" s="587"/>
      <c r="P777" s="587"/>
      <c r="Q777" s="587"/>
    </row>
    <row r="778" spans="11:17" s="461" customFormat="1">
      <c r="K778" s="464"/>
      <c r="O778" s="587"/>
      <c r="P778" s="587"/>
      <c r="Q778" s="587"/>
    </row>
    <row r="779" spans="11:17" s="461" customFormat="1">
      <c r="K779" s="464"/>
      <c r="O779" s="587"/>
      <c r="P779" s="587"/>
      <c r="Q779" s="587"/>
    </row>
    <row r="780" spans="11:17" s="461" customFormat="1">
      <c r="K780" s="464"/>
      <c r="O780" s="587"/>
      <c r="P780" s="587"/>
      <c r="Q780" s="587"/>
    </row>
    <row r="781" spans="11:17" s="461" customFormat="1">
      <c r="K781" s="464"/>
      <c r="O781" s="587"/>
      <c r="P781" s="587"/>
      <c r="Q781" s="587"/>
    </row>
    <row r="782" spans="11:17" s="461" customFormat="1">
      <c r="K782" s="464"/>
      <c r="O782" s="587"/>
      <c r="P782" s="587"/>
      <c r="Q782" s="587"/>
    </row>
    <row r="783" spans="11:17" s="461" customFormat="1">
      <c r="K783" s="464"/>
      <c r="O783" s="587"/>
      <c r="P783" s="587"/>
      <c r="Q783" s="587"/>
    </row>
    <row r="784" spans="11:17" s="461" customFormat="1">
      <c r="K784" s="464"/>
      <c r="O784" s="587"/>
      <c r="P784" s="587"/>
      <c r="Q784" s="587"/>
    </row>
    <row r="785" spans="11:17" s="461" customFormat="1">
      <c r="K785" s="464"/>
      <c r="O785" s="587"/>
      <c r="P785" s="587"/>
      <c r="Q785" s="587"/>
    </row>
    <row r="786" spans="11:17" s="461" customFormat="1">
      <c r="K786" s="464"/>
      <c r="O786" s="587"/>
      <c r="P786" s="587"/>
      <c r="Q786" s="587"/>
    </row>
    <row r="787" spans="11:17" s="461" customFormat="1">
      <c r="K787" s="464"/>
      <c r="O787" s="587"/>
      <c r="P787" s="587"/>
      <c r="Q787" s="587"/>
    </row>
    <row r="788" spans="11:17" s="461" customFormat="1">
      <c r="K788" s="464"/>
      <c r="O788" s="587"/>
      <c r="P788" s="587"/>
      <c r="Q788" s="587"/>
    </row>
    <row r="789" spans="11:17" s="461" customFormat="1">
      <c r="K789" s="464"/>
      <c r="O789" s="587"/>
      <c r="P789" s="587"/>
      <c r="Q789" s="587"/>
    </row>
    <row r="790" spans="11:17" s="461" customFormat="1">
      <c r="K790" s="464"/>
      <c r="O790" s="587"/>
      <c r="P790" s="587"/>
      <c r="Q790" s="587"/>
    </row>
    <row r="791" spans="11:17" s="461" customFormat="1">
      <c r="K791" s="464"/>
      <c r="O791" s="587"/>
      <c r="P791" s="587"/>
      <c r="Q791" s="587"/>
    </row>
    <row r="792" spans="11:17" s="461" customFormat="1">
      <c r="K792" s="464"/>
      <c r="O792" s="587"/>
      <c r="P792" s="587"/>
      <c r="Q792" s="587"/>
    </row>
    <row r="793" spans="11:17" s="461" customFormat="1">
      <c r="K793" s="464"/>
      <c r="O793" s="587"/>
      <c r="P793" s="587"/>
      <c r="Q793" s="587"/>
    </row>
    <row r="794" spans="11:17" s="461" customFormat="1">
      <c r="K794" s="464"/>
      <c r="O794" s="587"/>
      <c r="P794" s="587"/>
      <c r="Q794" s="587"/>
    </row>
    <row r="795" spans="11:17" s="461" customFormat="1">
      <c r="K795" s="464"/>
      <c r="O795" s="587"/>
      <c r="P795" s="587"/>
      <c r="Q795" s="587"/>
    </row>
    <row r="796" spans="11:17" s="461" customFormat="1">
      <c r="K796" s="464"/>
      <c r="O796" s="587"/>
      <c r="P796" s="587"/>
      <c r="Q796" s="587"/>
    </row>
    <row r="797" spans="11:17" s="461" customFormat="1">
      <c r="K797" s="464"/>
      <c r="O797" s="587"/>
      <c r="P797" s="587"/>
      <c r="Q797" s="587"/>
    </row>
    <row r="798" spans="11:17" s="461" customFormat="1">
      <c r="K798" s="464"/>
      <c r="O798" s="587"/>
      <c r="P798" s="587"/>
      <c r="Q798" s="587"/>
    </row>
    <row r="799" spans="11:17" s="461" customFormat="1">
      <c r="K799" s="464"/>
      <c r="O799" s="587"/>
      <c r="P799" s="587"/>
      <c r="Q799" s="587"/>
    </row>
    <row r="800" spans="11:17" s="461" customFormat="1">
      <c r="K800" s="464"/>
      <c r="O800" s="587"/>
      <c r="P800" s="587"/>
      <c r="Q800" s="587"/>
    </row>
    <row r="801" spans="11:17" s="461" customFormat="1">
      <c r="K801" s="464"/>
      <c r="O801" s="587"/>
      <c r="P801" s="587"/>
      <c r="Q801" s="587"/>
    </row>
    <row r="802" spans="11:17" s="461" customFormat="1">
      <c r="K802" s="464"/>
      <c r="O802" s="587"/>
      <c r="P802" s="587"/>
      <c r="Q802" s="587"/>
    </row>
    <row r="803" spans="11:17" s="461" customFormat="1">
      <c r="K803" s="464"/>
      <c r="O803" s="587"/>
      <c r="P803" s="587"/>
      <c r="Q803" s="587"/>
    </row>
    <row r="804" spans="11:17" s="461" customFormat="1">
      <c r="K804" s="464"/>
      <c r="O804" s="587"/>
      <c r="P804" s="587"/>
      <c r="Q804" s="587"/>
    </row>
    <row r="805" spans="11:17" s="461" customFormat="1">
      <c r="K805" s="464"/>
      <c r="O805" s="587"/>
      <c r="P805" s="587"/>
      <c r="Q805" s="587"/>
    </row>
    <row r="806" spans="11:17" s="461" customFormat="1">
      <c r="K806" s="464"/>
      <c r="O806" s="587"/>
      <c r="P806" s="587"/>
      <c r="Q806" s="587"/>
    </row>
    <row r="807" spans="11:17" s="461" customFormat="1">
      <c r="K807" s="464"/>
      <c r="O807" s="587"/>
      <c r="P807" s="587"/>
      <c r="Q807" s="587"/>
    </row>
    <row r="808" spans="11:17" s="461" customFormat="1">
      <c r="K808" s="464"/>
      <c r="O808" s="587"/>
      <c r="P808" s="587"/>
      <c r="Q808" s="587"/>
    </row>
    <row r="809" spans="11:17" s="461" customFormat="1">
      <c r="K809" s="464"/>
      <c r="O809" s="587"/>
      <c r="P809" s="587"/>
      <c r="Q809" s="587"/>
    </row>
    <row r="810" spans="11:17" s="461" customFormat="1">
      <c r="K810" s="464"/>
      <c r="O810" s="587"/>
      <c r="P810" s="587"/>
      <c r="Q810" s="587"/>
    </row>
    <row r="811" spans="11:17" s="461" customFormat="1">
      <c r="K811" s="464"/>
      <c r="O811" s="587"/>
      <c r="P811" s="587"/>
      <c r="Q811" s="587"/>
    </row>
    <row r="812" spans="11:17" s="461" customFormat="1">
      <c r="K812" s="464"/>
      <c r="O812" s="587"/>
      <c r="P812" s="587"/>
      <c r="Q812" s="587"/>
    </row>
    <row r="813" spans="11:17" s="461" customFormat="1">
      <c r="K813" s="464"/>
      <c r="O813" s="587"/>
      <c r="P813" s="587"/>
      <c r="Q813" s="587"/>
    </row>
    <row r="814" spans="11:17" s="461" customFormat="1">
      <c r="K814" s="464"/>
      <c r="O814" s="587"/>
      <c r="P814" s="587"/>
      <c r="Q814" s="587"/>
    </row>
    <row r="815" spans="11:17" s="461" customFormat="1">
      <c r="K815" s="464"/>
      <c r="O815" s="587"/>
      <c r="P815" s="587"/>
      <c r="Q815" s="587"/>
    </row>
    <row r="816" spans="11:17" s="461" customFormat="1">
      <c r="K816" s="464"/>
      <c r="O816" s="587"/>
      <c r="P816" s="587"/>
      <c r="Q816" s="587"/>
    </row>
    <row r="817" spans="11:17" s="461" customFormat="1">
      <c r="K817" s="464"/>
      <c r="O817" s="587"/>
      <c r="P817" s="587"/>
      <c r="Q817" s="587"/>
    </row>
    <row r="818" spans="11:17" s="461" customFormat="1">
      <c r="K818" s="464"/>
      <c r="O818" s="587"/>
      <c r="P818" s="587"/>
      <c r="Q818" s="587"/>
    </row>
    <row r="819" spans="11:17" s="461" customFormat="1">
      <c r="K819" s="464"/>
      <c r="O819" s="587"/>
      <c r="P819" s="587"/>
      <c r="Q819" s="587"/>
    </row>
    <row r="820" spans="11:17" s="461" customFormat="1">
      <c r="K820" s="464"/>
      <c r="O820" s="587"/>
      <c r="P820" s="587"/>
      <c r="Q820" s="587"/>
    </row>
    <row r="821" spans="11:17" s="461" customFormat="1">
      <c r="K821" s="464"/>
      <c r="O821" s="587"/>
      <c r="P821" s="587"/>
      <c r="Q821" s="587"/>
    </row>
    <row r="822" spans="11:17" s="461" customFormat="1">
      <c r="K822" s="464"/>
      <c r="O822" s="587"/>
      <c r="P822" s="587"/>
      <c r="Q822" s="587"/>
    </row>
    <row r="823" spans="11:17" s="461" customFormat="1">
      <c r="K823" s="464"/>
      <c r="O823" s="587"/>
      <c r="P823" s="587"/>
      <c r="Q823" s="587"/>
    </row>
    <row r="824" spans="11:17" s="461" customFormat="1">
      <c r="K824" s="464"/>
      <c r="O824" s="587"/>
      <c r="P824" s="587"/>
      <c r="Q824" s="587"/>
    </row>
    <row r="825" spans="11:17" s="461" customFormat="1">
      <c r="K825" s="464"/>
      <c r="O825" s="587"/>
      <c r="P825" s="587"/>
      <c r="Q825" s="587"/>
    </row>
    <row r="826" spans="11:17" s="461" customFormat="1">
      <c r="K826" s="464"/>
      <c r="O826" s="587"/>
      <c r="P826" s="587"/>
      <c r="Q826" s="587"/>
    </row>
    <row r="827" spans="11:17" s="461" customFormat="1">
      <c r="K827" s="464"/>
      <c r="O827" s="587"/>
      <c r="P827" s="587"/>
      <c r="Q827" s="587"/>
    </row>
    <row r="828" spans="11:17" s="461" customFormat="1">
      <c r="K828" s="464"/>
      <c r="O828" s="587"/>
      <c r="P828" s="587"/>
      <c r="Q828" s="587"/>
    </row>
    <row r="829" spans="11:17" s="461" customFormat="1">
      <c r="K829" s="464"/>
      <c r="O829" s="587"/>
      <c r="P829" s="587"/>
      <c r="Q829" s="587"/>
    </row>
    <row r="830" spans="11:17" s="461" customFormat="1">
      <c r="K830" s="464"/>
      <c r="O830" s="587"/>
      <c r="P830" s="587"/>
      <c r="Q830" s="587"/>
    </row>
    <row r="831" spans="11:17" s="461" customFormat="1">
      <c r="K831" s="464"/>
      <c r="O831" s="587"/>
      <c r="P831" s="587"/>
      <c r="Q831" s="587"/>
    </row>
    <row r="832" spans="11:17" s="461" customFormat="1">
      <c r="K832" s="464"/>
      <c r="O832" s="587"/>
      <c r="P832" s="587"/>
      <c r="Q832" s="587"/>
    </row>
    <row r="833" spans="11:17" s="461" customFormat="1">
      <c r="K833" s="464"/>
      <c r="O833" s="587"/>
      <c r="P833" s="587"/>
      <c r="Q833" s="587"/>
    </row>
    <row r="834" spans="11:17" s="461" customFormat="1">
      <c r="K834" s="464"/>
      <c r="O834" s="587"/>
      <c r="P834" s="587"/>
      <c r="Q834" s="587"/>
    </row>
    <row r="835" spans="11:17" s="461" customFormat="1">
      <c r="K835" s="464"/>
      <c r="O835" s="587"/>
      <c r="P835" s="587"/>
      <c r="Q835" s="587"/>
    </row>
    <row r="836" spans="11:17" s="461" customFormat="1">
      <c r="K836" s="464"/>
      <c r="O836" s="587"/>
      <c r="P836" s="587"/>
      <c r="Q836" s="587"/>
    </row>
    <row r="837" spans="11:17" s="461" customFormat="1">
      <c r="K837" s="464"/>
      <c r="O837" s="587"/>
      <c r="P837" s="587"/>
      <c r="Q837" s="587"/>
    </row>
    <row r="838" spans="11:17" s="461" customFormat="1">
      <c r="K838" s="464"/>
      <c r="O838" s="587"/>
      <c r="P838" s="587"/>
      <c r="Q838" s="587"/>
    </row>
    <row r="839" spans="11:17" s="461" customFormat="1">
      <c r="K839" s="464"/>
      <c r="O839" s="587"/>
      <c r="P839" s="587"/>
      <c r="Q839" s="587"/>
    </row>
    <row r="840" spans="11:17" s="461" customFormat="1">
      <c r="K840" s="464"/>
      <c r="O840" s="587"/>
      <c r="P840" s="587"/>
      <c r="Q840" s="587"/>
    </row>
    <row r="841" spans="11:17" s="461" customFormat="1">
      <c r="K841" s="464"/>
      <c r="O841" s="587"/>
      <c r="P841" s="587"/>
      <c r="Q841" s="587"/>
    </row>
    <row r="842" spans="11:17" s="461" customFormat="1">
      <c r="K842" s="464"/>
      <c r="O842" s="587"/>
      <c r="P842" s="587"/>
      <c r="Q842" s="587"/>
    </row>
    <row r="843" spans="11:17" s="461" customFormat="1">
      <c r="K843" s="464"/>
      <c r="O843" s="587"/>
      <c r="P843" s="587"/>
      <c r="Q843" s="587"/>
    </row>
    <row r="844" spans="11:17" s="461" customFormat="1">
      <c r="K844" s="464"/>
      <c r="O844" s="587"/>
      <c r="P844" s="587"/>
      <c r="Q844" s="587"/>
    </row>
    <row r="845" spans="11:17" s="461" customFormat="1">
      <c r="K845" s="464"/>
      <c r="O845" s="587"/>
      <c r="P845" s="587"/>
      <c r="Q845" s="587"/>
    </row>
    <row r="846" spans="11:17" s="461" customFormat="1">
      <c r="K846" s="464"/>
      <c r="O846" s="587"/>
      <c r="P846" s="587"/>
      <c r="Q846" s="587"/>
    </row>
    <row r="847" spans="11:17" s="461" customFormat="1">
      <c r="K847" s="464"/>
      <c r="O847" s="587"/>
      <c r="P847" s="587"/>
      <c r="Q847" s="587"/>
    </row>
    <row r="848" spans="11:17" s="461" customFormat="1">
      <c r="K848" s="464"/>
      <c r="O848" s="587"/>
      <c r="P848" s="587"/>
      <c r="Q848" s="587"/>
    </row>
    <row r="849" spans="11:17" s="461" customFormat="1">
      <c r="K849" s="464"/>
      <c r="O849" s="587"/>
      <c r="P849" s="587"/>
      <c r="Q849" s="587"/>
    </row>
    <row r="850" spans="11:17" s="461" customFormat="1">
      <c r="K850" s="464"/>
      <c r="O850" s="587"/>
      <c r="P850" s="587"/>
      <c r="Q850" s="587"/>
    </row>
    <row r="851" spans="11:17" s="461" customFormat="1">
      <c r="K851" s="464"/>
      <c r="O851" s="587"/>
      <c r="P851" s="587"/>
      <c r="Q851" s="587"/>
    </row>
    <row r="852" spans="11:17" s="461" customFormat="1">
      <c r="K852" s="464"/>
      <c r="O852" s="587"/>
      <c r="P852" s="587"/>
      <c r="Q852" s="587"/>
    </row>
    <row r="853" spans="11:17" s="461" customFormat="1">
      <c r="K853" s="464"/>
      <c r="O853" s="587"/>
      <c r="P853" s="587"/>
      <c r="Q853" s="587"/>
    </row>
    <row r="854" spans="11:17" s="461" customFormat="1">
      <c r="K854" s="464"/>
      <c r="O854" s="587"/>
      <c r="P854" s="587"/>
      <c r="Q854" s="587"/>
    </row>
    <row r="855" spans="11:17" s="461" customFormat="1">
      <c r="K855" s="464"/>
      <c r="O855" s="587"/>
      <c r="P855" s="587"/>
      <c r="Q855" s="587"/>
    </row>
    <row r="856" spans="11:17" s="461" customFormat="1">
      <c r="K856" s="464"/>
      <c r="O856" s="587"/>
      <c r="P856" s="587"/>
      <c r="Q856" s="587"/>
    </row>
    <row r="857" spans="11:17" s="461" customFormat="1">
      <c r="K857" s="464"/>
      <c r="O857" s="587"/>
      <c r="P857" s="587"/>
      <c r="Q857" s="587"/>
    </row>
    <row r="858" spans="11:17" s="461" customFormat="1">
      <c r="K858" s="464"/>
      <c r="O858" s="587"/>
      <c r="P858" s="587"/>
      <c r="Q858" s="587"/>
    </row>
    <row r="859" spans="11:17" s="461" customFormat="1">
      <c r="K859" s="464"/>
      <c r="O859" s="587"/>
      <c r="P859" s="587"/>
      <c r="Q859" s="587"/>
    </row>
    <row r="860" spans="11:17" s="461" customFormat="1">
      <c r="K860" s="464"/>
      <c r="O860" s="587"/>
      <c r="P860" s="587"/>
      <c r="Q860" s="587"/>
    </row>
    <row r="861" spans="11:17" s="461" customFormat="1">
      <c r="K861" s="464"/>
      <c r="O861" s="587"/>
      <c r="P861" s="587"/>
      <c r="Q861" s="587"/>
    </row>
    <row r="862" spans="11:17" s="461" customFormat="1">
      <c r="K862" s="464"/>
      <c r="O862" s="587"/>
      <c r="P862" s="587"/>
      <c r="Q862" s="587"/>
    </row>
    <row r="863" spans="11:17" s="461" customFormat="1">
      <c r="K863" s="464"/>
      <c r="O863" s="587"/>
      <c r="P863" s="587"/>
      <c r="Q863" s="587"/>
    </row>
    <row r="864" spans="11:17" s="461" customFormat="1">
      <c r="K864" s="464"/>
      <c r="O864" s="587"/>
      <c r="P864" s="587"/>
      <c r="Q864" s="587"/>
    </row>
    <row r="865" spans="11:17" s="461" customFormat="1">
      <c r="K865" s="464"/>
      <c r="O865" s="587"/>
      <c r="P865" s="587"/>
      <c r="Q865" s="587"/>
    </row>
    <row r="866" spans="11:17" s="461" customFormat="1">
      <c r="K866" s="464"/>
      <c r="O866" s="587"/>
      <c r="P866" s="587"/>
      <c r="Q866" s="587"/>
    </row>
    <row r="867" spans="11:17" s="461" customFormat="1">
      <c r="K867" s="464"/>
      <c r="O867" s="587"/>
      <c r="P867" s="587"/>
      <c r="Q867" s="587"/>
    </row>
    <row r="868" spans="11:17" s="461" customFormat="1">
      <c r="K868" s="464"/>
      <c r="O868" s="587"/>
      <c r="P868" s="587"/>
      <c r="Q868" s="587"/>
    </row>
    <row r="869" spans="11:17" s="461" customFormat="1">
      <c r="K869" s="464"/>
      <c r="O869" s="587"/>
      <c r="P869" s="587"/>
      <c r="Q869" s="587"/>
    </row>
    <row r="870" spans="11:17" s="461" customFormat="1">
      <c r="K870" s="464"/>
      <c r="O870" s="587"/>
      <c r="P870" s="587"/>
      <c r="Q870" s="587"/>
    </row>
    <row r="871" spans="11:17" s="461" customFormat="1">
      <c r="K871" s="464"/>
      <c r="O871" s="587"/>
      <c r="P871" s="587"/>
      <c r="Q871" s="587"/>
    </row>
    <row r="872" spans="11:17" s="461" customFormat="1">
      <c r="K872" s="464"/>
      <c r="O872" s="587"/>
      <c r="P872" s="587"/>
      <c r="Q872" s="587"/>
    </row>
    <row r="873" spans="11:17" s="461" customFormat="1">
      <c r="K873" s="464"/>
      <c r="O873" s="587"/>
      <c r="P873" s="587"/>
      <c r="Q873" s="587"/>
    </row>
    <row r="874" spans="11:17" s="461" customFormat="1">
      <c r="K874" s="464"/>
      <c r="O874" s="587"/>
      <c r="P874" s="587"/>
      <c r="Q874" s="587"/>
    </row>
    <row r="875" spans="11:17" s="461" customFormat="1">
      <c r="K875" s="464"/>
      <c r="O875" s="587"/>
      <c r="P875" s="587"/>
      <c r="Q875" s="587"/>
    </row>
    <row r="876" spans="11:17" s="461" customFormat="1">
      <c r="K876" s="464"/>
      <c r="O876" s="587"/>
      <c r="P876" s="587"/>
      <c r="Q876" s="587"/>
    </row>
    <row r="877" spans="11:17" s="461" customFormat="1">
      <c r="K877" s="464"/>
      <c r="O877" s="587"/>
      <c r="P877" s="587"/>
      <c r="Q877" s="587"/>
    </row>
    <row r="878" spans="11:17" s="461" customFormat="1">
      <c r="K878" s="464"/>
      <c r="O878" s="587"/>
      <c r="P878" s="587"/>
      <c r="Q878" s="587"/>
    </row>
    <row r="879" spans="11:17" s="461" customFormat="1">
      <c r="K879" s="464"/>
      <c r="O879" s="587"/>
      <c r="P879" s="587"/>
      <c r="Q879" s="587"/>
    </row>
    <row r="880" spans="11:17" s="461" customFormat="1">
      <c r="K880" s="464"/>
      <c r="O880" s="587"/>
      <c r="P880" s="587"/>
      <c r="Q880" s="587"/>
    </row>
    <row r="881" spans="11:17" s="461" customFormat="1">
      <c r="K881" s="464"/>
      <c r="O881" s="587"/>
      <c r="P881" s="587"/>
      <c r="Q881" s="587"/>
    </row>
    <row r="882" spans="11:17" s="461" customFormat="1">
      <c r="K882" s="464"/>
      <c r="O882" s="587"/>
      <c r="P882" s="587"/>
      <c r="Q882" s="587"/>
    </row>
    <row r="883" spans="11:17" s="461" customFormat="1">
      <c r="K883" s="464"/>
      <c r="O883" s="587"/>
      <c r="P883" s="587"/>
      <c r="Q883" s="587"/>
    </row>
    <row r="884" spans="11:17" s="461" customFormat="1">
      <c r="K884" s="464"/>
      <c r="O884" s="587"/>
      <c r="P884" s="587"/>
      <c r="Q884" s="587"/>
    </row>
    <row r="885" spans="11:17" s="461" customFormat="1">
      <c r="K885" s="464"/>
      <c r="O885" s="587"/>
      <c r="P885" s="587"/>
      <c r="Q885" s="587"/>
    </row>
    <row r="886" spans="11:17" s="461" customFormat="1">
      <c r="K886" s="464"/>
      <c r="O886" s="587"/>
      <c r="P886" s="587"/>
      <c r="Q886" s="587"/>
    </row>
    <row r="887" spans="11:17" s="461" customFormat="1">
      <c r="K887" s="464"/>
      <c r="O887" s="587"/>
      <c r="P887" s="587"/>
      <c r="Q887" s="587"/>
    </row>
    <row r="888" spans="11:17" s="461" customFormat="1">
      <c r="K888" s="464"/>
      <c r="O888" s="587"/>
      <c r="P888" s="587"/>
      <c r="Q888" s="587"/>
    </row>
    <row r="889" spans="11:17" s="461" customFormat="1">
      <c r="K889" s="464"/>
      <c r="O889" s="587"/>
      <c r="P889" s="587"/>
      <c r="Q889" s="587"/>
    </row>
    <row r="890" spans="11:17" s="461" customFormat="1">
      <c r="K890" s="464"/>
      <c r="O890" s="587"/>
      <c r="P890" s="587"/>
      <c r="Q890" s="587"/>
    </row>
    <row r="891" spans="11:17" s="461" customFormat="1">
      <c r="K891" s="464"/>
      <c r="O891" s="587"/>
      <c r="P891" s="587"/>
      <c r="Q891" s="587"/>
    </row>
    <row r="892" spans="11:17" s="461" customFormat="1">
      <c r="K892" s="464"/>
      <c r="O892" s="587"/>
      <c r="P892" s="587"/>
      <c r="Q892" s="587"/>
    </row>
    <row r="893" spans="11:17" s="461" customFormat="1">
      <c r="K893" s="464"/>
      <c r="O893" s="587"/>
      <c r="P893" s="587"/>
      <c r="Q893" s="587"/>
    </row>
    <row r="894" spans="11:17" s="461" customFormat="1">
      <c r="K894" s="464"/>
      <c r="O894" s="587"/>
      <c r="P894" s="587"/>
      <c r="Q894" s="587"/>
    </row>
    <row r="895" spans="11:17" s="461" customFormat="1">
      <c r="K895" s="464"/>
      <c r="O895" s="587"/>
      <c r="P895" s="587"/>
      <c r="Q895" s="587"/>
    </row>
    <row r="896" spans="11:17" s="461" customFormat="1">
      <c r="K896" s="464"/>
      <c r="O896" s="587"/>
      <c r="P896" s="587"/>
      <c r="Q896" s="587"/>
    </row>
    <row r="897" spans="11:17" s="461" customFormat="1">
      <c r="K897" s="464"/>
      <c r="O897" s="587"/>
      <c r="P897" s="587"/>
      <c r="Q897" s="587"/>
    </row>
    <row r="898" spans="11:17" s="461" customFormat="1">
      <c r="K898" s="464"/>
      <c r="O898" s="587"/>
      <c r="P898" s="587"/>
      <c r="Q898" s="587"/>
    </row>
    <row r="899" spans="11:17" s="461" customFormat="1">
      <c r="K899" s="464"/>
      <c r="O899" s="587"/>
      <c r="P899" s="587"/>
      <c r="Q899" s="587"/>
    </row>
    <row r="900" spans="11:17" s="461" customFormat="1">
      <c r="K900" s="464"/>
      <c r="O900" s="587"/>
      <c r="P900" s="587"/>
      <c r="Q900" s="587"/>
    </row>
    <row r="901" spans="11:17" s="461" customFormat="1">
      <c r="K901" s="464"/>
      <c r="O901" s="587"/>
      <c r="P901" s="587"/>
      <c r="Q901" s="587"/>
    </row>
    <row r="902" spans="11:17" s="461" customFormat="1">
      <c r="K902" s="464"/>
      <c r="O902" s="587"/>
      <c r="P902" s="587"/>
      <c r="Q902" s="587"/>
    </row>
    <row r="903" spans="11:17" s="461" customFormat="1">
      <c r="K903" s="464"/>
      <c r="O903" s="587"/>
      <c r="P903" s="587"/>
      <c r="Q903" s="587"/>
    </row>
    <row r="904" spans="11:17" s="461" customFormat="1">
      <c r="K904" s="464"/>
      <c r="O904" s="587"/>
      <c r="P904" s="587"/>
      <c r="Q904" s="587"/>
    </row>
    <row r="905" spans="11:17" s="461" customFormat="1">
      <c r="K905" s="464"/>
      <c r="O905" s="587"/>
      <c r="P905" s="587"/>
      <c r="Q905" s="587"/>
    </row>
    <row r="906" spans="11:17" s="461" customFormat="1">
      <c r="K906" s="464"/>
      <c r="O906" s="587"/>
      <c r="P906" s="587"/>
      <c r="Q906" s="587"/>
    </row>
    <row r="907" spans="11:17" s="461" customFormat="1">
      <c r="K907" s="464"/>
      <c r="O907" s="587"/>
      <c r="P907" s="587"/>
      <c r="Q907" s="587"/>
    </row>
    <row r="908" spans="11:17" s="461" customFormat="1">
      <c r="K908" s="464"/>
      <c r="O908" s="587"/>
      <c r="P908" s="587"/>
      <c r="Q908" s="587"/>
    </row>
    <row r="909" spans="11:17" s="461" customFormat="1">
      <c r="K909" s="464"/>
      <c r="O909" s="587"/>
      <c r="P909" s="587"/>
      <c r="Q909" s="587"/>
    </row>
    <row r="910" spans="11:17" s="461" customFormat="1">
      <c r="K910" s="464"/>
      <c r="O910" s="587"/>
      <c r="P910" s="587"/>
      <c r="Q910" s="587"/>
    </row>
    <row r="911" spans="11:17" s="461" customFormat="1">
      <c r="K911" s="464"/>
      <c r="O911" s="587"/>
      <c r="P911" s="587"/>
      <c r="Q911" s="587"/>
    </row>
    <row r="912" spans="11:17" s="461" customFormat="1">
      <c r="K912" s="464"/>
      <c r="O912" s="587"/>
      <c r="P912" s="587"/>
      <c r="Q912" s="587"/>
    </row>
    <row r="913" spans="11:17" s="461" customFormat="1">
      <c r="K913" s="464"/>
      <c r="O913" s="587"/>
      <c r="P913" s="587"/>
      <c r="Q913" s="587"/>
    </row>
    <row r="914" spans="11:17" s="461" customFormat="1">
      <c r="K914" s="464"/>
      <c r="O914" s="587"/>
      <c r="P914" s="587"/>
      <c r="Q914" s="587"/>
    </row>
    <row r="915" spans="11:17" s="461" customFormat="1">
      <c r="K915" s="464"/>
      <c r="O915" s="587"/>
      <c r="P915" s="587"/>
      <c r="Q915" s="587"/>
    </row>
    <row r="916" spans="11:17" s="461" customFormat="1">
      <c r="K916" s="464"/>
      <c r="O916" s="587"/>
      <c r="P916" s="587"/>
      <c r="Q916" s="587"/>
    </row>
    <row r="917" spans="11:17" s="461" customFormat="1">
      <c r="K917" s="464"/>
      <c r="O917" s="587"/>
      <c r="P917" s="587"/>
      <c r="Q917" s="587"/>
    </row>
    <row r="918" spans="11:17" s="461" customFormat="1">
      <c r="K918" s="464"/>
      <c r="O918" s="587"/>
      <c r="P918" s="587"/>
      <c r="Q918" s="587"/>
    </row>
    <row r="919" spans="11:17" s="461" customFormat="1">
      <c r="K919" s="464"/>
      <c r="O919" s="587"/>
      <c r="P919" s="587"/>
      <c r="Q919" s="587"/>
    </row>
    <row r="920" spans="11:17" s="461" customFormat="1">
      <c r="K920" s="464"/>
      <c r="O920" s="587"/>
      <c r="P920" s="587"/>
      <c r="Q920" s="587"/>
    </row>
    <row r="921" spans="11:17" s="461" customFormat="1">
      <c r="K921" s="464"/>
      <c r="O921" s="587"/>
      <c r="P921" s="587"/>
      <c r="Q921" s="587"/>
    </row>
    <row r="922" spans="11:17" s="461" customFormat="1">
      <c r="K922" s="464"/>
      <c r="O922" s="587"/>
      <c r="P922" s="587"/>
      <c r="Q922" s="587"/>
    </row>
    <row r="923" spans="11:17" s="461" customFormat="1">
      <c r="K923" s="464"/>
      <c r="O923" s="587"/>
      <c r="P923" s="587"/>
      <c r="Q923" s="587"/>
    </row>
    <row r="924" spans="11:17" s="461" customFormat="1">
      <c r="K924" s="464"/>
      <c r="O924" s="587"/>
      <c r="P924" s="587"/>
      <c r="Q924" s="587"/>
    </row>
    <row r="925" spans="11:17" s="461" customFormat="1">
      <c r="K925" s="464"/>
      <c r="O925" s="587"/>
      <c r="P925" s="587"/>
      <c r="Q925" s="587"/>
    </row>
    <row r="926" spans="11:17" s="461" customFormat="1">
      <c r="K926" s="464"/>
      <c r="O926" s="587"/>
      <c r="P926" s="587"/>
      <c r="Q926" s="587"/>
    </row>
    <row r="927" spans="11:17" s="461" customFormat="1">
      <c r="K927" s="464"/>
      <c r="O927" s="587"/>
      <c r="P927" s="587"/>
      <c r="Q927" s="587"/>
    </row>
    <row r="928" spans="11:17" s="461" customFormat="1">
      <c r="K928" s="464"/>
      <c r="O928" s="587"/>
      <c r="P928" s="587"/>
      <c r="Q928" s="587"/>
    </row>
    <row r="929" spans="11:17" s="461" customFormat="1">
      <c r="K929" s="464"/>
      <c r="O929" s="587"/>
      <c r="P929" s="587"/>
      <c r="Q929" s="587"/>
    </row>
    <row r="930" spans="11:17" s="461" customFormat="1">
      <c r="K930" s="464"/>
      <c r="O930" s="587"/>
      <c r="P930" s="587"/>
      <c r="Q930" s="587"/>
    </row>
    <row r="931" spans="11:17" s="461" customFormat="1">
      <c r="K931" s="464"/>
      <c r="O931" s="587"/>
      <c r="P931" s="587"/>
      <c r="Q931" s="587"/>
    </row>
    <row r="932" spans="11:17" s="461" customFormat="1">
      <c r="K932" s="464"/>
      <c r="O932" s="587"/>
      <c r="P932" s="587"/>
      <c r="Q932" s="587"/>
    </row>
    <row r="933" spans="11:17" s="461" customFormat="1">
      <c r="K933" s="464"/>
      <c r="O933" s="587"/>
      <c r="P933" s="587"/>
      <c r="Q933" s="587"/>
    </row>
    <row r="934" spans="11:17" s="461" customFormat="1">
      <c r="K934" s="464"/>
      <c r="O934" s="587"/>
      <c r="P934" s="587"/>
      <c r="Q934" s="587"/>
    </row>
    <row r="935" spans="11:17" s="461" customFormat="1">
      <c r="K935" s="464"/>
      <c r="O935" s="587"/>
      <c r="P935" s="587"/>
      <c r="Q935" s="587"/>
    </row>
    <row r="936" spans="11:17" s="461" customFormat="1">
      <c r="K936" s="464"/>
      <c r="O936" s="587"/>
      <c r="P936" s="587"/>
      <c r="Q936" s="587"/>
    </row>
    <row r="937" spans="11:17" s="461" customFormat="1">
      <c r="K937" s="464"/>
      <c r="O937" s="587"/>
      <c r="P937" s="587"/>
      <c r="Q937" s="587"/>
    </row>
    <row r="938" spans="11:17" s="461" customFormat="1">
      <c r="K938" s="464"/>
      <c r="O938" s="587"/>
      <c r="P938" s="587"/>
      <c r="Q938" s="587"/>
    </row>
    <row r="939" spans="11:17" s="461" customFormat="1">
      <c r="K939" s="464"/>
      <c r="O939" s="587"/>
      <c r="P939" s="587"/>
      <c r="Q939" s="587"/>
    </row>
    <row r="940" spans="11:17" s="461" customFormat="1">
      <c r="K940" s="464"/>
      <c r="O940" s="587"/>
      <c r="P940" s="587"/>
      <c r="Q940" s="587"/>
    </row>
    <row r="941" spans="11:17" s="461" customFormat="1">
      <c r="K941" s="464"/>
      <c r="O941" s="587"/>
      <c r="P941" s="587"/>
      <c r="Q941" s="587"/>
    </row>
    <row r="942" spans="11:17" s="461" customFormat="1">
      <c r="K942" s="464"/>
      <c r="O942" s="587"/>
      <c r="P942" s="587"/>
      <c r="Q942" s="587"/>
    </row>
    <row r="943" spans="11:17" s="461" customFormat="1">
      <c r="K943" s="464"/>
      <c r="O943" s="587"/>
      <c r="P943" s="587"/>
      <c r="Q943" s="587"/>
    </row>
    <row r="944" spans="11:17" s="461" customFormat="1">
      <c r="K944" s="464"/>
      <c r="O944" s="587"/>
      <c r="P944" s="587"/>
      <c r="Q944" s="587"/>
    </row>
    <row r="945" spans="11:17" s="461" customFormat="1">
      <c r="K945" s="464"/>
      <c r="O945" s="587"/>
      <c r="P945" s="587"/>
      <c r="Q945" s="587"/>
    </row>
    <row r="946" spans="11:17" s="461" customFormat="1">
      <c r="K946" s="464"/>
      <c r="O946" s="587"/>
      <c r="P946" s="587"/>
      <c r="Q946" s="587"/>
    </row>
    <row r="947" spans="11:17" s="461" customFormat="1">
      <c r="K947" s="464"/>
      <c r="O947" s="587"/>
      <c r="P947" s="587"/>
      <c r="Q947" s="587"/>
    </row>
    <row r="948" spans="11:17" s="461" customFormat="1">
      <c r="K948" s="464"/>
      <c r="O948" s="587"/>
      <c r="P948" s="587"/>
      <c r="Q948" s="587"/>
    </row>
    <row r="949" spans="11:17" s="461" customFormat="1">
      <c r="K949" s="464"/>
      <c r="O949" s="587"/>
      <c r="P949" s="587"/>
      <c r="Q949" s="587"/>
    </row>
    <row r="950" spans="11:17" s="461" customFormat="1">
      <c r="K950" s="464"/>
      <c r="O950" s="587"/>
      <c r="P950" s="587"/>
      <c r="Q950" s="587"/>
    </row>
    <row r="951" spans="11:17" s="461" customFormat="1">
      <c r="K951" s="464"/>
      <c r="O951" s="587"/>
      <c r="P951" s="587"/>
      <c r="Q951" s="587"/>
    </row>
    <row r="952" spans="11:17" s="461" customFormat="1">
      <c r="K952" s="464"/>
      <c r="O952" s="587"/>
      <c r="P952" s="587"/>
      <c r="Q952" s="587"/>
    </row>
    <row r="953" spans="11:17" s="461" customFormat="1">
      <c r="K953" s="464"/>
      <c r="O953" s="587"/>
      <c r="P953" s="587"/>
      <c r="Q953" s="587"/>
    </row>
    <row r="954" spans="11:17" s="461" customFormat="1">
      <c r="K954" s="464"/>
      <c r="O954" s="587"/>
      <c r="P954" s="587"/>
      <c r="Q954" s="587"/>
    </row>
    <row r="955" spans="11:17" s="461" customFormat="1">
      <c r="K955" s="464"/>
      <c r="O955" s="587"/>
      <c r="P955" s="587"/>
      <c r="Q955" s="587"/>
    </row>
    <row r="956" spans="11:17" s="461" customFormat="1">
      <c r="K956" s="464"/>
      <c r="O956" s="587"/>
      <c r="P956" s="587"/>
      <c r="Q956" s="587"/>
    </row>
    <row r="957" spans="11:17" s="461" customFormat="1">
      <c r="K957" s="464"/>
      <c r="O957" s="587"/>
      <c r="P957" s="587"/>
      <c r="Q957" s="587"/>
    </row>
    <row r="958" spans="11:17" s="461" customFormat="1">
      <c r="K958" s="464"/>
      <c r="O958" s="587"/>
      <c r="P958" s="587"/>
      <c r="Q958" s="587"/>
    </row>
    <row r="959" spans="11:17" s="461" customFormat="1">
      <c r="K959" s="464"/>
      <c r="O959" s="587"/>
      <c r="P959" s="587"/>
      <c r="Q959" s="587"/>
    </row>
    <row r="960" spans="11:17" s="461" customFormat="1">
      <c r="K960" s="464"/>
      <c r="O960" s="587"/>
      <c r="P960" s="587"/>
      <c r="Q960" s="587"/>
    </row>
    <row r="961" spans="11:17" s="461" customFormat="1">
      <c r="K961" s="464"/>
      <c r="O961" s="587"/>
      <c r="P961" s="587"/>
      <c r="Q961" s="587"/>
    </row>
    <row r="962" spans="11:17" s="461" customFormat="1">
      <c r="K962" s="464"/>
      <c r="O962" s="587"/>
      <c r="P962" s="587"/>
      <c r="Q962" s="587"/>
    </row>
    <row r="963" spans="11:17" s="461" customFormat="1">
      <c r="K963" s="464"/>
      <c r="O963" s="587"/>
      <c r="P963" s="587"/>
      <c r="Q963" s="587"/>
    </row>
    <row r="964" spans="11:17" s="461" customFormat="1">
      <c r="K964" s="464"/>
      <c r="O964" s="587"/>
      <c r="P964" s="587"/>
      <c r="Q964" s="587"/>
    </row>
    <row r="965" spans="11:17" s="461" customFormat="1">
      <c r="K965" s="464"/>
      <c r="O965" s="587"/>
      <c r="P965" s="587"/>
      <c r="Q965" s="587"/>
    </row>
    <row r="966" spans="11:17" s="461" customFormat="1">
      <c r="K966" s="464"/>
      <c r="O966" s="587"/>
      <c r="P966" s="587"/>
      <c r="Q966" s="587"/>
    </row>
    <row r="967" spans="11:17" s="461" customFormat="1">
      <c r="K967" s="464"/>
      <c r="O967" s="587"/>
      <c r="P967" s="587"/>
      <c r="Q967" s="587"/>
    </row>
    <row r="968" spans="11:17" s="461" customFormat="1">
      <c r="K968" s="464"/>
      <c r="O968" s="587"/>
      <c r="P968" s="587"/>
      <c r="Q968" s="587"/>
    </row>
    <row r="969" spans="11:17" s="461" customFormat="1">
      <c r="K969" s="464"/>
      <c r="O969" s="587"/>
      <c r="P969" s="587"/>
      <c r="Q969" s="587"/>
    </row>
    <row r="970" spans="11:17" s="461" customFormat="1">
      <c r="K970" s="464"/>
      <c r="O970" s="587"/>
      <c r="P970" s="587"/>
      <c r="Q970" s="587"/>
    </row>
    <row r="971" spans="11:17" s="461" customFormat="1">
      <c r="K971" s="464"/>
      <c r="O971" s="587"/>
      <c r="P971" s="587"/>
      <c r="Q971" s="587"/>
    </row>
    <row r="972" spans="11:17" s="461" customFormat="1">
      <c r="K972" s="464"/>
      <c r="O972" s="587"/>
      <c r="P972" s="587"/>
      <c r="Q972" s="587"/>
    </row>
    <row r="973" spans="11:17" s="461" customFormat="1">
      <c r="K973" s="464"/>
      <c r="O973" s="587"/>
      <c r="P973" s="587"/>
      <c r="Q973" s="587"/>
    </row>
    <row r="974" spans="11:17" s="461" customFormat="1">
      <c r="K974" s="464"/>
      <c r="O974" s="587"/>
      <c r="P974" s="587"/>
      <c r="Q974" s="587"/>
    </row>
    <row r="975" spans="11:17" s="461" customFormat="1">
      <c r="K975" s="464"/>
      <c r="O975" s="587"/>
      <c r="P975" s="587"/>
      <c r="Q975" s="587"/>
    </row>
    <row r="976" spans="11:17" s="461" customFormat="1">
      <c r="K976" s="464"/>
      <c r="O976" s="587"/>
      <c r="P976" s="587"/>
      <c r="Q976" s="587"/>
    </row>
    <row r="977" spans="11:17" s="461" customFormat="1">
      <c r="K977" s="464"/>
      <c r="O977" s="587"/>
      <c r="P977" s="587"/>
      <c r="Q977" s="587"/>
    </row>
    <row r="978" spans="11:17" s="461" customFormat="1">
      <c r="K978" s="464"/>
      <c r="O978" s="587"/>
      <c r="P978" s="587"/>
      <c r="Q978" s="587"/>
    </row>
    <row r="979" spans="11:17" s="461" customFormat="1">
      <c r="K979" s="464"/>
      <c r="O979" s="587"/>
      <c r="P979" s="587"/>
      <c r="Q979" s="587"/>
    </row>
    <row r="980" spans="11:17" s="461" customFormat="1">
      <c r="K980" s="464"/>
      <c r="O980" s="587"/>
      <c r="P980" s="587"/>
      <c r="Q980" s="587"/>
    </row>
    <row r="981" spans="11:17" s="461" customFormat="1">
      <c r="K981" s="464"/>
      <c r="O981" s="587"/>
      <c r="P981" s="587"/>
      <c r="Q981" s="587"/>
    </row>
    <row r="982" spans="11:17" s="461" customFormat="1">
      <c r="K982" s="464"/>
      <c r="O982" s="587"/>
      <c r="P982" s="587"/>
      <c r="Q982" s="587"/>
    </row>
    <row r="983" spans="11:17" s="461" customFormat="1">
      <c r="K983" s="464"/>
      <c r="O983" s="587"/>
      <c r="P983" s="587"/>
      <c r="Q983" s="587"/>
    </row>
    <row r="984" spans="11:17" s="461" customFormat="1">
      <c r="K984" s="464"/>
      <c r="O984" s="587"/>
      <c r="P984" s="587"/>
      <c r="Q984" s="587"/>
    </row>
    <row r="985" spans="11:17" s="461" customFormat="1">
      <c r="K985" s="464"/>
      <c r="O985" s="587"/>
      <c r="P985" s="587"/>
      <c r="Q985" s="587"/>
    </row>
    <row r="986" spans="11:17" s="461" customFormat="1">
      <c r="K986" s="464"/>
      <c r="O986" s="587"/>
      <c r="P986" s="587"/>
      <c r="Q986" s="587"/>
    </row>
    <row r="987" spans="11:17" s="461" customFormat="1">
      <c r="K987" s="464"/>
      <c r="O987" s="587"/>
      <c r="P987" s="587"/>
      <c r="Q987" s="587"/>
    </row>
    <row r="988" spans="11:17" s="461" customFormat="1">
      <c r="K988" s="464"/>
      <c r="O988" s="587"/>
      <c r="P988" s="587"/>
      <c r="Q988" s="587"/>
    </row>
    <row r="989" spans="11:17" s="461" customFormat="1">
      <c r="K989" s="464"/>
      <c r="O989" s="587"/>
      <c r="P989" s="587"/>
      <c r="Q989" s="587"/>
    </row>
    <row r="990" spans="11:17" s="461" customFormat="1">
      <c r="K990" s="464"/>
      <c r="O990" s="587"/>
      <c r="P990" s="587"/>
      <c r="Q990" s="587"/>
    </row>
    <row r="991" spans="11:17" s="461" customFormat="1">
      <c r="K991" s="464"/>
      <c r="O991" s="587"/>
      <c r="P991" s="587"/>
      <c r="Q991" s="587"/>
    </row>
    <row r="992" spans="11:17" s="461" customFormat="1">
      <c r="K992" s="464"/>
      <c r="O992" s="587"/>
      <c r="P992" s="587"/>
      <c r="Q992" s="587"/>
    </row>
    <row r="993" spans="11:17" s="461" customFormat="1">
      <c r="K993" s="464"/>
      <c r="O993" s="587"/>
      <c r="P993" s="587"/>
      <c r="Q993" s="587"/>
    </row>
    <row r="994" spans="11:17" s="461" customFormat="1">
      <c r="K994" s="464"/>
      <c r="O994" s="587"/>
      <c r="P994" s="587"/>
      <c r="Q994" s="587"/>
    </row>
    <row r="995" spans="11:17" s="461" customFormat="1">
      <c r="K995" s="464"/>
      <c r="O995" s="587"/>
      <c r="P995" s="587"/>
      <c r="Q995" s="587"/>
    </row>
    <row r="996" spans="11:17" s="461" customFormat="1">
      <c r="K996" s="464"/>
      <c r="O996" s="587"/>
      <c r="P996" s="587"/>
      <c r="Q996" s="587"/>
    </row>
    <row r="997" spans="11:17" s="461" customFormat="1">
      <c r="K997" s="464"/>
      <c r="O997" s="587"/>
      <c r="P997" s="587"/>
      <c r="Q997" s="587"/>
    </row>
    <row r="998" spans="11:17" s="461" customFormat="1">
      <c r="K998" s="464"/>
      <c r="O998" s="587"/>
      <c r="P998" s="587"/>
      <c r="Q998" s="587"/>
    </row>
    <row r="999" spans="11:17" s="461" customFormat="1">
      <c r="K999" s="464"/>
      <c r="O999" s="587"/>
      <c r="P999" s="587"/>
      <c r="Q999" s="587"/>
    </row>
    <row r="1000" spans="11:17" s="461" customFormat="1">
      <c r="K1000" s="464"/>
      <c r="O1000" s="587"/>
      <c r="P1000" s="587"/>
      <c r="Q1000" s="587"/>
    </row>
    <row r="1001" spans="11:17" s="461" customFormat="1">
      <c r="K1001" s="464"/>
      <c r="O1001" s="587"/>
      <c r="P1001" s="587"/>
      <c r="Q1001" s="587"/>
    </row>
    <row r="1002" spans="11:17" s="461" customFormat="1">
      <c r="K1002" s="464"/>
      <c r="O1002" s="587"/>
      <c r="P1002" s="587"/>
      <c r="Q1002" s="587"/>
    </row>
    <row r="1003" spans="11:17" s="461" customFormat="1">
      <c r="K1003" s="464"/>
      <c r="O1003" s="587"/>
      <c r="P1003" s="587"/>
      <c r="Q1003" s="587"/>
    </row>
    <row r="1004" spans="11:17" s="461" customFormat="1">
      <c r="K1004" s="464"/>
      <c r="O1004" s="587"/>
      <c r="P1004" s="587"/>
      <c r="Q1004" s="587"/>
    </row>
    <row r="1005" spans="11:17" s="461" customFormat="1">
      <c r="K1005" s="464"/>
      <c r="O1005" s="587"/>
      <c r="P1005" s="587"/>
      <c r="Q1005" s="587"/>
    </row>
    <row r="1006" spans="11:17" s="461" customFormat="1">
      <c r="K1006" s="464"/>
      <c r="O1006" s="587"/>
      <c r="P1006" s="587"/>
      <c r="Q1006" s="587"/>
    </row>
    <row r="1007" spans="11:17" s="461" customFormat="1">
      <c r="K1007" s="464"/>
      <c r="O1007" s="587"/>
      <c r="P1007" s="587"/>
      <c r="Q1007" s="587"/>
    </row>
    <row r="1008" spans="11:17" s="461" customFormat="1">
      <c r="K1008" s="464"/>
      <c r="O1008" s="587"/>
      <c r="P1008" s="587"/>
      <c r="Q1008" s="587"/>
    </row>
    <row r="1009" spans="11:17" s="461" customFormat="1">
      <c r="K1009" s="464"/>
      <c r="O1009" s="587"/>
      <c r="P1009" s="587"/>
      <c r="Q1009" s="587"/>
    </row>
    <row r="1010" spans="11:17" s="461" customFormat="1">
      <c r="K1010" s="464"/>
      <c r="O1010" s="587"/>
      <c r="P1010" s="587"/>
      <c r="Q1010" s="587"/>
    </row>
    <row r="1011" spans="11:17" s="461" customFormat="1">
      <c r="K1011" s="464"/>
      <c r="O1011" s="587"/>
      <c r="P1011" s="587"/>
      <c r="Q1011" s="587"/>
    </row>
    <row r="1012" spans="11:17" s="461" customFormat="1">
      <c r="K1012" s="464"/>
      <c r="O1012" s="587"/>
      <c r="P1012" s="587"/>
      <c r="Q1012" s="587"/>
    </row>
    <row r="1013" spans="11:17" s="461" customFormat="1">
      <c r="K1013" s="464"/>
      <c r="O1013" s="587"/>
      <c r="P1013" s="587"/>
      <c r="Q1013" s="587"/>
    </row>
    <row r="1014" spans="11:17" s="461" customFormat="1">
      <c r="K1014" s="464"/>
      <c r="O1014" s="587"/>
      <c r="P1014" s="587"/>
      <c r="Q1014" s="587"/>
    </row>
    <row r="1015" spans="11:17" s="461" customFormat="1">
      <c r="K1015" s="464"/>
      <c r="O1015" s="587"/>
      <c r="P1015" s="587"/>
      <c r="Q1015" s="587"/>
    </row>
    <row r="1016" spans="11:17" s="461" customFormat="1">
      <c r="K1016" s="464"/>
      <c r="O1016" s="587"/>
      <c r="P1016" s="587"/>
      <c r="Q1016" s="587"/>
    </row>
    <row r="1017" spans="11:17" s="461" customFormat="1">
      <c r="K1017" s="464"/>
      <c r="O1017" s="587"/>
      <c r="P1017" s="587"/>
      <c r="Q1017" s="587"/>
    </row>
    <row r="1018" spans="11:17" s="461" customFormat="1">
      <c r="K1018" s="464"/>
      <c r="O1018" s="587"/>
      <c r="P1018" s="587"/>
      <c r="Q1018" s="587"/>
    </row>
    <row r="1019" spans="11:17" s="461" customFormat="1">
      <c r="K1019" s="464"/>
      <c r="O1019" s="587"/>
      <c r="P1019" s="587"/>
      <c r="Q1019" s="587"/>
    </row>
    <row r="1020" spans="11:17" s="461" customFormat="1">
      <c r="K1020" s="464"/>
      <c r="O1020" s="587"/>
      <c r="P1020" s="587"/>
      <c r="Q1020" s="587"/>
    </row>
    <row r="1021" spans="11:17" s="461" customFormat="1">
      <c r="K1021" s="464"/>
      <c r="O1021" s="587"/>
      <c r="P1021" s="587"/>
      <c r="Q1021" s="587"/>
    </row>
    <row r="1022" spans="11:17" s="461" customFormat="1">
      <c r="K1022" s="464"/>
      <c r="O1022" s="587"/>
      <c r="P1022" s="587"/>
      <c r="Q1022" s="587"/>
    </row>
    <row r="1023" spans="11:17" s="461" customFormat="1">
      <c r="K1023" s="464"/>
      <c r="O1023" s="587"/>
      <c r="P1023" s="587"/>
      <c r="Q1023" s="587"/>
    </row>
    <row r="1024" spans="11:17" s="461" customFormat="1">
      <c r="K1024" s="464"/>
      <c r="O1024" s="587"/>
      <c r="P1024" s="587"/>
      <c r="Q1024" s="587"/>
    </row>
    <row r="1025" spans="11:17" s="461" customFormat="1">
      <c r="K1025" s="464"/>
      <c r="O1025" s="587"/>
      <c r="P1025" s="587"/>
      <c r="Q1025" s="587"/>
    </row>
    <row r="1026" spans="11:17" s="461" customFormat="1">
      <c r="K1026" s="464"/>
      <c r="O1026" s="587"/>
      <c r="P1026" s="587"/>
      <c r="Q1026" s="587"/>
    </row>
    <row r="1027" spans="11:17" s="461" customFormat="1">
      <c r="K1027" s="464"/>
      <c r="O1027" s="587"/>
      <c r="P1027" s="587"/>
      <c r="Q1027" s="587"/>
    </row>
    <row r="1028" spans="11:17" s="461" customFormat="1">
      <c r="K1028" s="464"/>
      <c r="O1028" s="587"/>
      <c r="P1028" s="587"/>
      <c r="Q1028" s="587"/>
    </row>
    <row r="1029" spans="11:17" s="461" customFormat="1">
      <c r="K1029" s="464"/>
      <c r="O1029" s="587"/>
      <c r="P1029" s="587"/>
      <c r="Q1029" s="587"/>
    </row>
    <row r="1030" spans="11:17" s="461" customFormat="1">
      <c r="K1030" s="464"/>
      <c r="O1030" s="587"/>
      <c r="P1030" s="587"/>
      <c r="Q1030" s="587"/>
    </row>
    <row r="1031" spans="11:17" s="461" customFormat="1">
      <c r="K1031" s="464"/>
      <c r="O1031" s="587"/>
      <c r="P1031" s="587"/>
      <c r="Q1031" s="587"/>
    </row>
    <row r="1032" spans="11:17" s="461" customFormat="1">
      <c r="K1032" s="464"/>
      <c r="O1032" s="587"/>
      <c r="P1032" s="587"/>
      <c r="Q1032" s="587"/>
    </row>
    <row r="1033" spans="11:17" s="461" customFormat="1">
      <c r="K1033" s="464"/>
      <c r="O1033" s="587"/>
      <c r="P1033" s="587"/>
      <c r="Q1033" s="587"/>
    </row>
    <row r="1034" spans="11:17" s="461" customFormat="1">
      <c r="K1034" s="464"/>
      <c r="O1034" s="587"/>
      <c r="P1034" s="587"/>
      <c r="Q1034" s="587"/>
    </row>
    <row r="1035" spans="11:17" s="461" customFormat="1">
      <c r="K1035" s="464"/>
      <c r="O1035" s="587"/>
      <c r="P1035" s="587"/>
      <c r="Q1035" s="587"/>
    </row>
    <row r="1036" spans="11:17" s="461" customFormat="1">
      <c r="K1036" s="464"/>
      <c r="O1036" s="587"/>
      <c r="P1036" s="587"/>
      <c r="Q1036" s="587"/>
    </row>
    <row r="1037" spans="11:17" s="461" customFormat="1">
      <c r="K1037" s="464"/>
      <c r="O1037" s="587"/>
      <c r="P1037" s="587"/>
      <c r="Q1037" s="587"/>
    </row>
    <row r="1038" spans="11:17" s="461" customFormat="1">
      <c r="K1038" s="464"/>
      <c r="O1038" s="587"/>
      <c r="P1038" s="587"/>
      <c r="Q1038" s="587"/>
    </row>
    <row r="1039" spans="11:17" s="461" customFormat="1">
      <c r="K1039" s="464"/>
      <c r="O1039" s="587"/>
      <c r="P1039" s="587"/>
      <c r="Q1039" s="587"/>
    </row>
    <row r="1040" spans="11:17" s="461" customFormat="1">
      <c r="K1040" s="464"/>
      <c r="O1040" s="587"/>
      <c r="P1040" s="587"/>
      <c r="Q1040" s="587"/>
    </row>
    <row r="1041" spans="11:17" s="461" customFormat="1">
      <c r="K1041" s="464"/>
      <c r="O1041" s="587"/>
      <c r="P1041" s="587"/>
      <c r="Q1041" s="587"/>
    </row>
    <row r="1042" spans="11:17" s="461" customFormat="1">
      <c r="K1042" s="464"/>
      <c r="O1042" s="587"/>
      <c r="P1042" s="587"/>
      <c r="Q1042" s="587"/>
    </row>
    <row r="1043" spans="11:17" s="461" customFormat="1">
      <c r="K1043" s="464"/>
      <c r="O1043" s="587"/>
      <c r="P1043" s="587"/>
      <c r="Q1043" s="587"/>
    </row>
    <row r="1044" spans="11:17" s="461" customFormat="1">
      <c r="K1044" s="464"/>
      <c r="O1044" s="587"/>
      <c r="P1044" s="587"/>
      <c r="Q1044" s="587"/>
    </row>
    <row r="1045" spans="11:17" s="461" customFormat="1">
      <c r="K1045" s="464"/>
      <c r="O1045" s="587"/>
      <c r="P1045" s="587"/>
      <c r="Q1045" s="587"/>
    </row>
    <row r="1046" spans="11:17" s="461" customFormat="1">
      <c r="K1046" s="464"/>
      <c r="O1046" s="587"/>
      <c r="P1046" s="587"/>
      <c r="Q1046" s="587"/>
    </row>
    <row r="1047" spans="11:17" s="461" customFormat="1">
      <c r="K1047" s="464"/>
      <c r="O1047" s="587"/>
      <c r="P1047" s="587"/>
      <c r="Q1047" s="587"/>
    </row>
    <row r="1048" spans="11:17" s="461" customFormat="1">
      <c r="K1048" s="464"/>
      <c r="O1048" s="587"/>
      <c r="P1048" s="587"/>
      <c r="Q1048" s="587"/>
    </row>
    <row r="1049" spans="11:17" s="461" customFormat="1">
      <c r="K1049" s="464"/>
      <c r="O1049" s="587"/>
      <c r="P1049" s="587"/>
      <c r="Q1049" s="587"/>
    </row>
    <row r="1050" spans="11:17" s="461" customFormat="1">
      <c r="K1050" s="464"/>
      <c r="O1050" s="587"/>
      <c r="P1050" s="587"/>
      <c r="Q1050" s="587"/>
    </row>
    <row r="1051" spans="11:17" s="461" customFormat="1">
      <c r="K1051" s="464"/>
      <c r="O1051" s="587"/>
      <c r="P1051" s="587"/>
      <c r="Q1051" s="587"/>
    </row>
    <row r="1052" spans="11:17" s="461" customFormat="1">
      <c r="K1052" s="464"/>
      <c r="O1052" s="587"/>
      <c r="P1052" s="587"/>
      <c r="Q1052" s="587"/>
    </row>
    <row r="1053" spans="11:17" s="461" customFormat="1">
      <c r="K1053" s="464"/>
      <c r="O1053" s="587"/>
      <c r="P1053" s="587"/>
      <c r="Q1053" s="587"/>
    </row>
    <row r="1054" spans="11:17" s="461" customFormat="1">
      <c r="K1054" s="464"/>
      <c r="O1054" s="587"/>
      <c r="P1054" s="587"/>
      <c r="Q1054" s="587"/>
    </row>
    <row r="1055" spans="11:17" s="461" customFormat="1">
      <c r="K1055" s="464"/>
      <c r="O1055" s="587"/>
      <c r="P1055" s="587"/>
      <c r="Q1055" s="587"/>
    </row>
    <row r="1056" spans="11:17" s="461" customFormat="1">
      <c r="K1056" s="464"/>
      <c r="O1056" s="587"/>
      <c r="P1056" s="587"/>
      <c r="Q1056" s="587"/>
    </row>
    <row r="1057" spans="11:17" s="461" customFormat="1">
      <c r="K1057" s="464"/>
      <c r="O1057" s="587"/>
      <c r="P1057" s="587"/>
      <c r="Q1057" s="587"/>
    </row>
    <row r="1058" spans="11:17" s="461" customFormat="1">
      <c r="K1058" s="464"/>
      <c r="O1058" s="587"/>
      <c r="P1058" s="587"/>
      <c r="Q1058" s="587"/>
    </row>
    <row r="1059" spans="11:17" s="461" customFormat="1">
      <c r="K1059" s="464"/>
      <c r="O1059" s="587"/>
      <c r="P1059" s="587"/>
      <c r="Q1059" s="587"/>
    </row>
    <row r="1060" spans="11:17" s="461" customFormat="1">
      <c r="K1060" s="464"/>
      <c r="O1060" s="587"/>
      <c r="P1060" s="587"/>
      <c r="Q1060" s="587"/>
    </row>
    <row r="1061" spans="11:17" s="461" customFormat="1">
      <c r="K1061" s="464"/>
      <c r="O1061" s="587"/>
      <c r="P1061" s="587"/>
      <c r="Q1061" s="587"/>
    </row>
    <row r="1062" spans="11:17" s="461" customFormat="1">
      <c r="K1062" s="464"/>
      <c r="O1062" s="587"/>
      <c r="P1062" s="587"/>
      <c r="Q1062" s="587"/>
    </row>
    <row r="1063" spans="11:17" s="461" customFormat="1">
      <c r="K1063" s="464"/>
      <c r="O1063" s="587"/>
      <c r="P1063" s="587"/>
      <c r="Q1063" s="587"/>
    </row>
    <row r="1064" spans="11:17" s="461" customFormat="1">
      <c r="K1064" s="464"/>
      <c r="O1064" s="587"/>
      <c r="P1064" s="587"/>
      <c r="Q1064" s="587"/>
    </row>
    <row r="1065" spans="11:17" s="461" customFormat="1">
      <c r="K1065" s="464"/>
      <c r="O1065" s="587"/>
      <c r="P1065" s="587"/>
      <c r="Q1065" s="587"/>
    </row>
    <row r="1066" spans="11:17" s="461" customFormat="1">
      <c r="K1066" s="464"/>
      <c r="O1066" s="587"/>
      <c r="P1066" s="587"/>
      <c r="Q1066" s="587"/>
    </row>
    <row r="1067" spans="11:17" s="461" customFormat="1">
      <c r="K1067" s="464"/>
      <c r="O1067" s="587"/>
      <c r="P1067" s="587"/>
      <c r="Q1067" s="587"/>
    </row>
    <row r="1068" spans="11:17" s="461" customFormat="1">
      <c r="K1068" s="464"/>
      <c r="O1068" s="587"/>
      <c r="P1068" s="587"/>
      <c r="Q1068" s="587"/>
    </row>
    <row r="1069" spans="11:17" s="461" customFormat="1">
      <c r="K1069" s="464"/>
      <c r="O1069" s="587"/>
      <c r="P1069" s="587"/>
      <c r="Q1069" s="587"/>
    </row>
    <row r="1070" spans="11:17" s="461" customFormat="1">
      <c r="K1070" s="464"/>
      <c r="O1070" s="587"/>
      <c r="P1070" s="587"/>
      <c r="Q1070" s="587"/>
    </row>
    <row r="1071" spans="11:17" s="461" customFormat="1">
      <c r="K1071" s="464"/>
      <c r="O1071" s="587"/>
      <c r="P1071" s="587"/>
      <c r="Q1071" s="587"/>
    </row>
    <row r="1072" spans="11:17" s="461" customFormat="1">
      <c r="K1072" s="464"/>
      <c r="O1072" s="587"/>
      <c r="P1072" s="587"/>
      <c r="Q1072" s="587"/>
    </row>
    <row r="1073" spans="11:17" s="461" customFormat="1">
      <c r="K1073" s="464"/>
      <c r="O1073" s="587"/>
      <c r="P1073" s="587"/>
      <c r="Q1073" s="587"/>
    </row>
    <row r="1074" spans="11:17" s="461" customFormat="1">
      <c r="K1074" s="464"/>
      <c r="O1074" s="587"/>
      <c r="P1074" s="587"/>
      <c r="Q1074" s="587"/>
    </row>
    <row r="1075" spans="11:17" s="461" customFormat="1">
      <c r="K1075" s="464"/>
      <c r="O1075" s="587"/>
      <c r="P1075" s="587"/>
      <c r="Q1075" s="587"/>
    </row>
    <row r="1076" spans="11:17" s="461" customFormat="1">
      <c r="K1076" s="464"/>
      <c r="O1076" s="587"/>
      <c r="P1076" s="587"/>
      <c r="Q1076" s="587"/>
    </row>
    <row r="1077" spans="11:17" s="461" customFormat="1">
      <c r="K1077" s="464"/>
      <c r="O1077" s="587"/>
      <c r="P1077" s="587"/>
      <c r="Q1077" s="587"/>
    </row>
    <row r="1078" spans="11:17" s="461" customFormat="1">
      <c r="K1078" s="464"/>
      <c r="O1078" s="587"/>
      <c r="P1078" s="587"/>
      <c r="Q1078" s="587"/>
    </row>
    <row r="1079" spans="11:17" s="461" customFormat="1">
      <c r="K1079" s="464"/>
      <c r="O1079" s="587"/>
      <c r="P1079" s="587"/>
      <c r="Q1079" s="587"/>
    </row>
    <row r="1080" spans="11:17" s="461" customFormat="1">
      <c r="K1080" s="464"/>
      <c r="O1080" s="587"/>
      <c r="P1080" s="587"/>
      <c r="Q1080" s="587"/>
    </row>
    <row r="1081" spans="11:17" s="461" customFormat="1">
      <c r="K1081" s="464"/>
      <c r="O1081" s="587"/>
      <c r="P1081" s="587"/>
      <c r="Q1081" s="587"/>
    </row>
    <row r="1082" spans="11:17" s="461" customFormat="1">
      <c r="K1082" s="464"/>
      <c r="O1082" s="587"/>
      <c r="P1082" s="587"/>
      <c r="Q1082" s="587"/>
    </row>
    <row r="1083" spans="11:17" s="461" customFormat="1">
      <c r="K1083" s="464"/>
      <c r="O1083" s="587"/>
      <c r="P1083" s="587"/>
      <c r="Q1083" s="587"/>
    </row>
    <row r="1084" spans="11:17" s="461" customFormat="1">
      <c r="K1084" s="464"/>
      <c r="O1084" s="587"/>
      <c r="P1084" s="587"/>
      <c r="Q1084" s="587"/>
    </row>
    <row r="1085" spans="11:17" s="461" customFormat="1">
      <c r="K1085" s="464"/>
      <c r="O1085" s="587"/>
      <c r="P1085" s="587"/>
      <c r="Q1085" s="587"/>
    </row>
    <row r="1086" spans="11:17" s="461" customFormat="1">
      <c r="K1086" s="464"/>
      <c r="O1086" s="587"/>
      <c r="P1086" s="587"/>
      <c r="Q1086" s="587"/>
    </row>
    <row r="1087" spans="11:17" s="461" customFormat="1">
      <c r="K1087" s="464"/>
      <c r="O1087" s="587"/>
      <c r="P1087" s="587"/>
      <c r="Q1087" s="587"/>
    </row>
    <row r="1088" spans="11:17" s="461" customFormat="1">
      <c r="K1088" s="464"/>
      <c r="O1088" s="587"/>
      <c r="P1088" s="587"/>
      <c r="Q1088" s="587"/>
    </row>
    <row r="1089" spans="11:17" s="461" customFormat="1">
      <c r="K1089" s="464"/>
      <c r="O1089" s="587"/>
      <c r="P1089" s="587"/>
      <c r="Q1089" s="587"/>
    </row>
    <row r="1090" spans="11:17" s="461" customFormat="1">
      <c r="K1090" s="464"/>
      <c r="O1090" s="587"/>
      <c r="P1090" s="587"/>
      <c r="Q1090" s="587"/>
    </row>
    <row r="1091" spans="11:17" s="461" customFormat="1">
      <c r="K1091" s="464"/>
      <c r="O1091" s="587"/>
      <c r="P1091" s="587"/>
      <c r="Q1091" s="587"/>
    </row>
    <row r="1092" spans="11:17" s="461" customFormat="1">
      <c r="K1092" s="464"/>
      <c r="O1092" s="587"/>
      <c r="P1092" s="587"/>
      <c r="Q1092" s="587"/>
    </row>
    <row r="1093" spans="11:17" s="461" customFormat="1">
      <c r="K1093" s="464"/>
      <c r="O1093" s="587"/>
      <c r="P1093" s="587"/>
      <c r="Q1093" s="587"/>
    </row>
    <row r="1094" spans="11:17" s="461" customFormat="1">
      <c r="K1094" s="464"/>
      <c r="O1094" s="587"/>
      <c r="P1094" s="587"/>
      <c r="Q1094" s="587"/>
    </row>
    <row r="1095" spans="11:17" s="461" customFormat="1">
      <c r="K1095" s="464"/>
      <c r="O1095" s="587"/>
      <c r="P1095" s="587"/>
      <c r="Q1095" s="587"/>
    </row>
    <row r="1096" spans="11:17" s="461" customFormat="1">
      <c r="K1096" s="464"/>
      <c r="O1096" s="587"/>
      <c r="P1096" s="587"/>
      <c r="Q1096" s="587"/>
    </row>
    <row r="1097" spans="11:17" s="461" customFormat="1">
      <c r="K1097" s="464"/>
      <c r="O1097" s="587"/>
      <c r="P1097" s="587"/>
      <c r="Q1097" s="587"/>
    </row>
    <row r="1098" spans="11:17" s="461" customFormat="1">
      <c r="K1098" s="464"/>
      <c r="O1098" s="587"/>
      <c r="P1098" s="587"/>
      <c r="Q1098" s="587"/>
    </row>
    <row r="1099" spans="11:17" s="461" customFormat="1">
      <c r="K1099" s="464"/>
      <c r="O1099" s="587"/>
      <c r="P1099" s="587"/>
      <c r="Q1099" s="587"/>
    </row>
    <row r="1100" spans="11:17" s="461" customFormat="1">
      <c r="K1100" s="464"/>
      <c r="O1100" s="587"/>
      <c r="P1100" s="587"/>
      <c r="Q1100" s="587"/>
    </row>
    <row r="1101" spans="11:17" s="461" customFormat="1">
      <c r="K1101" s="464"/>
      <c r="O1101" s="587"/>
      <c r="P1101" s="587"/>
      <c r="Q1101" s="587"/>
    </row>
    <row r="1102" spans="11:17" s="461" customFormat="1">
      <c r="K1102" s="464"/>
      <c r="O1102" s="587"/>
      <c r="P1102" s="587"/>
      <c r="Q1102" s="587"/>
    </row>
    <row r="1103" spans="11:17" s="461" customFormat="1">
      <c r="K1103" s="464"/>
      <c r="O1103" s="587"/>
      <c r="P1103" s="587"/>
      <c r="Q1103" s="587"/>
    </row>
    <row r="1104" spans="11:17" s="461" customFormat="1">
      <c r="K1104" s="464"/>
      <c r="O1104" s="587"/>
      <c r="P1104" s="587"/>
      <c r="Q1104" s="587"/>
    </row>
    <row r="1105" spans="11:17" s="461" customFormat="1">
      <c r="K1105" s="464"/>
      <c r="O1105" s="587"/>
      <c r="P1105" s="587"/>
      <c r="Q1105" s="587"/>
    </row>
    <row r="1106" spans="11:17" s="461" customFormat="1">
      <c r="K1106" s="464"/>
      <c r="O1106" s="587"/>
      <c r="P1106" s="587"/>
      <c r="Q1106" s="587"/>
    </row>
    <row r="1107" spans="11:17" s="461" customFormat="1">
      <c r="K1107" s="464"/>
      <c r="O1107" s="587"/>
      <c r="P1107" s="587"/>
      <c r="Q1107" s="587"/>
    </row>
    <row r="1108" spans="11:17" s="461" customFormat="1">
      <c r="K1108" s="464"/>
      <c r="O1108" s="587"/>
      <c r="P1108" s="587"/>
      <c r="Q1108" s="587"/>
    </row>
    <row r="1109" spans="11:17" s="461" customFormat="1">
      <c r="K1109" s="464"/>
      <c r="O1109" s="587"/>
      <c r="P1109" s="587"/>
      <c r="Q1109" s="587"/>
    </row>
    <row r="1110" spans="11:17" s="461" customFormat="1">
      <c r="K1110" s="464"/>
      <c r="O1110" s="587"/>
      <c r="P1110" s="587"/>
      <c r="Q1110" s="587"/>
    </row>
    <row r="1111" spans="11:17" s="461" customFormat="1">
      <c r="K1111" s="464"/>
      <c r="O1111" s="587"/>
      <c r="P1111" s="587"/>
      <c r="Q1111" s="587"/>
    </row>
    <row r="1112" spans="11:17" s="461" customFormat="1">
      <c r="K1112" s="464"/>
      <c r="O1112" s="587"/>
      <c r="P1112" s="587"/>
      <c r="Q1112" s="587"/>
    </row>
    <row r="1113" spans="11:17" s="461" customFormat="1">
      <c r="K1113" s="464"/>
      <c r="O1113" s="587"/>
      <c r="P1113" s="587"/>
      <c r="Q1113" s="587"/>
    </row>
    <row r="1114" spans="11:17" s="461" customFormat="1">
      <c r="K1114" s="464"/>
      <c r="O1114" s="587"/>
      <c r="P1114" s="587"/>
      <c r="Q1114" s="587"/>
    </row>
    <row r="1115" spans="11:17" s="461" customFormat="1">
      <c r="K1115" s="464"/>
      <c r="O1115" s="587"/>
      <c r="P1115" s="587"/>
      <c r="Q1115" s="587"/>
    </row>
    <row r="1116" spans="11:17" s="461" customFormat="1">
      <c r="K1116" s="464"/>
      <c r="O1116" s="587"/>
      <c r="P1116" s="587"/>
      <c r="Q1116" s="587"/>
    </row>
    <row r="1117" spans="11:17" s="461" customFormat="1">
      <c r="K1117" s="464"/>
      <c r="O1117" s="587"/>
      <c r="P1117" s="587"/>
      <c r="Q1117" s="587"/>
    </row>
    <row r="1118" spans="11:17" s="461" customFormat="1">
      <c r="K1118" s="464"/>
      <c r="O1118" s="587"/>
      <c r="P1118" s="587"/>
      <c r="Q1118" s="587"/>
    </row>
    <row r="1119" spans="11:17" s="461" customFormat="1">
      <c r="K1119" s="464"/>
      <c r="O1119" s="587"/>
      <c r="P1119" s="587"/>
      <c r="Q1119" s="587"/>
    </row>
    <row r="1120" spans="11:17" s="461" customFormat="1">
      <c r="K1120" s="464"/>
      <c r="O1120" s="587"/>
      <c r="P1120" s="587"/>
      <c r="Q1120" s="587"/>
    </row>
    <row r="1121" spans="11:17" s="461" customFormat="1">
      <c r="K1121" s="464"/>
      <c r="O1121" s="587"/>
      <c r="P1121" s="587"/>
      <c r="Q1121" s="587"/>
    </row>
    <row r="1122" spans="11:17" s="461" customFormat="1">
      <c r="K1122" s="464"/>
      <c r="O1122" s="587"/>
      <c r="P1122" s="587"/>
      <c r="Q1122" s="587"/>
    </row>
    <row r="1123" spans="11:17" s="461" customFormat="1">
      <c r="K1123" s="464"/>
      <c r="O1123" s="587"/>
      <c r="P1123" s="587"/>
      <c r="Q1123" s="587"/>
    </row>
    <row r="1124" spans="11:17" s="461" customFormat="1">
      <c r="K1124" s="464"/>
      <c r="O1124" s="587"/>
      <c r="P1124" s="587"/>
      <c r="Q1124" s="587"/>
    </row>
    <row r="1125" spans="11:17" s="461" customFormat="1">
      <c r="K1125" s="464"/>
      <c r="O1125" s="587"/>
      <c r="P1125" s="587"/>
      <c r="Q1125" s="587"/>
    </row>
    <row r="1126" spans="11:17" s="461" customFormat="1">
      <c r="K1126" s="464"/>
      <c r="O1126" s="587"/>
      <c r="P1126" s="587"/>
      <c r="Q1126" s="587"/>
    </row>
    <row r="1127" spans="11:17" s="461" customFormat="1">
      <c r="K1127" s="464"/>
      <c r="O1127" s="587"/>
      <c r="P1127" s="587"/>
      <c r="Q1127" s="587"/>
    </row>
    <row r="1128" spans="11:17" s="461" customFormat="1">
      <c r="K1128" s="464"/>
      <c r="O1128" s="587"/>
      <c r="P1128" s="587"/>
      <c r="Q1128" s="587"/>
    </row>
    <row r="1129" spans="11:17" s="461" customFormat="1">
      <c r="K1129" s="464"/>
      <c r="O1129" s="587"/>
      <c r="P1129" s="587"/>
      <c r="Q1129" s="587"/>
    </row>
    <row r="1130" spans="11:17" s="461" customFormat="1">
      <c r="K1130" s="464"/>
      <c r="O1130" s="587"/>
      <c r="P1130" s="587"/>
      <c r="Q1130" s="587"/>
    </row>
    <row r="1131" spans="11:17" s="461" customFormat="1">
      <c r="K1131" s="464"/>
      <c r="O1131" s="587"/>
      <c r="P1131" s="587"/>
      <c r="Q1131" s="587"/>
    </row>
    <row r="1132" spans="11:17" s="461" customFormat="1">
      <c r="K1132" s="464"/>
      <c r="O1132" s="587"/>
      <c r="P1132" s="587"/>
      <c r="Q1132" s="587"/>
    </row>
    <row r="1133" spans="11:17" s="461" customFormat="1">
      <c r="K1133" s="464"/>
      <c r="O1133" s="587"/>
      <c r="P1133" s="587"/>
      <c r="Q1133" s="587"/>
    </row>
    <row r="1134" spans="11:17" s="461" customFormat="1">
      <c r="K1134" s="464"/>
      <c r="O1134" s="587"/>
      <c r="P1134" s="587"/>
      <c r="Q1134" s="587"/>
    </row>
    <row r="1135" spans="11:17" s="461" customFormat="1">
      <c r="K1135" s="464"/>
      <c r="O1135" s="587"/>
      <c r="P1135" s="587"/>
      <c r="Q1135" s="587"/>
    </row>
    <row r="1136" spans="11:17" s="461" customFormat="1">
      <c r="K1136" s="464"/>
      <c r="O1136" s="587"/>
      <c r="P1136" s="587"/>
      <c r="Q1136" s="587"/>
    </row>
    <row r="1137" spans="11:17" s="461" customFormat="1">
      <c r="K1137" s="464"/>
      <c r="O1137" s="587"/>
      <c r="P1137" s="587"/>
      <c r="Q1137" s="587"/>
    </row>
    <row r="1138" spans="11:17" s="461" customFormat="1">
      <c r="K1138" s="464"/>
      <c r="O1138" s="587"/>
      <c r="P1138" s="587"/>
      <c r="Q1138" s="587"/>
    </row>
    <row r="1139" spans="11:17" s="461" customFormat="1">
      <c r="K1139" s="464"/>
      <c r="O1139" s="587"/>
      <c r="P1139" s="587"/>
      <c r="Q1139" s="587"/>
    </row>
    <row r="1140" spans="11:17" s="461" customFormat="1">
      <c r="K1140" s="464"/>
      <c r="O1140" s="587"/>
      <c r="P1140" s="587"/>
      <c r="Q1140" s="587"/>
    </row>
    <row r="1141" spans="11:17" s="461" customFormat="1">
      <c r="K1141" s="464"/>
      <c r="O1141" s="587"/>
      <c r="P1141" s="587"/>
      <c r="Q1141" s="587"/>
    </row>
    <row r="1142" spans="11:17" s="461" customFormat="1">
      <c r="K1142" s="464"/>
      <c r="O1142" s="587"/>
      <c r="P1142" s="587"/>
      <c r="Q1142" s="587"/>
    </row>
    <row r="1143" spans="11:17" s="461" customFormat="1">
      <c r="K1143" s="464"/>
      <c r="O1143" s="587"/>
      <c r="P1143" s="587"/>
      <c r="Q1143" s="587"/>
    </row>
    <row r="1144" spans="11:17" s="461" customFormat="1">
      <c r="K1144" s="464"/>
      <c r="O1144" s="587"/>
      <c r="P1144" s="587"/>
      <c r="Q1144" s="587"/>
    </row>
    <row r="1145" spans="11:17" s="461" customFormat="1">
      <c r="K1145" s="464"/>
      <c r="O1145" s="587"/>
      <c r="P1145" s="587"/>
      <c r="Q1145" s="587"/>
    </row>
    <row r="1146" spans="11:17" s="461" customFormat="1">
      <c r="K1146" s="464"/>
      <c r="O1146" s="587"/>
      <c r="P1146" s="587"/>
      <c r="Q1146" s="587"/>
    </row>
    <row r="1147" spans="11:17" s="461" customFormat="1">
      <c r="K1147" s="464"/>
      <c r="O1147" s="587"/>
      <c r="P1147" s="587"/>
      <c r="Q1147" s="587"/>
    </row>
    <row r="1148" spans="11:17" s="461" customFormat="1">
      <c r="K1148" s="464"/>
      <c r="O1148" s="587"/>
      <c r="P1148" s="587"/>
      <c r="Q1148" s="587"/>
    </row>
    <row r="1149" spans="11:17" s="461" customFormat="1">
      <c r="K1149" s="464"/>
      <c r="O1149" s="587"/>
      <c r="P1149" s="587"/>
      <c r="Q1149" s="587"/>
    </row>
    <row r="1150" spans="11:17" s="461" customFormat="1">
      <c r="K1150" s="464"/>
      <c r="O1150" s="587"/>
      <c r="P1150" s="587"/>
      <c r="Q1150" s="587"/>
    </row>
    <row r="1151" spans="11:17" s="461" customFormat="1">
      <c r="K1151" s="464"/>
      <c r="O1151" s="587"/>
      <c r="P1151" s="587"/>
      <c r="Q1151" s="587"/>
    </row>
    <row r="1152" spans="11:17" s="461" customFormat="1">
      <c r="K1152" s="464"/>
      <c r="O1152" s="587"/>
      <c r="P1152" s="587"/>
      <c r="Q1152" s="587"/>
    </row>
    <row r="1153" spans="5:18">
      <c r="E1153" s="461"/>
      <c r="F1153" s="461"/>
      <c r="R1153" s="461"/>
    </row>
    <row r="1154" spans="5:18">
      <c r="E1154" s="461"/>
      <c r="F1154" s="461"/>
      <c r="R1154" s="461"/>
    </row>
    <row r="1155" spans="5:18">
      <c r="E1155" s="461"/>
      <c r="F1155" s="461"/>
      <c r="R1155" s="461"/>
    </row>
    <row r="1156" spans="5:18">
      <c r="E1156" s="461"/>
      <c r="F1156" s="461"/>
      <c r="R1156" s="461"/>
    </row>
    <row r="1157" spans="5:18">
      <c r="E1157" s="461"/>
      <c r="F1157" s="461"/>
      <c r="R1157" s="461"/>
    </row>
    <row r="1158" spans="5:18">
      <c r="E1158" s="461"/>
      <c r="F1158" s="461"/>
      <c r="R1158" s="461"/>
    </row>
    <row r="1159" spans="5:18">
      <c r="E1159" s="461"/>
      <c r="F1159" s="461"/>
      <c r="R1159" s="466"/>
    </row>
    <row r="1160" spans="5:18">
      <c r="E1160" s="461"/>
      <c r="F1160" s="461"/>
    </row>
    <row r="1161" spans="5:18">
      <c r="E1161" s="461"/>
      <c r="F1161" s="461"/>
    </row>
    <row r="1162" spans="5:18">
      <c r="E1162" s="461"/>
      <c r="F1162" s="461"/>
    </row>
    <row r="1163" spans="5:18">
      <c r="E1163" s="461"/>
      <c r="F1163" s="461"/>
    </row>
    <row r="1164" spans="5:18">
      <c r="E1164" s="461"/>
      <c r="F1164" s="461"/>
    </row>
    <row r="1165" spans="5:18">
      <c r="E1165" s="461"/>
      <c r="F1165" s="461"/>
    </row>
    <row r="1166" spans="5:18">
      <c r="E1166" s="461"/>
      <c r="F1166" s="461"/>
    </row>
    <row r="1167" spans="5:18">
      <c r="E1167" s="461"/>
      <c r="F1167" s="461"/>
    </row>
    <row r="1168" spans="5:18">
      <c r="E1168" s="461"/>
      <c r="F1168" s="461"/>
    </row>
    <row r="1169" spans="5:6">
      <c r="E1169" s="461"/>
      <c r="F1169" s="461"/>
    </row>
    <row r="1170" spans="5:6">
      <c r="E1170" s="461"/>
      <c r="F1170" s="461"/>
    </row>
    <row r="1171" spans="5:6">
      <c r="E1171" s="461"/>
      <c r="F1171" s="461"/>
    </row>
    <row r="1172" spans="5:6">
      <c r="E1172" s="461"/>
      <c r="F1172" s="461"/>
    </row>
    <row r="1173" spans="5:6">
      <c r="E1173" s="461"/>
      <c r="F1173" s="461"/>
    </row>
    <row r="1174" spans="5:6">
      <c r="E1174" s="461"/>
      <c r="F1174" s="461"/>
    </row>
  </sheetData>
  <sheetProtection algorithmName="SHA-512" hashValue="0GhRxOUYMl3vlOQdwlUyZ7XCqKTQdeoWeIymrpRnXNfIllA/6cwElaUkWVx3bFshFgA5j39lXxb+LyA0Z7Qehw==" saltValue="By3J2DozMpWMZlJ+wxDZYw==" spinCount="100000" sheet="1" objects="1" scenarios="1"/>
  <mergeCells count="471">
    <mergeCell ref="R151:R166"/>
    <mergeCell ref="R167:R168"/>
    <mergeCell ref="S28:S29"/>
    <mergeCell ref="R142:R149"/>
    <mergeCell ref="A1:L1"/>
    <mergeCell ref="H17:H18"/>
    <mergeCell ref="O1:R1"/>
    <mergeCell ref="P20:P23"/>
    <mergeCell ref="Q20:Q23"/>
    <mergeCell ref="A24:A27"/>
    <mergeCell ref="B26:B27"/>
    <mergeCell ref="C26:C27"/>
    <mergeCell ref="O17:Q17"/>
    <mergeCell ref="R17:R18"/>
    <mergeCell ref="A20:A23"/>
    <mergeCell ref="B20:B23"/>
    <mergeCell ref="C20:C23"/>
    <mergeCell ref="K20:K23"/>
    <mergeCell ref="L20:L23"/>
    <mergeCell ref="M20:M23"/>
    <mergeCell ref="N20:N23"/>
    <mergeCell ref="O20:O23"/>
    <mergeCell ref="N17:N18"/>
    <mergeCell ref="A28:A29"/>
    <mergeCell ref="B28:B29"/>
    <mergeCell ref="C28:C29"/>
    <mergeCell ref="L28:L29"/>
    <mergeCell ref="M28:M29"/>
    <mergeCell ref="K28:K29"/>
    <mergeCell ref="A12:R12"/>
    <mergeCell ref="M32:M33"/>
    <mergeCell ref="B17:B18"/>
    <mergeCell ref="A17:A18"/>
    <mergeCell ref="I17:I18"/>
    <mergeCell ref="G17:G18"/>
    <mergeCell ref="F17:F18"/>
    <mergeCell ref="E17:E18"/>
    <mergeCell ref="D17:D18"/>
    <mergeCell ref="C17:C18"/>
    <mergeCell ref="K30:K31"/>
    <mergeCell ref="K32:K33"/>
    <mergeCell ref="A30:A31"/>
    <mergeCell ref="B30:B31"/>
    <mergeCell ref="C30:C31"/>
    <mergeCell ref="L30:L31"/>
    <mergeCell ref="M30:M31"/>
    <mergeCell ref="J17:J18"/>
    <mergeCell ref="R32:R33"/>
    <mergeCell ref="O35:O36"/>
    <mergeCell ref="K35:K38"/>
    <mergeCell ref="K17:K18"/>
    <mergeCell ref="L17:L18"/>
    <mergeCell ref="M17:M18"/>
    <mergeCell ref="N30:N31"/>
    <mergeCell ref="N32:N33"/>
    <mergeCell ref="L43:L45"/>
    <mergeCell ref="O32:O33"/>
    <mergeCell ref="B41:B42"/>
    <mergeCell ref="C41:C42"/>
    <mergeCell ref="A32:A33"/>
    <mergeCell ref="B32:B33"/>
    <mergeCell ref="C32:C33"/>
    <mergeCell ref="L32:L33"/>
    <mergeCell ref="M49:M50"/>
    <mergeCell ref="A46:A48"/>
    <mergeCell ref="B46:B48"/>
    <mergeCell ref="C46:C48"/>
    <mergeCell ref="L46:L48"/>
    <mergeCell ref="M46:M48"/>
    <mergeCell ref="A49:A50"/>
    <mergeCell ref="B49:B50"/>
    <mergeCell ref="C49:C50"/>
    <mergeCell ref="K43:K48"/>
    <mergeCell ref="A35:A38"/>
    <mergeCell ref="B35:B38"/>
    <mergeCell ref="C35:C38"/>
    <mergeCell ref="L35:L38"/>
    <mergeCell ref="M35:M38"/>
    <mergeCell ref="C43:C44"/>
    <mergeCell ref="K49:K50"/>
    <mergeCell ref="Q55:Q56"/>
    <mergeCell ref="A39:A40"/>
    <mergeCell ref="A41:A42"/>
    <mergeCell ref="N51:N52"/>
    <mergeCell ref="O51:O52"/>
    <mergeCell ref="P51:P52"/>
    <mergeCell ref="Q51:Q52"/>
    <mergeCell ref="A53:A54"/>
    <mergeCell ref="B53:B54"/>
    <mergeCell ref="C53:C54"/>
    <mergeCell ref="L53:L54"/>
    <mergeCell ref="M53:M54"/>
    <mergeCell ref="A51:A52"/>
    <mergeCell ref="B51:B52"/>
    <mergeCell ref="C51:C52"/>
    <mergeCell ref="L51:L52"/>
    <mergeCell ref="M51:M52"/>
    <mergeCell ref="N53:N54"/>
    <mergeCell ref="O53:O54"/>
    <mergeCell ref="P53:P54"/>
    <mergeCell ref="Q53:Q54"/>
    <mergeCell ref="L49:L50"/>
    <mergeCell ref="B39:B40"/>
    <mergeCell ref="C39:C40"/>
    <mergeCell ref="A69:A71"/>
    <mergeCell ref="B69:B71"/>
    <mergeCell ref="C69:C71"/>
    <mergeCell ref="D69:D70"/>
    <mergeCell ref="K67:K71"/>
    <mergeCell ref="Q60:Q61"/>
    <mergeCell ref="A57:A59"/>
    <mergeCell ref="B57:B59"/>
    <mergeCell ref="C57:C59"/>
    <mergeCell ref="L57:L59"/>
    <mergeCell ref="M57:M59"/>
    <mergeCell ref="N57:N59"/>
    <mergeCell ref="O57:O59"/>
    <mergeCell ref="P57:P59"/>
    <mergeCell ref="Q57:Q59"/>
    <mergeCell ref="C60:C61"/>
    <mergeCell ref="L60:L61"/>
    <mergeCell ref="M60:M61"/>
    <mergeCell ref="P60:P61"/>
    <mergeCell ref="Q62:Q64"/>
    <mergeCell ref="A60:A61"/>
    <mergeCell ref="B60:B61"/>
    <mergeCell ref="N60:N61"/>
    <mergeCell ref="O60:O61"/>
    <mergeCell ref="A75:A76"/>
    <mergeCell ref="B75:B76"/>
    <mergeCell ref="C75:C76"/>
    <mergeCell ref="L75:L76"/>
    <mergeCell ref="M75:M76"/>
    <mergeCell ref="N75:N76"/>
    <mergeCell ref="A72:A74"/>
    <mergeCell ref="B72:B74"/>
    <mergeCell ref="C72:C74"/>
    <mergeCell ref="L72:L74"/>
    <mergeCell ref="M72:M74"/>
    <mergeCell ref="N72:N74"/>
    <mergeCell ref="A77:A79"/>
    <mergeCell ref="B77:B79"/>
    <mergeCell ref="C77:C79"/>
    <mergeCell ref="L77:L79"/>
    <mergeCell ref="M77:M79"/>
    <mergeCell ref="N77:N79"/>
    <mergeCell ref="O77:O79"/>
    <mergeCell ref="P77:P79"/>
    <mergeCell ref="Q77:Q79"/>
    <mergeCell ref="A80:A81"/>
    <mergeCell ref="B80:B81"/>
    <mergeCell ref="C80:C81"/>
    <mergeCell ref="L80:L81"/>
    <mergeCell ref="M80:M81"/>
    <mergeCell ref="N80:N81"/>
    <mergeCell ref="O80:O81"/>
    <mergeCell ref="P80:P81"/>
    <mergeCell ref="Q80:Q81"/>
    <mergeCell ref="A82:A83"/>
    <mergeCell ref="B82:B83"/>
    <mergeCell ref="C82:C83"/>
    <mergeCell ref="L82:L83"/>
    <mergeCell ref="M82:M83"/>
    <mergeCell ref="N82:N83"/>
    <mergeCell ref="Q84:Q86"/>
    <mergeCell ref="A88:A90"/>
    <mergeCell ref="B88:B90"/>
    <mergeCell ref="C88:C90"/>
    <mergeCell ref="L88:L90"/>
    <mergeCell ref="M88:M90"/>
    <mergeCell ref="N88:N90"/>
    <mergeCell ref="O82:O83"/>
    <mergeCell ref="P82:P83"/>
    <mergeCell ref="Q82:Q83"/>
    <mergeCell ref="A84:A86"/>
    <mergeCell ref="B84:B86"/>
    <mergeCell ref="C84:C86"/>
    <mergeCell ref="L84:L86"/>
    <mergeCell ref="M84:M86"/>
    <mergeCell ref="N84:N86"/>
    <mergeCell ref="O88:O90"/>
    <mergeCell ref="A100:A101"/>
    <mergeCell ref="B100:B101"/>
    <mergeCell ref="C100:C101"/>
    <mergeCell ref="L100:L101"/>
    <mergeCell ref="M100:M101"/>
    <mergeCell ref="N100:N101"/>
    <mergeCell ref="O100:O101"/>
    <mergeCell ref="P100:P101"/>
    <mergeCell ref="M102:M103"/>
    <mergeCell ref="N102:N103"/>
    <mergeCell ref="O102:O103"/>
    <mergeCell ref="P102:P103"/>
    <mergeCell ref="A105:A106"/>
    <mergeCell ref="L105:L106"/>
    <mergeCell ref="M105:M106"/>
    <mergeCell ref="N105:N106"/>
    <mergeCell ref="O105:O106"/>
    <mergeCell ref="P105:P106"/>
    <mergeCell ref="Q105:Q106"/>
    <mergeCell ref="A102:A103"/>
    <mergeCell ref="B102:B103"/>
    <mergeCell ref="C102:C103"/>
    <mergeCell ref="L102:L103"/>
    <mergeCell ref="A109:A110"/>
    <mergeCell ref="L109:L110"/>
    <mergeCell ref="M109:M110"/>
    <mergeCell ref="N109:N110"/>
    <mergeCell ref="O109:O110"/>
    <mergeCell ref="P109:P110"/>
    <mergeCell ref="Q109:Q110"/>
    <mergeCell ref="P111:P112"/>
    <mergeCell ref="Q111:Q112"/>
    <mergeCell ref="A111:A112"/>
    <mergeCell ref="B111:B112"/>
    <mergeCell ref="L111:L112"/>
    <mergeCell ref="M111:M112"/>
    <mergeCell ref="N111:N112"/>
    <mergeCell ref="O111:O112"/>
    <mergeCell ref="A107:A108"/>
    <mergeCell ref="B107:B108"/>
    <mergeCell ref="C107:C108"/>
    <mergeCell ref="L107:L108"/>
    <mergeCell ref="M107:M108"/>
    <mergeCell ref="N107:N108"/>
    <mergeCell ref="O107:O108"/>
    <mergeCell ref="P107:P108"/>
    <mergeCell ref="Q107:Q108"/>
    <mergeCell ref="B134:B136"/>
    <mergeCell ref="C134:C136"/>
    <mergeCell ref="L134:L136"/>
    <mergeCell ref="P114:P115"/>
    <mergeCell ref="Q114:Q115"/>
    <mergeCell ref="A117:A120"/>
    <mergeCell ref="B117:B120"/>
    <mergeCell ref="C117:C120"/>
    <mergeCell ref="L117:L120"/>
    <mergeCell ref="M117:M120"/>
    <mergeCell ref="N117:N120"/>
    <mergeCell ref="O117:O120"/>
    <mergeCell ref="P117:P120"/>
    <mergeCell ref="Q117:Q120"/>
    <mergeCell ref="A114:A115"/>
    <mergeCell ref="B114:B115"/>
    <mergeCell ref="C114:C115"/>
    <mergeCell ref="L114:L115"/>
    <mergeCell ref="M114:M115"/>
    <mergeCell ref="N114:N115"/>
    <mergeCell ref="O114:O115"/>
    <mergeCell ref="A131:A133"/>
    <mergeCell ref="B131:B133"/>
    <mergeCell ref="P131:P133"/>
    <mergeCell ref="C131:C133"/>
    <mergeCell ref="L131:L133"/>
    <mergeCell ref="M131:M133"/>
    <mergeCell ref="N131:N133"/>
    <mergeCell ref="O131:O133"/>
    <mergeCell ref="Q131:Q133"/>
    <mergeCell ref="A129:A130"/>
    <mergeCell ref="B129:B130"/>
    <mergeCell ref="C129:C130"/>
    <mergeCell ref="L129:L130"/>
    <mergeCell ref="M129:M130"/>
    <mergeCell ref="N129:N130"/>
    <mergeCell ref="O129:O130"/>
    <mergeCell ref="P129:P130"/>
    <mergeCell ref="Q129:Q130"/>
    <mergeCell ref="A142:A144"/>
    <mergeCell ref="B142:B144"/>
    <mergeCell ref="C142:C144"/>
    <mergeCell ref="L142:L144"/>
    <mergeCell ref="M142:M144"/>
    <mergeCell ref="N142:N144"/>
    <mergeCell ref="O142:O144"/>
    <mergeCell ref="L137:L139"/>
    <mergeCell ref="M137:M139"/>
    <mergeCell ref="N137:N139"/>
    <mergeCell ref="K142:K144"/>
    <mergeCell ref="M164:M166"/>
    <mergeCell ref="N164:N166"/>
    <mergeCell ref="O164:O166"/>
    <mergeCell ref="P164:P166"/>
    <mergeCell ref="Q164:Q166"/>
    <mergeCell ref="A151:A152"/>
    <mergeCell ref="B151:B152"/>
    <mergeCell ref="C151:C152"/>
    <mergeCell ref="L151:L152"/>
    <mergeCell ref="M151:M152"/>
    <mergeCell ref="N151:N152"/>
    <mergeCell ref="O151:O152"/>
    <mergeCell ref="P151:P152"/>
    <mergeCell ref="Q151:Q152"/>
    <mergeCell ref="A159:A160"/>
    <mergeCell ref="B159:B160"/>
    <mergeCell ref="C159:C160"/>
    <mergeCell ref="L159:L160"/>
    <mergeCell ref="M159:M160"/>
    <mergeCell ref="N159:N160"/>
    <mergeCell ref="O159:O160"/>
    <mergeCell ref="P159:P160"/>
    <mergeCell ref="Q159:Q160"/>
    <mergeCell ref="K159:K160"/>
    <mergeCell ref="K114:K115"/>
    <mergeCell ref="R114:R115"/>
    <mergeCell ref="K105:K112"/>
    <mergeCell ref="K117:K120"/>
    <mergeCell ref="K129:K139"/>
    <mergeCell ref="K164:K166"/>
    <mergeCell ref="B105:B106"/>
    <mergeCell ref="C105:C106"/>
    <mergeCell ref="B169:D169"/>
    <mergeCell ref="C109:C110"/>
    <mergeCell ref="B109:B110"/>
    <mergeCell ref="C111:C112"/>
    <mergeCell ref="B167:B168"/>
    <mergeCell ref="C167:C168"/>
    <mergeCell ref="L167:L168"/>
    <mergeCell ref="M167:M168"/>
    <mergeCell ref="N167:N168"/>
    <mergeCell ref="O167:O168"/>
    <mergeCell ref="P167:P168"/>
    <mergeCell ref="Q167:Q168"/>
    <mergeCell ref="K167:K168"/>
    <mergeCell ref="B164:B166"/>
    <mergeCell ref="C164:C166"/>
    <mergeCell ref="L164:L166"/>
    <mergeCell ref="A97:A99"/>
    <mergeCell ref="B97:B99"/>
    <mergeCell ref="C97:C99"/>
    <mergeCell ref="B176:D176"/>
    <mergeCell ref="B177:D177"/>
    <mergeCell ref="B178:D178"/>
    <mergeCell ref="B179:D179"/>
    <mergeCell ref="B180:D180"/>
    <mergeCell ref="B181:D181"/>
    <mergeCell ref="B170:D170"/>
    <mergeCell ref="B171:D171"/>
    <mergeCell ref="B172:D172"/>
    <mergeCell ref="B174:D174"/>
    <mergeCell ref="B175:D175"/>
    <mergeCell ref="B173:D173"/>
    <mergeCell ref="A167:A168"/>
    <mergeCell ref="A164:A166"/>
    <mergeCell ref="A146:A149"/>
    <mergeCell ref="B146:B149"/>
    <mergeCell ref="C146:C149"/>
    <mergeCell ref="A137:A139"/>
    <mergeCell ref="B137:B139"/>
    <mergeCell ref="C137:C139"/>
    <mergeCell ref="A134:A136"/>
    <mergeCell ref="A67:A68"/>
    <mergeCell ref="B67:B68"/>
    <mergeCell ref="C67:C68"/>
    <mergeCell ref="N67:N68"/>
    <mergeCell ref="O67:O68"/>
    <mergeCell ref="P67:P68"/>
    <mergeCell ref="A65:A66"/>
    <mergeCell ref="B65:B66"/>
    <mergeCell ref="C65:C66"/>
    <mergeCell ref="L65:L66"/>
    <mergeCell ref="M65:M66"/>
    <mergeCell ref="N65:N66"/>
    <mergeCell ref="O65:O66"/>
    <mergeCell ref="M16:P16"/>
    <mergeCell ref="R20:R23"/>
    <mergeCell ref="N49:N50"/>
    <mergeCell ref="O49:O50"/>
    <mergeCell ref="P49:P50"/>
    <mergeCell ref="Q49:Q50"/>
    <mergeCell ref="N46:N48"/>
    <mergeCell ref="O46:O48"/>
    <mergeCell ref="P46:P48"/>
    <mergeCell ref="Q46:Q48"/>
    <mergeCell ref="P35:P36"/>
    <mergeCell ref="Q35:Q36"/>
    <mergeCell ref="N37:N38"/>
    <mergeCell ref="O37:O38"/>
    <mergeCell ref="P37:P38"/>
    <mergeCell ref="Q37:Q38"/>
    <mergeCell ref="O30:O31"/>
    <mergeCell ref="P30:P31"/>
    <mergeCell ref="Q30:Q31"/>
    <mergeCell ref="R35:R38"/>
    <mergeCell ref="R28:R31"/>
    <mergeCell ref="P32:P33"/>
    <mergeCell ref="Q32:Q33"/>
    <mergeCell ref="N35:N36"/>
    <mergeCell ref="A43:A45"/>
    <mergeCell ref="B43:B45"/>
    <mergeCell ref="N43:N45"/>
    <mergeCell ref="M43:M45"/>
    <mergeCell ref="O43:O45"/>
    <mergeCell ref="P43:P45"/>
    <mergeCell ref="Q43:Q45"/>
    <mergeCell ref="P65:P66"/>
    <mergeCell ref="A62:A64"/>
    <mergeCell ref="B62:B64"/>
    <mergeCell ref="C62:C64"/>
    <mergeCell ref="L62:L64"/>
    <mergeCell ref="M62:M64"/>
    <mergeCell ref="N62:N64"/>
    <mergeCell ref="O62:O64"/>
    <mergeCell ref="P62:P64"/>
    <mergeCell ref="A55:A56"/>
    <mergeCell ref="B55:B56"/>
    <mergeCell ref="C55:C56"/>
    <mergeCell ref="L55:L56"/>
    <mergeCell ref="M55:M56"/>
    <mergeCell ref="N55:N56"/>
    <mergeCell ref="O55:O56"/>
    <mergeCell ref="P55:P56"/>
    <mergeCell ref="R117:R120"/>
    <mergeCell ref="R129:R139"/>
    <mergeCell ref="O72:O74"/>
    <mergeCell ref="P72:P74"/>
    <mergeCell ref="Q72:Q74"/>
    <mergeCell ref="O75:O76"/>
    <mergeCell ref="P75:P76"/>
    <mergeCell ref="P88:P90"/>
    <mergeCell ref="Q75:Q76"/>
    <mergeCell ref="O84:O86"/>
    <mergeCell ref="P84:P86"/>
    <mergeCell ref="Q88:Q90"/>
    <mergeCell ref="O97:O99"/>
    <mergeCell ref="P97:P99"/>
    <mergeCell ref="Q97:Q99"/>
    <mergeCell ref="R105:R112"/>
    <mergeCell ref="Q102:Q103"/>
    <mergeCell ref="Q100:Q101"/>
    <mergeCell ref="K151:K152"/>
    <mergeCell ref="M134:M136"/>
    <mergeCell ref="N134:N136"/>
    <mergeCell ref="O134:O136"/>
    <mergeCell ref="P134:P136"/>
    <mergeCell ref="Q134:Q136"/>
    <mergeCell ref="O137:O139"/>
    <mergeCell ref="P137:P139"/>
    <mergeCell ref="Q137:Q139"/>
    <mergeCell ref="P142:P144"/>
    <mergeCell ref="Q142:Q144"/>
    <mergeCell ref="L146:L149"/>
    <mergeCell ref="M146:M149"/>
    <mergeCell ref="N146:N149"/>
    <mergeCell ref="O146:O149"/>
    <mergeCell ref="P146:P149"/>
    <mergeCell ref="Q146:Q149"/>
    <mergeCell ref="K146:K149"/>
    <mergeCell ref="A2:R2"/>
    <mergeCell ref="R67:R71"/>
    <mergeCell ref="K72:K86"/>
    <mergeCell ref="R72:R86"/>
    <mergeCell ref="R88:R99"/>
    <mergeCell ref="K88:K99"/>
    <mergeCell ref="K100:K103"/>
    <mergeCell ref="R100:R103"/>
    <mergeCell ref="K51:K66"/>
    <mergeCell ref="Q65:Q66"/>
    <mergeCell ref="L67:L68"/>
    <mergeCell ref="M67:M68"/>
    <mergeCell ref="M69:M71"/>
    <mergeCell ref="N69:N70"/>
    <mergeCell ref="O69:O70"/>
    <mergeCell ref="P69:P70"/>
    <mergeCell ref="Q69:Q70"/>
    <mergeCell ref="L69:L71"/>
    <mergeCell ref="Q67:Q68"/>
    <mergeCell ref="L97:L99"/>
    <mergeCell ref="M97:M99"/>
    <mergeCell ref="N97:N99"/>
    <mergeCell ref="R51:R66"/>
    <mergeCell ref="R43:R48"/>
  </mergeCells>
  <conditionalFormatting sqref="E17:L17">
    <cfRule type="dataBar" priority="10">
      <dataBar>
        <cfvo type="min"/>
        <cfvo type="max"/>
        <color rgb="FF638EC6"/>
      </dataBar>
      <extLst>
        <ext xmlns:x14="http://schemas.microsoft.com/office/spreadsheetml/2009/9/main" uri="{B025F937-C7B1-47D3-B67F-A62EFF666E3E}">
          <x14:id>{DCB5C597-70A0-4956-A0D6-544419C84697}</x14:id>
        </ext>
      </extLst>
    </cfRule>
  </conditionalFormatting>
  <conditionalFormatting sqref="G18:J18">
    <cfRule type="dataBar" priority="1">
      <dataBar>
        <cfvo type="min"/>
        <cfvo type="max"/>
        <color rgb="FF638EC6"/>
      </dataBar>
      <extLst>
        <ext xmlns:x14="http://schemas.microsoft.com/office/spreadsheetml/2009/9/main" uri="{B025F937-C7B1-47D3-B67F-A62EFF666E3E}">
          <x14:id>{FDA0D415-FDFD-42FC-8E4B-A493A892B18A}</x14:id>
        </ext>
      </extLst>
    </cfRule>
  </conditionalFormatting>
  <pageMargins left="0.7" right="0.7" top="0.75" bottom="0.75" header="0.3" footer="0.3"/>
  <pageSetup paperSize="8" scale="6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DCB5C597-70A0-4956-A0D6-544419C84697}">
            <x14:dataBar minLength="0" maxLength="100" border="1" negativeBarBorderColorSameAsPositive="0">
              <x14:cfvo type="autoMin"/>
              <x14:cfvo type="autoMax"/>
              <x14:borderColor rgb="FF638EC6"/>
              <x14:negativeFillColor rgb="FFFF0000"/>
              <x14:negativeBorderColor rgb="FFFF0000"/>
              <x14:axisColor rgb="FF000000"/>
            </x14:dataBar>
          </x14:cfRule>
          <xm:sqref>E17:L17</xm:sqref>
        </x14:conditionalFormatting>
        <x14:conditionalFormatting xmlns:xm="http://schemas.microsoft.com/office/excel/2006/main">
          <x14:cfRule type="dataBar" id="{FDA0D415-FDFD-42FC-8E4B-A493A892B18A}">
            <x14:dataBar minLength="0" maxLength="100" border="1" negativeBarBorderColorSameAsPositive="0">
              <x14:cfvo type="autoMin"/>
              <x14:cfvo type="autoMax"/>
              <x14:borderColor rgb="FF638EC6"/>
              <x14:negativeFillColor rgb="FFFF0000"/>
              <x14:negativeBorderColor rgb="FFFF0000"/>
              <x14:axisColor rgb="FF000000"/>
            </x14:dataBar>
          </x14:cfRule>
          <xm:sqref>G18:J18</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9E7FE-B2C4-481E-AFB2-F5535D568119}">
  <sheetPr>
    <pageSetUpPr fitToPage="1"/>
  </sheetPr>
  <dimension ref="A1:T1277"/>
  <sheetViews>
    <sheetView zoomScale="80" zoomScaleNormal="80" workbookViewId="0">
      <pane xSplit="12" ySplit="14" topLeftCell="N15" activePane="bottomRight" state="frozen"/>
      <selection pane="topRight" activeCell="P1" sqref="P1"/>
      <selection pane="bottomLeft" activeCell="A11" sqref="A11"/>
      <selection pane="bottomRight" activeCell="AB20" sqref="AB20"/>
    </sheetView>
  </sheetViews>
  <sheetFormatPr defaultColWidth="9.109375" defaultRowHeight="10.199999999999999"/>
  <cols>
    <col min="1" max="1" width="15.6640625" style="461" customWidth="1"/>
    <col min="2" max="2" width="36.6640625" style="461" customWidth="1"/>
    <col min="3" max="3" width="4.33203125" style="461" customWidth="1"/>
    <col min="4" max="4" width="7.33203125" style="461" customWidth="1"/>
    <col min="5" max="6" width="10.6640625" style="470" hidden="1" customWidth="1"/>
    <col min="7" max="7" width="10.6640625" style="461" hidden="1" customWidth="1"/>
    <col min="8" max="8" width="19.5546875" style="461" customWidth="1"/>
    <col min="9" max="9" width="18.6640625" style="461" customWidth="1"/>
    <col min="10" max="10" width="20.109375" style="461" customWidth="1"/>
    <col min="11" max="11" width="14.109375" style="461" customWidth="1"/>
    <col min="12" max="12" width="61" style="461" customWidth="1"/>
    <col min="13" max="13" width="4" style="461" hidden="1" customWidth="1"/>
    <col min="14" max="14" width="12.88671875" style="461" customWidth="1"/>
    <col min="15" max="15" width="35.5546875" style="461" customWidth="1"/>
    <col min="16" max="18" width="6.33203125" style="587" customWidth="1"/>
    <col min="19" max="19" width="29.44140625" style="461" customWidth="1"/>
    <col min="20" max="20" width="29.6640625" style="461" hidden="1" customWidth="1"/>
    <col min="21" max="16384" width="9.109375" style="461"/>
  </cols>
  <sheetData>
    <row r="1" spans="1:19" ht="16.95" customHeight="1">
      <c r="A1" s="828" t="s">
        <v>2776</v>
      </c>
      <c r="B1" s="556"/>
      <c r="C1" s="407"/>
      <c r="D1" s="407"/>
      <c r="E1" s="407"/>
      <c r="F1" s="407"/>
      <c r="G1" s="407"/>
      <c r="H1" s="407"/>
      <c r="I1" s="407"/>
      <c r="J1" s="407"/>
      <c r="K1" s="407"/>
      <c r="L1" s="407"/>
      <c r="M1" s="407"/>
      <c r="N1" s="407"/>
      <c r="O1" s="407"/>
      <c r="P1" s="829"/>
      <c r="Q1" s="829"/>
      <c r="R1" s="829"/>
      <c r="S1" s="407"/>
    </row>
    <row r="2" spans="1:19" ht="52.8" customHeight="1">
      <c r="A2" s="1756" t="s">
        <v>3649</v>
      </c>
      <c r="B2" s="1757"/>
      <c r="C2" s="1757"/>
      <c r="D2" s="1757"/>
      <c r="E2" s="1757"/>
      <c r="F2" s="1757"/>
      <c r="G2" s="1757"/>
      <c r="H2" s="1757"/>
      <c r="I2" s="1757"/>
      <c r="J2" s="1757"/>
      <c r="K2" s="1757"/>
      <c r="L2" s="1757"/>
      <c r="M2" s="1757"/>
      <c r="N2" s="1757"/>
      <c r="O2" s="1757"/>
      <c r="P2" s="1757"/>
      <c r="Q2" s="1757"/>
      <c r="R2" s="1757"/>
      <c r="S2" s="1757"/>
    </row>
    <row r="3" spans="1:19" s="659" customFormat="1" ht="11.4">
      <c r="A3" s="659" t="str">
        <f>A15</f>
        <v>02.01.01. (T)</v>
      </c>
      <c r="B3" s="659" t="str">
        <f>B15</f>
        <v>Sudaryti sąlygas  ugdyti vaikus ikimokyklinėse, bendrojo lavinimosi ir neformalaus švietimo įstaigose pagal patvirtintas ugdymo programas, teikti pedagoginę, psichologinę, metodinę, aprūpinimo transportu ir kitą pagalbą mokiniams, mokytojams ir mokykloms</v>
      </c>
      <c r="P3" s="681"/>
      <c r="Q3" s="681"/>
      <c r="R3" s="681"/>
    </row>
    <row r="4" spans="1:19" s="659" customFormat="1" ht="11.4">
      <c r="A4" s="659" t="str">
        <f>A151</f>
        <v>02.01.02. (T)</v>
      </c>
      <c r="B4" s="1852" t="str">
        <f>B151</f>
        <v>Organizuoti renginius, turinčius  įtakos ugdymo proceso kokybei, skirtus tęstiniam mokymuisi</v>
      </c>
      <c r="C4" s="1852"/>
      <c r="D4" s="1852"/>
      <c r="E4" s="1852"/>
      <c r="F4" s="1852"/>
      <c r="G4" s="1852"/>
      <c r="H4" s="1852"/>
      <c r="I4" s="1852"/>
      <c r="J4" s="1852"/>
      <c r="K4" s="1852"/>
      <c r="L4" s="1852"/>
      <c r="M4" s="1852"/>
      <c r="N4" s="1852"/>
      <c r="O4" s="1852"/>
      <c r="P4" s="681"/>
      <c r="Q4" s="681"/>
      <c r="R4" s="681"/>
    </row>
    <row r="5" spans="1:19" s="659" customFormat="1" ht="11.4">
      <c r="A5" s="660" t="str">
        <f>A194</f>
        <v>02.01.03. (T)</v>
      </c>
      <c r="B5" s="1852" t="str">
        <f>B194</f>
        <v>Sukurti įtraukias, tinklaveiką ir 
socialines inovacijas skatinančias, kiekvieno mokinio geresnius pasiekimus lemiančias ir šiuolaikiškas kokybiško ugdymo(si) sąlygas</v>
      </c>
      <c r="C5" s="1852"/>
      <c r="D5" s="1852"/>
      <c r="E5" s="1852"/>
      <c r="F5" s="1852"/>
      <c r="G5" s="1852"/>
      <c r="H5" s="1852"/>
      <c r="I5" s="1852"/>
      <c r="J5" s="1852"/>
      <c r="K5" s="1852"/>
      <c r="L5" s="1852"/>
      <c r="M5" s="1852"/>
      <c r="N5" s="1852"/>
      <c r="O5" s="1852"/>
      <c r="P5" s="681"/>
      <c r="Q5" s="681"/>
      <c r="R5" s="681"/>
    </row>
    <row r="6" spans="1:19" s="659" customFormat="1" ht="11.4">
      <c r="A6" s="660" t="str">
        <f>A215</f>
        <v>02.02.01. (T)</v>
      </c>
      <c r="B6" s="659" t="str">
        <f>B215</f>
        <v>Didinti vaikų ir jaunimo socioedukacinių veiklų, socialiai prasmingo užimtumo, profesinio mokymo saviraiškos bei švietimo pagalbos įvairovę ir prieinamumą</v>
      </c>
      <c r="P6" s="681"/>
      <c r="Q6" s="681"/>
      <c r="R6" s="681"/>
    </row>
    <row r="7" spans="1:19" ht="13.2">
      <c r="A7" s="407"/>
      <c r="B7" s="407"/>
      <c r="C7" s="407"/>
      <c r="D7" s="407"/>
      <c r="E7" s="407"/>
      <c r="F7" s="407"/>
      <c r="G7" s="407"/>
      <c r="H7" s="407"/>
      <c r="I7" s="407"/>
      <c r="J7" s="407"/>
      <c r="K7" s="407"/>
      <c r="L7" s="407"/>
      <c r="M7" s="407"/>
      <c r="N7" s="407"/>
      <c r="O7" s="407"/>
      <c r="P7" s="829"/>
      <c r="Q7" s="829"/>
      <c r="R7" s="829"/>
      <c r="S7" s="407"/>
    </row>
    <row r="8" spans="1:19" ht="10.8" customHeight="1">
      <c r="A8" s="1756"/>
      <c r="B8" s="1757"/>
      <c r="C8" s="1757"/>
      <c r="D8" s="1757"/>
      <c r="E8" s="1757"/>
      <c r="F8" s="1757"/>
      <c r="G8" s="1757"/>
      <c r="H8" s="1757"/>
      <c r="I8" s="1757"/>
      <c r="J8" s="1757"/>
      <c r="K8" s="1757"/>
      <c r="L8" s="1757"/>
      <c r="M8" s="1757"/>
      <c r="N8" s="1757"/>
      <c r="O8" s="1757"/>
      <c r="P8" s="1757"/>
      <c r="Q8" s="1757"/>
      <c r="R8" s="1757"/>
      <c r="S8" s="1757"/>
    </row>
    <row r="9" spans="1:19" ht="11.4" customHeight="1">
      <c r="A9" s="407" t="s">
        <v>1463</v>
      </c>
      <c r="B9" s="407"/>
      <c r="C9" s="407"/>
      <c r="D9" s="407"/>
      <c r="E9" s="407"/>
      <c r="F9" s="407"/>
      <c r="G9" s="407"/>
      <c r="H9" s="407"/>
      <c r="I9" s="407"/>
      <c r="J9" s="407"/>
      <c r="K9" s="407"/>
      <c r="L9" s="407"/>
      <c r="M9" s="407"/>
      <c r="N9" s="407"/>
      <c r="O9" s="407"/>
      <c r="P9" s="829"/>
      <c r="Q9" s="829"/>
      <c r="R9" s="829"/>
      <c r="S9" s="407"/>
    </row>
    <row r="10" spans="1:19" ht="24" customHeight="1">
      <c r="A10" s="1756" t="s">
        <v>3892</v>
      </c>
      <c r="B10" s="1756"/>
      <c r="C10" s="1756"/>
      <c r="D10" s="1756"/>
      <c r="E10" s="1756"/>
      <c r="F10" s="1756"/>
      <c r="G10" s="1756"/>
      <c r="H10" s="1756"/>
      <c r="I10" s="1756"/>
      <c r="J10" s="1756"/>
      <c r="K10" s="1756"/>
      <c r="L10" s="1756"/>
      <c r="M10" s="407"/>
      <c r="N10" s="407"/>
      <c r="O10" s="407"/>
      <c r="P10" s="829"/>
      <c r="Q10" s="829"/>
      <c r="R10" s="829"/>
      <c r="S10" s="407"/>
    </row>
    <row r="11" spans="1:19" ht="13.2">
      <c r="A11" s="556"/>
      <c r="B11" s="556"/>
      <c r="C11" s="407"/>
      <c r="D11" s="407"/>
      <c r="E11" s="407"/>
      <c r="F11" s="407"/>
      <c r="G11" s="407"/>
      <c r="H11" s="407"/>
      <c r="I11" s="407"/>
      <c r="J11" s="407"/>
      <c r="K11" s="407"/>
      <c r="L11" s="407"/>
      <c r="M11" s="407"/>
      <c r="N11" s="407"/>
      <c r="O11" s="407"/>
      <c r="P11" s="829"/>
      <c r="Q11" s="829"/>
      <c r="R11" s="829"/>
      <c r="S11" s="407"/>
    </row>
    <row r="12" spans="1:19" ht="11.4" customHeight="1">
      <c r="A12" s="407" t="s">
        <v>3869</v>
      </c>
      <c r="B12" s="557"/>
      <c r="C12" s="557"/>
      <c r="D12" s="557"/>
      <c r="E12" s="557"/>
      <c r="F12" s="557"/>
      <c r="G12" s="557"/>
      <c r="H12" s="557"/>
      <c r="I12" s="407"/>
      <c r="J12" s="407"/>
      <c r="K12" s="558"/>
      <c r="L12" s="407"/>
      <c r="M12" s="558"/>
      <c r="N12" s="1769"/>
      <c r="O12" s="1769"/>
      <c r="P12" s="1769"/>
      <c r="Q12" s="1769"/>
      <c r="R12" s="1559"/>
      <c r="S12" s="407"/>
    </row>
    <row r="13" spans="1:19" s="1552" customFormat="1" ht="47.4" customHeight="1">
      <c r="A13" s="1770" t="s">
        <v>999</v>
      </c>
      <c r="B13" s="1772" t="s">
        <v>2550</v>
      </c>
      <c r="C13" s="1734" t="s">
        <v>1368</v>
      </c>
      <c r="D13" s="1734" t="s">
        <v>1369</v>
      </c>
      <c r="E13" s="1730" t="s">
        <v>1388</v>
      </c>
      <c r="F13" s="1730" t="s">
        <v>1499</v>
      </c>
      <c r="G13" s="1786" t="s">
        <v>3167</v>
      </c>
      <c r="H13" s="1850" t="s">
        <v>2713</v>
      </c>
      <c r="I13" s="1722" t="s">
        <v>2567</v>
      </c>
      <c r="J13" s="1722" t="s">
        <v>2569</v>
      </c>
      <c r="K13" s="1775" t="s">
        <v>2596</v>
      </c>
      <c r="L13" s="1775" t="s">
        <v>3860</v>
      </c>
      <c r="M13" s="1682"/>
      <c r="N13" s="1780" t="s">
        <v>1000</v>
      </c>
      <c r="O13" s="1780" t="s">
        <v>1390</v>
      </c>
      <c r="P13" s="1780" t="s">
        <v>1001</v>
      </c>
      <c r="Q13" s="1780"/>
      <c r="R13" s="1780"/>
      <c r="S13" s="1775" t="s">
        <v>1002</v>
      </c>
    </row>
    <row r="14" spans="1:19" s="1552" customFormat="1" ht="49.5" customHeight="1">
      <c r="A14" s="1771"/>
      <c r="B14" s="1773"/>
      <c r="C14" s="1735"/>
      <c r="D14" s="1735"/>
      <c r="E14" s="1731"/>
      <c r="F14" s="1731"/>
      <c r="G14" s="1787"/>
      <c r="H14" s="1851"/>
      <c r="I14" s="1723"/>
      <c r="J14" s="1723"/>
      <c r="K14" s="1768"/>
      <c r="L14" s="1775"/>
      <c r="M14" s="1682"/>
      <c r="N14" s="1780"/>
      <c r="O14" s="1780"/>
      <c r="P14" s="1007">
        <v>2024</v>
      </c>
      <c r="Q14" s="1007">
        <v>2025</v>
      </c>
      <c r="R14" s="1007">
        <v>2026</v>
      </c>
      <c r="S14" s="1775"/>
    </row>
    <row r="15" spans="1:19" ht="92.25" customHeight="1">
      <c r="A15" s="664" t="s">
        <v>2598</v>
      </c>
      <c r="B15" s="664" t="s">
        <v>3432</v>
      </c>
      <c r="C15" s="664"/>
      <c r="D15" s="664"/>
      <c r="E15" s="664">
        <f>SUM(E20,E75)</f>
        <v>14896.321999999998</v>
      </c>
      <c r="F15" s="664">
        <f>(H15-E15)/E15</f>
        <v>3.02338389301736E-2</v>
      </c>
      <c r="G15" s="664">
        <f>SUM(G20,G75)</f>
        <v>14280.704000000002</v>
      </c>
      <c r="H15" s="761">
        <f>SUM(H20,H75)</f>
        <v>15346.695</v>
      </c>
      <c r="I15" s="664">
        <f>SUM(I20,I75)</f>
        <v>15362.470000000001</v>
      </c>
      <c r="J15" s="664">
        <f>SUM(J20,J75)</f>
        <v>15394.570000000002</v>
      </c>
      <c r="K15" s="762" t="s">
        <v>1134</v>
      </c>
      <c r="L15" s="664"/>
      <c r="M15" s="1682"/>
      <c r="N15" s="763" t="s">
        <v>2343</v>
      </c>
      <c r="O15" s="763" t="s">
        <v>3636</v>
      </c>
      <c r="P15" s="1560">
        <v>34</v>
      </c>
      <c r="Q15" s="1560">
        <v>34</v>
      </c>
      <c r="R15" s="1560">
        <v>34</v>
      </c>
      <c r="S15" s="1863" t="s">
        <v>2860</v>
      </c>
    </row>
    <row r="16" spans="1:19" ht="32.25" customHeight="1">
      <c r="A16" s="1798" t="s">
        <v>2580</v>
      </c>
      <c r="B16" s="1657" t="s">
        <v>1413</v>
      </c>
      <c r="C16" s="1836" t="s">
        <v>1376</v>
      </c>
      <c r="D16" s="830" t="s">
        <v>668</v>
      </c>
      <c r="E16" s="688">
        <f>SUM(E21,E25,E29,E33,E37,E41,E45,E49,E53,E58,E62,E66)</f>
        <v>5936.5099999999993</v>
      </c>
      <c r="F16" s="765">
        <f>H16/E16-1</f>
        <v>-0.13735005920987253</v>
      </c>
      <c r="G16" s="688">
        <f t="shared" ref="G16:J16" si="0">SUM(G21,G25,G29,G33,G37,G41,G45,G49,G53,G58,G62,G66)</f>
        <v>4657.0030000000006</v>
      </c>
      <c r="H16" s="688">
        <f t="shared" ref="H16" si="1">SUM(H21,H25,H29,H33,H37,H41,H45,H49,H53,H58,H62,H66)</f>
        <v>5121.1299999999992</v>
      </c>
      <c r="I16" s="688">
        <f t="shared" si="0"/>
        <v>5128</v>
      </c>
      <c r="J16" s="699">
        <f t="shared" si="0"/>
        <v>5140</v>
      </c>
      <c r="K16" s="1764" t="s">
        <v>2837</v>
      </c>
      <c r="L16" s="1697" t="s">
        <v>3441</v>
      </c>
      <c r="M16" s="1682"/>
      <c r="N16" s="1678" t="s">
        <v>2105</v>
      </c>
      <c r="O16" s="1678" t="s">
        <v>3637</v>
      </c>
      <c r="P16" s="1766" t="s">
        <v>835</v>
      </c>
      <c r="Q16" s="1766" t="s">
        <v>835</v>
      </c>
      <c r="R16" s="1766" t="s">
        <v>835</v>
      </c>
      <c r="S16" s="1864"/>
    </row>
    <row r="17" spans="1:19" ht="24" customHeight="1">
      <c r="A17" s="1798"/>
      <c r="B17" s="1657"/>
      <c r="C17" s="1836"/>
      <c r="D17" s="831" t="s">
        <v>1375</v>
      </c>
      <c r="E17" s="688">
        <f t="shared" ref="E17:J18" si="2">SUM(E22,E26,E30,E34,E38,E42,E46,E50,E54,E59,E63,E67)</f>
        <v>774.452</v>
      </c>
      <c r="F17" s="765">
        <f t="shared" ref="F17:F20" si="3">H17/E17-1</f>
        <v>6.4435239369257102E-2</v>
      </c>
      <c r="G17" s="688">
        <f t="shared" si="2"/>
        <v>804.84500000000003</v>
      </c>
      <c r="H17" s="688">
        <f t="shared" ref="H17" si="4">SUM(H22,H26,H30,H34,H38,H42,H46,H50,H54,H59,H63,H67)</f>
        <v>824.35399999999993</v>
      </c>
      <c r="I17" s="688">
        <f t="shared" si="2"/>
        <v>830.5</v>
      </c>
      <c r="J17" s="699">
        <f t="shared" si="2"/>
        <v>842.5</v>
      </c>
      <c r="K17" s="1774"/>
      <c r="L17" s="1697"/>
      <c r="M17" s="1682"/>
      <c r="N17" s="1678"/>
      <c r="O17" s="1678"/>
      <c r="P17" s="1766"/>
      <c r="Q17" s="1766"/>
      <c r="R17" s="1766"/>
      <c r="S17" s="1864"/>
    </row>
    <row r="18" spans="1:19" ht="27" customHeight="1">
      <c r="A18" s="1798"/>
      <c r="B18" s="1657"/>
      <c r="C18" s="1836"/>
      <c r="D18" s="831" t="s">
        <v>1422</v>
      </c>
      <c r="E18" s="688">
        <f t="shared" si="2"/>
        <v>35</v>
      </c>
      <c r="F18" s="765">
        <f t="shared" si="3"/>
        <v>-1</v>
      </c>
      <c r="G18" s="688">
        <f t="shared" si="2"/>
        <v>36.332999999999998</v>
      </c>
      <c r="H18" s="688">
        <v>0</v>
      </c>
      <c r="I18" s="688">
        <f t="shared" si="2"/>
        <v>0</v>
      </c>
      <c r="J18" s="699">
        <f t="shared" si="2"/>
        <v>0</v>
      </c>
      <c r="K18" s="1774"/>
      <c r="L18" s="1697"/>
      <c r="M18" s="1682"/>
      <c r="N18" s="1678"/>
      <c r="O18" s="1678"/>
      <c r="P18" s="1766"/>
      <c r="Q18" s="1766"/>
      <c r="R18" s="1766"/>
      <c r="S18" s="1864"/>
    </row>
    <row r="19" spans="1:19" ht="27.75" customHeight="1">
      <c r="A19" s="1798"/>
      <c r="B19" s="1657"/>
      <c r="C19" s="1836"/>
      <c r="D19" s="831" t="s">
        <v>978</v>
      </c>
      <c r="E19" s="667"/>
      <c r="F19" s="765"/>
      <c r="G19" s="667">
        <f>G68</f>
        <v>0.33300000000000002</v>
      </c>
      <c r="H19" s="667">
        <f t="shared" ref="H19:J19" si="5">H68</f>
        <v>0.33300000000000002</v>
      </c>
      <c r="I19" s="667">
        <f t="shared" si="5"/>
        <v>0</v>
      </c>
      <c r="J19" s="667">
        <f t="shared" si="5"/>
        <v>0</v>
      </c>
      <c r="K19" s="1774"/>
      <c r="L19" s="1697"/>
      <c r="M19" s="1682"/>
      <c r="N19" s="1678"/>
      <c r="O19" s="1678"/>
      <c r="P19" s="1766"/>
      <c r="Q19" s="1766"/>
      <c r="R19" s="1766"/>
      <c r="S19" s="1864"/>
    </row>
    <row r="20" spans="1:19" ht="33.75" customHeight="1">
      <c r="A20" s="1799"/>
      <c r="B20" s="1658"/>
      <c r="C20" s="1837"/>
      <c r="D20" s="832" t="s">
        <v>1421</v>
      </c>
      <c r="E20" s="671">
        <f>SUM(E16:E19)</f>
        <v>6745.9619999999995</v>
      </c>
      <c r="F20" s="767">
        <f t="shared" si="3"/>
        <v>-0.11861095570950453</v>
      </c>
      <c r="G20" s="671">
        <f t="shared" ref="G20:J20" si="6">SUM(G16:G19)</f>
        <v>5498.5140000000001</v>
      </c>
      <c r="H20" s="671">
        <f t="shared" ref="H20" si="7">SUM(H16:H19)</f>
        <v>5945.8169999999991</v>
      </c>
      <c r="I20" s="671">
        <f t="shared" si="6"/>
        <v>5958.5</v>
      </c>
      <c r="J20" s="683">
        <f t="shared" si="6"/>
        <v>5982.5</v>
      </c>
      <c r="K20" s="1774"/>
      <c r="L20" s="1697"/>
      <c r="M20" s="1682"/>
      <c r="N20" s="1678"/>
      <c r="O20" s="1678"/>
      <c r="P20" s="1766"/>
      <c r="Q20" s="1766"/>
      <c r="R20" s="1766"/>
      <c r="S20" s="1864"/>
    </row>
    <row r="21" spans="1:19" ht="21.75" hidden="1" customHeight="1">
      <c r="A21" s="1800"/>
      <c r="B21" s="1814" t="s">
        <v>1414</v>
      </c>
      <c r="C21" s="1795" t="s">
        <v>2119</v>
      </c>
      <c r="D21" s="833" t="s">
        <v>668</v>
      </c>
      <c r="E21" s="834">
        <v>482.56</v>
      </c>
      <c r="F21" s="771"/>
      <c r="G21" s="779">
        <v>401.17500000000001</v>
      </c>
      <c r="H21" s="779">
        <v>506.28</v>
      </c>
      <c r="I21" s="779">
        <v>507</v>
      </c>
      <c r="J21" s="892">
        <v>508</v>
      </c>
      <c r="K21" s="1774"/>
      <c r="L21" s="1781"/>
      <c r="M21" s="1682"/>
      <c r="N21" s="1783"/>
      <c r="O21" s="1784"/>
      <c r="P21" s="1776"/>
      <c r="Q21" s="1776"/>
      <c r="R21" s="1776"/>
      <c r="S21" s="1864"/>
    </row>
    <row r="22" spans="1:19" ht="18.75" hidden="1" customHeight="1">
      <c r="A22" s="1801"/>
      <c r="B22" s="1793"/>
      <c r="C22" s="1795"/>
      <c r="D22" s="833" t="s">
        <v>1375</v>
      </c>
      <c r="E22" s="835">
        <f>92.3+0.865</f>
        <v>93.164999999999992</v>
      </c>
      <c r="F22" s="771"/>
      <c r="G22" s="779">
        <v>81.599999999999994</v>
      </c>
      <c r="H22" s="779">
        <v>98.4</v>
      </c>
      <c r="I22" s="779">
        <v>99</v>
      </c>
      <c r="J22" s="892">
        <v>100</v>
      </c>
      <c r="K22" s="1774"/>
      <c r="L22" s="1781"/>
      <c r="M22" s="1682"/>
      <c r="N22" s="1783"/>
      <c r="O22" s="1784"/>
      <c r="P22" s="1776"/>
      <c r="Q22" s="1776"/>
      <c r="R22" s="1776"/>
      <c r="S22" s="1864"/>
    </row>
    <row r="23" spans="1:19" ht="20.25" hidden="1" customHeight="1">
      <c r="A23" s="1801"/>
      <c r="B23" s="1793"/>
      <c r="C23" s="1795"/>
      <c r="D23" s="833" t="s">
        <v>978</v>
      </c>
      <c r="E23" s="892"/>
      <c r="F23" s="771"/>
      <c r="G23" s="779"/>
      <c r="H23" s="779"/>
      <c r="I23" s="780"/>
      <c r="J23" s="892"/>
      <c r="K23" s="1774"/>
      <c r="L23" s="1781"/>
      <c r="M23" s="1682"/>
      <c r="N23" s="1783"/>
      <c r="O23" s="1784"/>
      <c r="P23" s="1776"/>
      <c r="Q23" s="1776"/>
      <c r="R23" s="1776"/>
      <c r="S23" s="1864"/>
    </row>
    <row r="24" spans="1:19" ht="28.5" hidden="1" customHeight="1">
      <c r="A24" s="1801"/>
      <c r="B24" s="1794"/>
      <c r="C24" s="1795"/>
      <c r="D24" s="833" t="s">
        <v>1421</v>
      </c>
      <c r="E24" s="704">
        <f>SUM(E21:E23)</f>
        <v>575.72500000000002</v>
      </c>
      <c r="F24" s="771"/>
      <c r="G24" s="704">
        <f t="shared" ref="G24" si="8">SUM(G21:G23)</f>
        <v>482.77499999999998</v>
      </c>
      <c r="H24" s="704">
        <f t="shared" ref="H24" si="9">SUM(H21:H23)</f>
        <v>604.67999999999995</v>
      </c>
      <c r="I24" s="704">
        <f t="shared" ref="I24" si="10">SUM(I21:I23)</f>
        <v>606</v>
      </c>
      <c r="J24" s="705">
        <f t="shared" ref="J24" si="11">SUM(J21:J23)</f>
        <v>608</v>
      </c>
      <c r="K24" s="1774"/>
      <c r="L24" s="779"/>
      <c r="M24" s="1682"/>
      <c r="N24" s="676"/>
      <c r="O24" s="893"/>
      <c r="P24" s="1561"/>
      <c r="Q24" s="1561"/>
      <c r="R24" s="1561"/>
      <c r="S24" s="1864"/>
    </row>
    <row r="25" spans="1:19" ht="20.25" hidden="1" customHeight="1">
      <c r="A25" s="1801"/>
      <c r="B25" s="1792" t="s">
        <v>1415</v>
      </c>
      <c r="C25" s="1795" t="s">
        <v>2120</v>
      </c>
      <c r="D25" s="833" t="s">
        <v>668</v>
      </c>
      <c r="E25" s="792">
        <v>508.43</v>
      </c>
      <c r="F25" s="771"/>
      <c r="G25" s="704">
        <v>412.685</v>
      </c>
      <c r="H25" s="704">
        <v>576.08000000000004</v>
      </c>
      <c r="I25" s="704">
        <v>577</v>
      </c>
      <c r="J25" s="705">
        <v>578</v>
      </c>
      <c r="K25" s="1774"/>
      <c r="L25" s="1781"/>
      <c r="M25" s="1682"/>
      <c r="N25" s="1783"/>
      <c r="O25" s="1784"/>
      <c r="P25" s="1776"/>
      <c r="Q25" s="1776"/>
      <c r="R25" s="1776"/>
      <c r="S25" s="1864"/>
    </row>
    <row r="26" spans="1:19" ht="20.100000000000001" hidden="1" customHeight="1">
      <c r="A26" s="1801"/>
      <c r="B26" s="1793"/>
      <c r="C26" s="1795"/>
      <c r="D26" s="833" t="s">
        <v>1375</v>
      </c>
      <c r="E26" s="792">
        <f>122.2+7.272</f>
        <v>129.47200000000001</v>
      </c>
      <c r="F26" s="771"/>
      <c r="G26" s="704">
        <v>133</v>
      </c>
      <c r="H26" s="704">
        <f>125.9+9.647</f>
        <v>135.547</v>
      </c>
      <c r="I26" s="704">
        <v>136</v>
      </c>
      <c r="J26" s="705">
        <v>137</v>
      </c>
      <c r="K26" s="1774"/>
      <c r="L26" s="1782"/>
      <c r="M26" s="1682"/>
      <c r="N26" s="1783"/>
      <c r="O26" s="1784"/>
      <c r="P26" s="1776"/>
      <c r="Q26" s="1776"/>
      <c r="R26" s="1776"/>
      <c r="S26" s="1864"/>
    </row>
    <row r="27" spans="1:19" ht="20.100000000000001" hidden="1" customHeight="1">
      <c r="A27" s="1801"/>
      <c r="B27" s="1793"/>
      <c r="C27" s="1795"/>
      <c r="D27" s="833" t="s">
        <v>978</v>
      </c>
      <c r="E27" s="892"/>
      <c r="F27" s="771"/>
      <c r="G27" s="779"/>
      <c r="H27" s="779"/>
      <c r="I27" s="780"/>
      <c r="J27" s="892"/>
      <c r="K27" s="1774"/>
      <c r="L27" s="1782"/>
      <c r="M27" s="1682"/>
      <c r="N27" s="1783"/>
      <c r="O27" s="1784"/>
      <c r="P27" s="1776"/>
      <c r="Q27" s="1776"/>
      <c r="R27" s="1776"/>
      <c r="S27" s="1864"/>
    </row>
    <row r="28" spans="1:19" ht="27" hidden="1" customHeight="1">
      <c r="A28" s="1801"/>
      <c r="B28" s="1794"/>
      <c r="C28" s="1795"/>
      <c r="D28" s="833" t="s">
        <v>1421</v>
      </c>
      <c r="E28" s="704">
        <f>SUM(E25:E27)</f>
        <v>637.90200000000004</v>
      </c>
      <c r="F28" s="771"/>
      <c r="G28" s="704">
        <f t="shared" ref="G28:J28" si="12">SUM(G25:G27)</f>
        <v>545.68499999999995</v>
      </c>
      <c r="H28" s="704">
        <f t="shared" ref="H28" si="13">SUM(H25:H27)</f>
        <v>711.62700000000007</v>
      </c>
      <c r="I28" s="704">
        <f t="shared" si="12"/>
        <v>713</v>
      </c>
      <c r="J28" s="705">
        <f t="shared" si="12"/>
        <v>715</v>
      </c>
      <c r="K28" s="1774"/>
      <c r="L28" s="704"/>
      <c r="M28" s="1682"/>
      <c r="N28" s="676"/>
      <c r="O28" s="893"/>
      <c r="P28" s="1561"/>
      <c r="Q28" s="1561"/>
      <c r="R28" s="1561"/>
      <c r="S28" s="1864"/>
    </row>
    <row r="29" spans="1:19" ht="20.100000000000001" hidden="1" customHeight="1">
      <c r="A29" s="1801"/>
      <c r="B29" s="1792" t="s">
        <v>1416</v>
      </c>
      <c r="C29" s="1795" t="s">
        <v>2121</v>
      </c>
      <c r="D29" s="833" t="s">
        <v>668</v>
      </c>
      <c r="E29" s="792">
        <v>447.77</v>
      </c>
      <c r="F29" s="771"/>
      <c r="G29" s="704">
        <v>349.54</v>
      </c>
      <c r="H29" s="704">
        <v>487.73</v>
      </c>
      <c r="I29" s="704">
        <v>488</v>
      </c>
      <c r="J29" s="705">
        <v>489</v>
      </c>
      <c r="K29" s="1774"/>
      <c r="L29" s="1781"/>
      <c r="M29" s="1682"/>
      <c r="N29" s="1788"/>
      <c r="O29" s="1784"/>
      <c r="P29" s="1776"/>
      <c r="Q29" s="1776"/>
      <c r="R29" s="1776"/>
      <c r="S29" s="1864"/>
    </row>
    <row r="30" spans="1:19" ht="20.100000000000001" hidden="1" customHeight="1">
      <c r="A30" s="1801"/>
      <c r="B30" s="1793"/>
      <c r="C30" s="1795"/>
      <c r="D30" s="833" t="s">
        <v>1375</v>
      </c>
      <c r="E30" s="835">
        <f>96.7+2.28</f>
        <v>98.98</v>
      </c>
      <c r="F30" s="771"/>
      <c r="G30" s="704">
        <v>102.69</v>
      </c>
      <c r="H30" s="704">
        <v>104</v>
      </c>
      <c r="I30" s="704">
        <v>105</v>
      </c>
      <c r="J30" s="705">
        <v>106</v>
      </c>
      <c r="K30" s="1774"/>
      <c r="L30" s="1782"/>
      <c r="M30" s="1682"/>
      <c r="N30" s="1788"/>
      <c r="O30" s="1784"/>
      <c r="P30" s="1776"/>
      <c r="Q30" s="1776"/>
      <c r="R30" s="1776"/>
      <c r="S30" s="1864"/>
    </row>
    <row r="31" spans="1:19" ht="20.100000000000001" hidden="1" customHeight="1">
      <c r="A31" s="1801"/>
      <c r="B31" s="1793"/>
      <c r="C31" s="1795"/>
      <c r="D31" s="833" t="s">
        <v>978</v>
      </c>
      <c r="E31" s="892"/>
      <c r="F31" s="771"/>
      <c r="G31" s="779"/>
      <c r="H31" s="779"/>
      <c r="I31" s="780"/>
      <c r="J31" s="892"/>
      <c r="K31" s="1774"/>
      <c r="L31" s="1782"/>
      <c r="M31" s="1682"/>
      <c r="N31" s="1788"/>
      <c r="O31" s="1784"/>
      <c r="P31" s="1776"/>
      <c r="Q31" s="1776"/>
      <c r="R31" s="1776"/>
      <c r="S31" s="1864"/>
    </row>
    <row r="32" spans="1:19" ht="20.100000000000001" hidden="1" customHeight="1">
      <c r="A32" s="1801"/>
      <c r="B32" s="1794"/>
      <c r="C32" s="1795"/>
      <c r="D32" s="833" t="s">
        <v>1421</v>
      </c>
      <c r="E32" s="704">
        <f>SUM(E29:E31)</f>
        <v>546.75</v>
      </c>
      <c r="F32" s="771"/>
      <c r="G32" s="704">
        <f t="shared" ref="G32:J32" si="14">SUM(G29:G31)</f>
        <v>452.23</v>
      </c>
      <c r="H32" s="704">
        <f t="shared" ref="H32" si="15">SUM(H29:H31)</f>
        <v>591.73</v>
      </c>
      <c r="I32" s="704">
        <f t="shared" si="14"/>
        <v>593</v>
      </c>
      <c r="J32" s="705">
        <f t="shared" si="14"/>
        <v>595</v>
      </c>
      <c r="K32" s="1774"/>
      <c r="L32" s="1782"/>
      <c r="M32" s="1682"/>
      <c r="N32" s="1788"/>
      <c r="O32" s="1784"/>
      <c r="P32" s="1776"/>
      <c r="Q32" s="1776"/>
      <c r="R32" s="1776"/>
      <c r="S32" s="1864"/>
    </row>
    <row r="33" spans="1:19" ht="20.100000000000001" hidden="1" customHeight="1">
      <c r="A33" s="1801"/>
      <c r="B33" s="1792" t="s">
        <v>1451</v>
      </c>
      <c r="C33" s="1795" t="s">
        <v>2122</v>
      </c>
      <c r="D33" s="833" t="s">
        <v>668</v>
      </c>
      <c r="E33" s="792">
        <v>447.55</v>
      </c>
      <c r="F33" s="771"/>
      <c r="G33" s="704">
        <v>337.88</v>
      </c>
      <c r="H33" s="704">
        <v>469.53</v>
      </c>
      <c r="I33" s="704">
        <v>470</v>
      </c>
      <c r="J33" s="705">
        <v>471</v>
      </c>
      <c r="K33" s="1774"/>
      <c r="L33" s="1781"/>
      <c r="M33" s="1682"/>
      <c r="N33" s="1788"/>
      <c r="O33" s="1784"/>
      <c r="P33" s="1776"/>
      <c r="Q33" s="1776"/>
      <c r="R33" s="1776"/>
      <c r="S33" s="1864"/>
    </row>
    <row r="34" spans="1:19" ht="20.100000000000001" hidden="1" customHeight="1">
      <c r="A34" s="1801"/>
      <c r="B34" s="1793"/>
      <c r="C34" s="1795"/>
      <c r="D34" s="833" t="s">
        <v>1375</v>
      </c>
      <c r="E34" s="835">
        <v>87.33</v>
      </c>
      <c r="F34" s="771"/>
      <c r="G34" s="704">
        <v>94.49</v>
      </c>
      <c r="H34" s="704">
        <f>94.3+2.476</f>
        <v>96.775999999999996</v>
      </c>
      <c r="I34" s="704">
        <v>97</v>
      </c>
      <c r="J34" s="705">
        <v>98</v>
      </c>
      <c r="K34" s="1774"/>
      <c r="L34" s="1782"/>
      <c r="M34" s="1682"/>
      <c r="N34" s="1788"/>
      <c r="O34" s="1784"/>
      <c r="P34" s="1776"/>
      <c r="Q34" s="1776"/>
      <c r="R34" s="1776"/>
      <c r="S34" s="1864"/>
    </row>
    <row r="35" spans="1:19" ht="20.100000000000001" hidden="1" customHeight="1">
      <c r="A35" s="1801"/>
      <c r="B35" s="1793"/>
      <c r="C35" s="1795"/>
      <c r="D35" s="833" t="s">
        <v>978</v>
      </c>
      <c r="E35" s="779"/>
      <c r="F35" s="771"/>
      <c r="G35" s="779"/>
      <c r="H35" s="779"/>
      <c r="I35" s="780"/>
      <c r="J35" s="892"/>
      <c r="K35" s="1774"/>
      <c r="L35" s="1782"/>
      <c r="M35" s="1682"/>
      <c r="N35" s="1788"/>
      <c r="O35" s="1784"/>
      <c r="P35" s="1776"/>
      <c r="Q35" s="1776"/>
      <c r="R35" s="1776"/>
      <c r="S35" s="1864"/>
    </row>
    <row r="36" spans="1:19" ht="20.100000000000001" hidden="1" customHeight="1">
      <c r="A36" s="1801"/>
      <c r="B36" s="1794"/>
      <c r="C36" s="1795"/>
      <c r="D36" s="833" t="s">
        <v>1421</v>
      </c>
      <c r="E36" s="704">
        <f>SUM(E33:E35)</f>
        <v>534.88</v>
      </c>
      <c r="F36" s="771"/>
      <c r="G36" s="704">
        <f t="shared" ref="G36:J36" si="16">SUM(G33:G35)</f>
        <v>432.37</v>
      </c>
      <c r="H36" s="704">
        <f t="shared" ref="H36" si="17">SUM(H33:H35)</f>
        <v>566.30599999999993</v>
      </c>
      <c r="I36" s="704">
        <f t="shared" si="16"/>
        <v>567</v>
      </c>
      <c r="J36" s="705">
        <f t="shared" si="16"/>
        <v>569</v>
      </c>
      <c r="K36" s="1774"/>
      <c r="L36" s="1782"/>
      <c r="M36" s="1682"/>
      <c r="N36" s="1788"/>
      <c r="O36" s="1784"/>
      <c r="P36" s="1776"/>
      <c r="Q36" s="1776"/>
      <c r="R36" s="1776"/>
      <c r="S36" s="1864"/>
    </row>
    <row r="37" spans="1:19" ht="20.100000000000001" hidden="1" customHeight="1">
      <c r="A37" s="1801"/>
      <c r="B37" s="1792" t="s">
        <v>1417</v>
      </c>
      <c r="C37" s="1795" t="s">
        <v>2123</v>
      </c>
      <c r="D37" s="833" t="s">
        <v>668</v>
      </c>
      <c r="E37" s="792">
        <v>323.60000000000002</v>
      </c>
      <c r="F37" s="771"/>
      <c r="G37" s="704">
        <v>268.33</v>
      </c>
      <c r="H37" s="704">
        <v>351.52</v>
      </c>
      <c r="I37" s="704">
        <v>352</v>
      </c>
      <c r="J37" s="705">
        <v>353</v>
      </c>
      <c r="K37" s="1774"/>
      <c r="L37" s="1781"/>
      <c r="M37" s="1682"/>
      <c r="N37" s="1788"/>
      <c r="O37" s="1784"/>
      <c r="P37" s="1776"/>
      <c r="Q37" s="1776"/>
      <c r="R37" s="1776"/>
      <c r="S37" s="1864"/>
    </row>
    <row r="38" spans="1:19" ht="20.100000000000001" hidden="1" customHeight="1">
      <c r="A38" s="1801"/>
      <c r="B38" s="1793"/>
      <c r="C38" s="1795"/>
      <c r="D38" s="833" t="s">
        <v>1375</v>
      </c>
      <c r="E38" s="835">
        <f>45.5+0.153</f>
        <v>45.652999999999999</v>
      </c>
      <c r="F38" s="771"/>
      <c r="G38" s="704">
        <v>46.5</v>
      </c>
      <c r="H38" s="704">
        <v>41.7</v>
      </c>
      <c r="I38" s="704">
        <v>42</v>
      </c>
      <c r="J38" s="705">
        <v>43</v>
      </c>
      <c r="K38" s="1774"/>
      <c r="L38" s="1782"/>
      <c r="M38" s="1682"/>
      <c r="N38" s="1788"/>
      <c r="O38" s="1784"/>
      <c r="P38" s="1776"/>
      <c r="Q38" s="1776"/>
      <c r="R38" s="1776"/>
      <c r="S38" s="1864"/>
    </row>
    <row r="39" spans="1:19" ht="20.100000000000001" hidden="1" customHeight="1">
      <c r="A39" s="1801"/>
      <c r="B39" s="1793"/>
      <c r="C39" s="1795"/>
      <c r="D39" s="833" t="s">
        <v>978</v>
      </c>
      <c r="E39" s="779"/>
      <c r="F39" s="771"/>
      <c r="G39" s="779"/>
      <c r="H39" s="779"/>
      <c r="I39" s="780"/>
      <c r="J39" s="892"/>
      <c r="K39" s="1774"/>
      <c r="L39" s="1782"/>
      <c r="M39" s="1682"/>
      <c r="N39" s="1788"/>
      <c r="O39" s="1784"/>
      <c r="P39" s="1776"/>
      <c r="Q39" s="1776"/>
      <c r="R39" s="1776"/>
      <c r="S39" s="1864"/>
    </row>
    <row r="40" spans="1:19" ht="20.100000000000001" hidden="1" customHeight="1">
      <c r="A40" s="1801"/>
      <c r="B40" s="1794"/>
      <c r="C40" s="1795"/>
      <c r="D40" s="833" t="s">
        <v>1421</v>
      </c>
      <c r="E40" s="704">
        <f>SUM(E37:E39)</f>
        <v>369.25300000000004</v>
      </c>
      <c r="F40" s="771"/>
      <c r="G40" s="704">
        <f t="shared" ref="G40:J40" si="18">SUM(G37:G39)</f>
        <v>314.83</v>
      </c>
      <c r="H40" s="704">
        <f t="shared" ref="H40" si="19">SUM(H37:H39)</f>
        <v>393.21999999999997</v>
      </c>
      <c r="I40" s="704">
        <f t="shared" si="18"/>
        <v>394</v>
      </c>
      <c r="J40" s="705">
        <f t="shared" si="18"/>
        <v>396</v>
      </c>
      <c r="K40" s="1774"/>
      <c r="L40" s="1782"/>
      <c r="M40" s="1682"/>
      <c r="N40" s="1788"/>
      <c r="O40" s="1784"/>
      <c r="P40" s="1776"/>
      <c r="Q40" s="1776"/>
      <c r="R40" s="1776"/>
      <c r="S40" s="1864"/>
    </row>
    <row r="41" spans="1:19" ht="20.100000000000001" hidden="1" customHeight="1">
      <c r="A41" s="1801"/>
      <c r="B41" s="1792" t="s">
        <v>1452</v>
      </c>
      <c r="C41" s="1795" t="s">
        <v>2124</v>
      </c>
      <c r="D41" s="833" t="s">
        <v>668</v>
      </c>
      <c r="E41" s="792">
        <v>353.8</v>
      </c>
      <c r="F41" s="771"/>
      <c r="G41" s="704">
        <v>378.33</v>
      </c>
      <c r="H41" s="704">
        <v>380.02</v>
      </c>
      <c r="I41" s="704">
        <v>381</v>
      </c>
      <c r="J41" s="705">
        <v>382</v>
      </c>
      <c r="K41" s="1774"/>
      <c r="L41" s="1781"/>
      <c r="M41" s="1682"/>
      <c r="N41" s="1788"/>
      <c r="O41" s="1784"/>
      <c r="P41" s="1776"/>
      <c r="Q41" s="1776"/>
      <c r="R41" s="1776"/>
      <c r="S41" s="1864"/>
    </row>
    <row r="42" spans="1:19" ht="20.100000000000001" hidden="1" customHeight="1">
      <c r="A42" s="1801"/>
      <c r="B42" s="1793"/>
      <c r="C42" s="1795"/>
      <c r="D42" s="833" t="s">
        <v>1375</v>
      </c>
      <c r="E42" s="835">
        <v>33.700000000000003</v>
      </c>
      <c r="F42" s="771"/>
      <c r="G42" s="704">
        <v>40.590000000000003</v>
      </c>
      <c r="H42" s="704">
        <f>37.6+0.585</f>
        <v>38.185000000000002</v>
      </c>
      <c r="I42" s="792">
        <v>39</v>
      </c>
      <c r="J42" s="705">
        <v>40</v>
      </c>
      <c r="K42" s="1774"/>
      <c r="L42" s="1782"/>
      <c r="M42" s="1682"/>
      <c r="N42" s="1788"/>
      <c r="O42" s="1784"/>
      <c r="P42" s="1776"/>
      <c r="Q42" s="1776"/>
      <c r="R42" s="1776"/>
      <c r="S42" s="1864"/>
    </row>
    <row r="43" spans="1:19" ht="20.100000000000001" hidden="1" customHeight="1">
      <c r="A43" s="1801"/>
      <c r="B43" s="1793"/>
      <c r="C43" s="1795"/>
      <c r="D43" s="833" t="s">
        <v>978</v>
      </c>
      <c r="E43" s="892"/>
      <c r="F43" s="771"/>
      <c r="G43" s="779"/>
      <c r="H43" s="779"/>
      <c r="I43" s="780"/>
      <c r="J43" s="892"/>
      <c r="K43" s="1774"/>
      <c r="L43" s="1782"/>
      <c r="M43" s="1682"/>
      <c r="N43" s="1788"/>
      <c r="O43" s="1784"/>
      <c r="P43" s="1776"/>
      <c r="Q43" s="1776"/>
      <c r="R43" s="1776"/>
      <c r="S43" s="1864"/>
    </row>
    <row r="44" spans="1:19" ht="20.100000000000001" hidden="1" customHeight="1">
      <c r="A44" s="1801"/>
      <c r="B44" s="1794"/>
      <c r="C44" s="1795"/>
      <c r="D44" s="833" t="s">
        <v>1421</v>
      </c>
      <c r="E44" s="704">
        <f>SUM(E41:E43)</f>
        <v>387.5</v>
      </c>
      <c r="F44" s="771"/>
      <c r="G44" s="704">
        <f t="shared" ref="G44:J44" si="20">SUM(G41:G43)</f>
        <v>418.91999999999996</v>
      </c>
      <c r="H44" s="704">
        <f t="shared" ref="H44" si="21">SUM(H41:H43)</f>
        <v>418.20499999999998</v>
      </c>
      <c r="I44" s="704">
        <f t="shared" si="20"/>
        <v>420</v>
      </c>
      <c r="J44" s="705">
        <f t="shared" si="20"/>
        <v>422</v>
      </c>
      <c r="K44" s="1774"/>
      <c r="L44" s="1782"/>
      <c r="M44" s="1682"/>
      <c r="N44" s="1788"/>
      <c r="O44" s="1784"/>
      <c r="P44" s="1776"/>
      <c r="Q44" s="1776"/>
      <c r="R44" s="1776"/>
      <c r="S44" s="1864"/>
    </row>
    <row r="45" spans="1:19" ht="20.100000000000001" hidden="1" customHeight="1">
      <c r="A45" s="1801"/>
      <c r="B45" s="1792" t="s">
        <v>1418</v>
      </c>
      <c r="C45" s="1795" t="s">
        <v>2125</v>
      </c>
      <c r="D45" s="833" t="s">
        <v>668</v>
      </c>
      <c r="E45" s="792">
        <v>410</v>
      </c>
      <c r="F45" s="771"/>
      <c r="G45" s="704">
        <v>433.351</v>
      </c>
      <c r="H45" s="704">
        <v>448.25</v>
      </c>
      <c r="I45" s="792">
        <v>449</v>
      </c>
      <c r="J45" s="705">
        <v>450</v>
      </c>
      <c r="K45" s="1774"/>
      <c r="L45" s="1781"/>
      <c r="M45" s="1682"/>
      <c r="N45" s="1788"/>
      <c r="O45" s="1784"/>
      <c r="P45" s="1776"/>
      <c r="Q45" s="1776"/>
      <c r="R45" s="1776"/>
      <c r="S45" s="1864"/>
    </row>
    <row r="46" spans="1:19" ht="20.100000000000001" hidden="1" customHeight="1">
      <c r="A46" s="1801"/>
      <c r="B46" s="1793"/>
      <c r="C46" s="1795"/>
      <c r="D46" s="833" t="s">
        <v>1375</v>
      </c>
      <c r="E46" s="792">
        <f>38.5+0.829</f>
        <v>39.329000000000001</v>
      </c>
      <c r="F46" s="771"/>
      <c r="G46" s="704">
        <v>59.03</v>
      </c>
      <c r="H46" s="704">
        <v>40.5</v>
      </c>
      <c r="I46" s="792">
        <v>41</v>
      </c>
      <c r="J46" s="705">
        <v>42</v>
      </c>
      <c r="K46" s="1774"/>
      <c r="L46" s="1782"/>
      <c r="M46" s="1682"/>
      <c r="N46" s="1788"/>
      <c r="O46" s="1784"/>
      <c r="P46" s="1776"/>
      <c r="Q46" s="1776"/>
      <c r="R46" s="1776"/>
      <c r="S46" s="1864"/>
    </row>
    <row r="47" spans="1:19" ht="20.100000000000001" hidden="1" customHeight="1">
      <c r="A47" s="1801"/>
      <c r="B47" s="1793"/>
      <c r="C47" s="1795"/>
      <c r="D47" s="833" t="s">
        <v>978</v>
      </c>
      <c r="E47" s="779"/>
      <c r="F47" s="771"/>
      <c r="G47" s="779"/>
      <c r="H47" s="779"/>
      <c r="I47" s="780"/>
      <c r="J47" s="892"/>
      <c r="K47" s="1774"/>
      <c r="L47" s="1782"/>
      <c r="M47" s="1682"/>
      <c r="N47" s="1788"/>
      <c r="O47" s="1784"/>
      <c r="P47" s="1776"/>
      <c r="Q47" s="1776"/>
      <c r="R47" s="1776"/>
      <c r="S47" s="1864"/>
    </row>
    <row r="48" spans="1:19" ht="20.100000000000001" hidden="1" customHeight="1">
      <c r="A48" s="1801"/>
      <c r="B48" s="1794"/>
      <c r="C48" s="1795"/>
      <c r="D48" s="833" t="s">
        <v>1421</v>
      </c>
      <c r="E48" s="704">
        <f>SUM(E45:E47)</f>
        <v>449.32900000000001</v>
      </c>
      <c r="F48" s="771"/>
      <c r="G48" s="704">
        <f t="shared" ref="G48:J48" si="22">SUM(G45:G47)</f>
        <v>492.38099999999997</v>
      </c>
      <c r="H48" s="704">
        <f t="shared" ref="H48" si="23">SUM(H45:H47)</f>
        <v>488.75</v>
      </c>
      <c r="I48" s="704">
        <f t="shared" si="22"/>
        <v>490</v>
      </c>
      <c r="J48" s="705">
        <f t="shared" si="22"/>
        <v>492</v>
      </c>
      <c r="K48" s="1774"/>
      <c r="L48" s="1782"/>
      <c r="M48" s="1682"/>
      <c r="N48" s="1788"/>
      <c r="O48" s="1784"/>
      <c r="P48" s="1776"/>
      <c r="Q48" s="1776"/>
      <c r="R48" s="1776"/>
      <c r="S48" s="1864"/>
    </row>
    <row r="49" spans="1:20" ht="20.100000000000001" hidden="1" customHeight="1">
      <c r="A49" s="1801"/>
      <c r="B49" s="1792" t="s">
        <v>1453</v>
      </c>
      <c r="C49" s="1795" t="s">
        <v>2126</v>
      </c>
      <c r="D49" s="833" t="s">
        <v>668</v>
      </c>
      <c r="E49" s="836">
        <v>482.66</v>
      </c>
      <c r="F49" s="771"/>
      <c r="G49" s="704">
        <v>516.5</v>
      </c>
      <c r="H49" s="704">
        <v>518.62</v>
      </c>
      <c r="I49" s="792">
        <v>519</v>
      </c>
      <c r="J49" s="705">
        <v>520</v>
      </c>
      <c r="K49" s="1774"/>
      <c r="L49" s="1781"/>
      <c r="M49" s="1682"/>
      <c r="N49" s="1788"/>
      <c r="O49" s="1784"/>
      <c r="P49" s="1776"/>
      <c r="Q49" s="1776"/>
      <c r="R49" s="1776"/>
      <c r="S49" s="1864"/>
    </row>
    <row r="50" spans="1:20" ht="20.100000000000001" hidden="1" customHeight="1">
      <c r="A50" s="1801"/>
      <c r="B50" s="1793"/>
      <c r="C50" s="1795"/>
      <c r="D50" s="833" t="s">
        <v>1375</v>
      </c>
      <c r="E50" s="837">
        <f>40.7+1.42</f>
        <v>42.120000000000005</v>
      </c>
      <c r="F50" s="771"/>
      <c r="G50" s="704">
        <v>45.7</v>
      </c>
      <c r="H50" s="704">
        <f>51+0.679</f>
        <v>51.679000000000002</v>
      </c>
      <c r="I50" s="704">
        <v>52</v>
      </c>
      <c r="J50" s="705">
        <v>53</v>
      </c>
      <c r="K50" s="1774"/>
      <c r="L50" s="1782"/>
      <c r="M50" s="1682"/>
      <c r="N50" s="1788"/>
      <c r="O50" s="1784"/>
      <c r="P50" s="1776"/>
      <c r="Q50" s="1776"/>
      <c r="R50" s="1776"/>
      <c r="S50" s="1864"/>
    </row>
    <row r="51" spans="1:20" ht="20.100000000000001" hidden="1" customHeight="1">
      <c r="A51" s="1801"/>
      <c r="B51" s="1793"/>
      <c r="C51" s="1795"/>
      <c r="D51" s="833" t="s">
        <v>978</v>
      </c>
      <c r="E51" s="704"/>
      <c r="F51" s="771"/>
      <c r="G51" s="704"/>
      <c r="H51" s="704"/>
      <c r="I51" s="792"/>
      <c r="J51" s="705"/>
      <c r="K51" s="1774"/>
      <c r="L51" s="1782"/>
      <c r="M51" s="1682"/>
      <c r="N51" s="1788"/>
      <c r="O51" s="1784"/>
      <c r="P51" s="1776"/>
      <c r="Q51" s="1776"/>
      <c r="R51" s="1776"/>
      <c r="S51" s="1864"/>
    </row>
    <row r="52" spans="1:20" ht="20.100000000000001" hidden="1" customHeight="1">
      <c r="A52" s="1801"/>
      <c r="B52" s="1794"/>
      <c r="C52" s="1795"/>
      <c r="D52" s="833" t="s">
        <v>1421</v>
      </c>
      <c r="E52" s="704">
        <f>SUM(E49:E51)</f>
        <v>524.78</v>
      </c>
      <c r="F52" s="771"/>
      <c r="G52" s="704">
        <f t="shared" ref="G52:J52" si="24">SUM(G49:G51)</f>
        <v>562.20000000000005</v>
      </c>
      <c r="H52" s="704">
        <f t="shared" ref="H52" si="25">SUM(H49:H51)</f>
        <v>570.29899999999998</v>
      </c>
      <c r="I52" s="704">
        <f t="shared" si="24"/>
        <v>571</v>
      </c>
      <c r="J52" s="705">
        <f t="shared" si="24"/>
        <v>573</v>
      </c>
      <c r="K52" s="1774"/>
      <c r="L52" s="1782"/>
      <c r="M52" s="1682"/>
      <c r="N52" s="1788"/>
      <c r="O52" s="1784"/>
      <c r="P52" s="1776"/>
      <c r="Q52" s="1776"/>
      <c r="R52" s="1776"/>
      <c r="S52" s="1864"/>
    </row>
    <row r="53" spans="1:20" ht="20.100000000000001" hidden="1" customHeight="1">
      <c r="A53" s="1801"/>
      <c r="B53" s="1792" t="s">
        <v>1419</v>
      </c>
      <c r="C53" s="1795" t="s">
        <v>2127</v>
      </c>
      <c r="D53" s="833" t="s">
        <v>668</v>
      </c>
      <c r="E53" s="792">
        <v>424.35</v>
      </c>
      <c r="F53" s="771"/>
      <c r="G53" s="704">
        <v>467.52800000000002</v>
      </c>
      <c r="H53" s="704">
        <v>459.67</v>
      </c>
      <c r="I53" s="792">
        <v>460</v>
      </c>
      <c r="J53" s="705">
        <v>461</v>
      </c>
      <c r="K53" s="1774"/>
      <c r="L53" s="1781"/>
      <c r="M53" s="1682"/>
      <c r="N53" s="1788"/>
      <c r="O53" s="1784"/>
      <c r="P53" s="1776"/>
      <c r="Q53" s="1776"/>
      <c r="R53" s="1776"/>
      <c r="S53" s="1864"/>
    </row>
    <row r="54" spans="1:20" ht="20.100000000000001" hidden="1" customHeight="1">
      <c r="A54" s="1801"/>
      <c r="B54" s="1793"/>
      <c r="C54" s="1795"/>
      <c r="D54" s="833" t="s">
        <v>1375</v>
      </c>
      <c r="E54" s="835">
        <v>71.102999999999994</v>
      </c>
      <c r="F54" s="771"/>
      <c r="G54" s="704">
        <v>77.5</v>
      </c>
      <c r="H54" s="704">
        <f>76.5+0.159</f>
        <v>76.659000000000006</v>
      </c>
      <c r="I54" s="792">
        <v>77</v>
      </c>
      <c r="J54" s="705">
        <v>78</v>
      </c>
      <c r="K54" s="1774"/>
      <c r="L54" s="1782"/>
      <c r="M54" s="1682"/>
      <c r="N54" s="1788"/>
      <c r="O54" s="1784"/>
      <c r="P54" s="1776"/>
      <c r="Q54" s="1776"/>
      <c r="R54" s="1776"/>
      <c r="S54" s="1864"/>
    </row>
    <row r="55" spans="1:20" ht="20.100000000000001" hidden="1" customHeight="1">
      <c r="A55" s="1801"/>
      <c r="B55" s="1793"/>
      <c r="C55" s="1795"/>
      <c r="D55" s="833" t="s">
        <v>1422</v>
      </c>
      <c r="E55" s="792">
        <v>35</v>
      </c>
      <c r="F55" s="771"/>
      <c r="G55" s="704">
        <v>36</v>
      </c>
      <c r="H55" s="704">
        <v>0</v>
      </c>
      <c r="I55" s="780">
        <v>0</v>
      </c>
      <c r="J55" s="892">
        <v>0</v>
      </c>
      <c r="K55" s="1774"/>
      <c r="L55" s="1782"/>
      <c r="M55" s="1682"/>
      <c r="N55" s="1788"/>
      <c r="O55" s="1784"/>
      <c r="P55" s="1776"/>
      <c r="Q55" s="1776"/>
      <c r="R55" s="1776"/>
      <c r="S55" s="1864"/>
    </row>
    <row r="56" spans="1:20" ht="20.100000000000001" hidden="1" customHeight="1">
      <c r="A56" s="1801"/>
      <c r="B56" s="1793"/>
      <c r="C56" s="1795"/>
      <c r="D56" s="833" t="s">
        <v>978</v>
      </c>
      <c r="E56" s="892"/>
      <c r="F56" s="771"/>
      <c r="G56" s="779"/>
      <c r="H56" s="779"/>
      <c r="I56" s="780"/>
      <c r="J56" s="892"/>
      <c r="K56" s="1774"/>
      <c r="L56" s="1782"/>
      <c r="M56" s="1682"/>
      <c r="N56" s="1788"/>
      <c r="O56" s="1784"/>
      <c r="P56" s="1776"/>
      <c r="Q56" s="1776"/>
      <c r="R56" s="1776"/>
      <c r="S56" s="1864"/>
    </row>
    <row r="57" spans="1:20" ht="20.100000000000001" hidden="1" customHeight="1">
      <c r="A57" s="1801"/>
      <c r="B57" s="1794"/>
      <c r="C57" s="1795"/>
      <c r="D57" s="833" t="s">
        <v>1421</v>
      </c>
      <c r="E57" s="704">
        <f>SUM(E53:E56)</f>
        <v>530.45299999999997</v>
      </c>
      <c r="F57" s="771"/>
      <c r="G57" s="704">
        <f t="shared" ref="G57:J57" si="26">SUM(G53:G56)</f>
        <v>581.02800000000002</v>
      </c>
      <c r="H57" s="704">
        <f t="shared" ref="H57" si="27">SUM(H53:H56)</f>
        <v>536.32900000000006</v>
      </c>
      <c r="I57" s="704">
        <f t="shared" si="26"/>
        <v>537</v>
      </c>
      <c r="J57" s="705">
        <f t="shared" si="26"/>
        <v>539</v>
      </c>
      <c r="K57" s="1774"/>
      <c r="L57" s="1782"/>
      <c r="M57" s="1682"/>
      <c r="N57" s="1788"/>
      <c r="O57" s="1784"/>
      <c r="P57" s="1776"/>
      <c r="Q57" s="1776"/>
      <c r="R57" s="1776"/>
      <c r="S57" s="1864"/>
    </row>
    <row r="58" spans="1:20" ht="20.100000000000001" hidden="1" customHeight="1">
      <c r="A58" s="1801"/>
      <c r="B58" s="1792" t="s">
        <v>1454</v>
      </c>
      <c r="C58" s="1795" t="s">
        <v>2128</v>
      </c>
      <c r="D58" s="833" t="s">
        <v>668</v>
      </c>
      <c r="E58" s="792">
        <v>312.13</v>
      </c>
      <c r="F58" s="771"/>
      <c r="G58" s="704">
        <v>371.73</v>
      </c>
      <c r="H58" s="704">
        <v>342.37</v>
      </c>
      <c r="I58" s="780">
        <v>343</v>
      </c>
      <c r="J58" s="892">
        <v>344</v>
      </c>
      <c r="K58" s="1774"/>
      <c r="L58" s="1781"/>
      <c r="M58" s="1682"/>
      <c r="N58" s="1788"/>
      <c r="O58" s="1784"/>
      <c r="P58" s="1776"/>
      <c r="Q58" s="1776"/>
      <c r="R58" s="1776"/>
      <c r="S58" s="1864"/>
    </row>
    <row r="59" spans="1:20" ht="20.100000000000001" hidden="1" customHeight="1">
      <c r="A59" s="1801"/>
      <c r="B59" s="1793"/>
      <c r="C59" s="1795"/>
      <c r="D59" s="833" t="s">
        <v>1375</v>
      </c>
      <c r="E59" s="835">
        <v>31</v>
      </c>
      <c r="F59" s="771"/>
      <c r="G59" s="704">
        <v>30</v>
      </c>
      <c r="H59" s="704">
        <f>30.1+0.008</f>
        <v>30.108000000000001</v>
      </c>
      <c r="I59" s="780">
        <v>31</v>
      </c>
      <c r="J59" s="892">
        <v>32</v>
      </c>
      <c r="K59" s="1774"/>
      <c r="L59" s="1782"/>
      <c r="M59" s="1682"/>
      <c r="N59" s="1788"/>
      <c r="O59" s="1784"/>
      <c r="P59" s="1776"/>
      <c r="Q59" s="1776"/>
      <c r="R59" s="1776"/>
      <c r="S59" s="1864"/>
      <c r="T59" s="536"/>
    </row>
    <row r="60" spans="1:20" ht="20.100000000000001" hidden="1" customHeight="1">
      <c r="A60" s="1801"/>
      <c r="B60" s="1793"/>
      <c r="C60" s="1795"/>
      <c r="D60" s="833" t="s">
        <v>978</v>
      </c>
      <c r="E60" s="892"/>
      <c r="F60" s="771"/>
      <c r="G60" s="779"/>
      <c r="H60" s="779"/>
      <c r="I60" s="780"/>
      <c r="J60" s="892"/>
      <c r="K60" s="1774"/>
      <c r="L60" s="1782"/>
      <c r="M60" s="1682"/>
      <c r="N60" s="1788"/>
      <c r="O60" s="1784"/>
      <c r="P60" s="1776"/>
      <c r="Q60" s="1776"/>
      <c r="R60" s="1776"/>
      <c r="S60" s="1864"/>
    </row>
    <row r="61" spans="1:20" ht="20.100000000000001" hidden="1" customHeight="1">
      <c r="A61" s="1801"/>
      <c r="B61" s="1794"/>
      <c r="C61" s="1795"/>
      <c r="D61" s="833" t="s">
        <v>1421</v>
      </c>
      <c r="E61" s="704">
        <f>SUM(E58:E60)</f>
        <v>343.13</v>
      </c>
      <c r="F61" s="771"/>
      <c r="G61" s="704">
        <f t="shared" ref="G61:J61" si="28">SUM(G58:G60)</f>
        <v>401.73</v>
      </c>
      <c r="H61" s="704">
        <f t="shared" ref="H61" si="29">SUM(H58:H60)</f>
        <v>372.47800000000001</v>
      </c>
      <c r="I61" s="704">
        <f t="shared" si="28"/>
        <v>374</v>
      </c>
      <c r="J61" s="705">
        <f t="shared" si="28"/>
        <v>376</v>
      </c>
      <c r="K61" s="1774"/>
      <c r="L61" s="1782"/>
      <c r="M61" s="1682"/>
      <c r="N61" s="1788"/>
      <c r="O61" s="1784"/>
      <c r="P61" s="1776"/>
      <c r="Q61" s="1776"/>
      <c r="R61" s="1776"/>
      <c r="S61" s="1864"/>
    </row>
    <row r="62" spans="1:20" ht="20.100000000000001" hidden="1" customHeight="1">
      <c r="A62" s="1801"/>
      <c r="B62" s="1792" t="s">
        <v>1420</v>
      </c>
      <c r="C62" s="1803" t="s">
        <v>2129</v>
      </c>
      <c r="D62" s="833" t="s">
        <v>668</v>
      </c>
      <c r="E62" s="835">
        <v>1644.63</v>
      </c>
      <c r="F62" s="771"/>
      <c r="G62" s="704">
        <v>596.9</v>
      </c>
      <c r="H62" s="704">
        <v>464.86</v>
      </c>
      <c r="I62" s="780">
        <v>465</v>
      </c>
      <c r="J62" s="892">
        <v>466</v>
      </c>
      <c r="K62" s="1774"/>
      <c r="L62" s="1781"/>
      <c r="M62" s="1682"/>
      <c r="N62" s="1788"/>
      <c r="O62" s="1784"/>
      <c r="P62" s="1776"/>
      <c r="Q62" s="1776"/>
      <c r="R62" s="1776"/>
      <c r="S62" s="1864"/>
    </row>
    <row r="63" spans="1:20" ht="20.100000000000001" hidden="1" customHeight="1">
      <c r="A63" s="1801"/>
      <c r="B63" s="1793"/>
      <c r="C63" s="1804"/>
      <c r="D63" s="833" t="s">
        <v>1375</v>
      </c>
      <c r="E63" s="835">
        <v>92.5</v>
      </c>
      <c r="F63" s="771"/>
      <c r="G63" s="704">
        <v>77.644999999999996</v>
      </c>
      <c r="H63" s="704">
        <v>87.7</v>
      </c>
      <c r="I63" s="780">
        <v>88</v>
      </c>
      <c r="J63" s="892">
        <v>89</v>
      </c>
      <c r="K63" s="1774"/>
      <c r="L63" s="1782"/>
      <c r="M63" s="1682"/>
      <c r="N63" s="1788"/>
      <c r="O63" s="1784"/>
      <c r="P63" s="1776"/>
      <c r="Q63" s="1776"/>
      <c r="R63" s="1776"/>
      <c r="S63" s="1864"/>
    </row>
    <row r="64" spans="1:20" ht="20.100000000000001" hidden="1" customHeight="1">
      <c r="A64" s="1801"/>
      <c r="B64" s="1793"/>
      <c r="C64" s="1804"/>
      <c r="D64" s="833" t="s">
        <v>978</v>
      </c>
      <c r="E64" s="779"/>
      <c r="F64" s="771"/>
      <c r="G64" s="779"/>
      <c r="H64" s="779"/>
      <c r="I64" s="780"/>
      <c r="J64" s="892"/>
      <c r="K64" s="1774"/>
      <c r="L64" s="1782"/>
      <c r="M64" s="1682"/>
      <c r="N64" s="1788"/>
      <c r="O64" s="1784"/>
      <c r="P64" s="1776"/>
      <c r="Q64" s="1776"/>
      <c r="R64" s="1776"/>
      <c r="S64" s="1864"/>
    </row>
    <row r="65" spans="1:19" ht="20.100000000000001" hidden="1" customHeight="1">
      <c r="A65" s="1801"/>
      <c r="B65" s="1793"/>
      <c r="C65" s="1804"/>
      <c r="D65" s="833" t="s">
        <v>1421</v>
      </c>
      <c r="E65" s="704">
        <f>SUM(E62:E64)</f>
        <v>1737.13</v>
      </c>
      <c r="F65" s="771"/>
      <c r="G65" s="704">
        <f t="shared" ref="G65:J65" si="30">SUM(G62:G64)</f>
        <v>674.54499999999996</v>
      </c>
      <c r="H65" s="704">
        <f t="shared" ref="H65" si="31">SUM(H62:H64)</f>
        <v>552.56000000000006</v>
      </c>
      <c r="I65" s="704">
        <f t="shared" si="30"/>
        <v>553</v>
      </c>
      <c r="J65" s="705">
        <f t="shared" si="30"/>
        <v>555</v>
      </c>
      <c r="K65" s="1774"/>
      <c r="L65" s="1782"/>
      <c r="M65" s="1682"/>
      <c r="N65" s="1788"/>
      <c r="O65" s="1784"/>
      <c r="P65" s="1776"/>
      <c r="Q65" s="1776"/>
      <c r="R65" s="1776"/>
      <c r="S65" s="1864"/>
    </row>
    <row r="66" spans="1:19" ht="20.100000000000001" hidden="1" customHeight="1">
      <c r="A66" s="1801"/>
      <c r="B66" s="1792" t="s">
        <v>1455</v>
      </c>
      <c r="C66" s="1795" t="s">
        <v>2130</v>
      </c>
      <c r="D66" s="833" t="s">
        <v>668</v>
      </c>
      <c r="E66" s="835">
        <v>99.03</v>
      </c>
      <c r="F66" s="771"/>
      <c r="G66" s="704">
        <v>123.054</v>
      </c>
      <c r="H66" s="704">
        <v>116.2</v>
      </c>
      <c r="I66" s="780">
        <v>117</v>
      </c>
      <c r="J66" s="892">
        <v>118</v>
      </c>
      <c r="K66" s="1774"/>
      <c r="L66" s="1781"/>
      <c r="M66" s="1682"/>
      <c r="N66" s="1788"/>
      <c r="O66" s="1784"/>
      <c r="P66" s="1776"/>
      <c r="Q66" s="1776"/>
      <c r="R66" s="1776"/>
      <c r="S66" s="1864"/>
    </row>
    <row r="67" spans="1:19" ht="20.100000000000001" hidden="1" customHeight="1">
      <c r="A67" s="1801"/>
      <c r="B67" s="1793"/>
      <c r="C67" s="1795"/>
      <c r="D67" s="833" t="s">
        <v>1375</v>
      </c>
      <c r="E67" s="792">
        <v>10.1</v>
      </c>
      <c r="F67" s="771"/>
      <c r="G67" s="704">
        <v>16.100000000000001</v>
      </c>
      <c r="H67" s="704">
        <v>23.1</v>
      </c>
      <c r="I67" s="780">
        <v>23.5</v>
      </c>
      <c r="J67" s="892">
        <v>24.5</v>
      </c>
      <c r="K67" s="1774"/>
      <c r="L67" s="1782"/>
      <c r="M67" s="1682"/>
      <c r="N67" s="1788"/>
      <c r="O67" s="1784"/>
      <c r="P67" s="1776"/>
      <c r="Q67" s="1776"/>
      <c r="R67" s="1776"/>
      <c r="S67" s="1864"/>
    </row>
    <row r="68" spans="1:19" ht="20.100000000000001" hidden="1" customHeight="1">
      <c r="A68" s="1801"/>
      <c r="B68" s="1793"/>
      <c r="C68" s="1795"/>
      <c r="D68" s="833" t="s">
        <v>978</v>
      </c>
      <c r="E68" s="779"/>
      <c r="F68" s="771"/>
      <c r="G68" s="779">
        <v>0.33300000000000002</v>
      </c>
      <c r="H68" s="779">
        <v>0.33300000000000002</v>
      </c>
      <c r="I68" s="780">
        <v>0</v>
      </c>
      <c r="J68" s="892">
        <v>0</v>
      </c>
      <c r="K68" s="1774"/>
      <c r="L68" s="1782"/>
      <c r="M68" s="1682"/>
      <c r="N68" s="1788"/>
      <c r="O68" s="1784"/>
      <c r="P68" s="1776"/>
      <c r="Q68" s="1776"/>
      <c r="R68" s="1776"/>
      <c r="S68" s="1864"/>
    </row>
    <row r="69" spans="1:19" ht="20.100000000000001" hidden="1" customHeight="1">
      <c r="A69" s="1802"/>
      <c r="B69" s="1794"/>
      <c r="C69" s="1795"/>
      <c r="D69" s="833" t="s">
        <v>1421</v>
      </c>
      <c r="E69" s="704">
        <f>SUM(E66:E68)</f>
        <v>109.13</v>
      </c>
      <c r="F69" s="771"/>
      <c r="G69" s="704">
        <f t="shared" ref="G69:J69" si="32">SUM(G66:G68)</f>
        <v>139.48699999999999</v>
      </c>
      <c r="H69" s="704">
        <f t="shared" ref="H69" si="33">SUM(H66:H68)</f>
        <v>139.63300000000001</v>
      </c>
      <c r="I69" s="704">
        <f t="shared" si="32"/>
        <v>140.5</v>
      </c>
      <c r="J69" s="705">
        <f t="shared" si="32"/>
        <v>142.5</v>
      </c>
      <c r="K69" s="1774"/>
      <c r="L69" s="1782"/>
      <c r="M69" s="1682"/>
      <c r="N69" s="1788"/>
      <c r="O69" s="1784"/>
      <c r="P69" s="1776"/>
      <c r="Q69" s="1776"/>
      <c r="R69" s="1776"/>
      <c r="S69" s="1864"/>
    </row>
    <row r="70" spans="1:19" ht="24.75" customHeight="1">
      <c r="A70" s="1797" t="s">
        <v>2581</v>
      </c>
      <c r="B70" s="1683" t="s">
        <v>1423</v>
      </c>
      <c r="C70" s="1703" t="s">
        <v>1376</v>
      </c>
      <c r="D70" s="713" t="s">
        <v>1424</v>
      </c>
      <c r="E70" s="667">
        <f>SUM(E76,E82,E88,E94,E100,E106,E112,E118,E124,E130,E136,E142,E149,)</f>
        <v>7901.3199999999988</v>
      </c>
      <c r="F70" s="765">
        <f>H70/E70-1</f>
        <v>0.11304693393002707</v>
      </c>
      <c r="G70" s="667">
        <f t="shared" ref="G70" si="34">SUM(G76,G82,G88,G94,G100,G106,G112,G118,G124,G130,G136,G142,G149,)</f>
        <v>8096.7530000000015</v>
      </c>
      <c r="H70" s="667">
        <f>SUM(H76,H82,H88,H94,H100,H106,H112,H118,H124,H130,H136,H142,H149,)</f>
        <v>8794.5400000000009</v>
      </c>
      <c r="I70" s="667">
        <f t="shared" ref="I70:J70" si="35">SUM(I76,I82,I88,I94,I100,I106,I112,I118,I124,I130,I136,I142,I149,)</f>
        <v>8794.5400000000009</v>
      </c>
      <c r="J70" s="667">
        <f t="shared" si="35"/>
        <v>8794.5400000000009</v>
      </c>
      <c r="K70" s="1774"/>
      <c r="L70" s="1697" t="s">
        <v>3442</v>
      </c>
      <c r="M70" s="1682"/>
      <c r="N70" s="1678" t="s">
        <v>2106</v>
      </c>
      <c r="O70" s="1678" t="s">
        <v>3637</v>
      </c>
      <c r="P70" s="1766" t="s">
        <v>835</v>
      </c>
      <c r="Q70" s="1766" t="s">
        <v>835</v>
      </c>
      <c r="R70" s="1766" t="s">
        <v>835</v>
      </c>
      <c r="S70" s="1864"/>
    </row>
    <row r="71" spans="1:19" ht="24.75" customHeight="1">
      <c r="A71" s="1798"/>
      <c r="B71" s="1683"/>
      <c r="C71" s="1805"/>
      <c r="D71" s="713" t="s">
        <v>1371</v>
      </c>
      <c r="E71" s="667"/>
      <c r="F71" s="765"/>
      <c r="G71" s="667"/>
      <c r="H71" s="667"/>
      <c r="I71" s="667"/>
      <c r="J71" s="680"/>
      <c r="K71" s="1774"/>
      <c r="L71" s="1698"/>
      <c r="M71" s="1682"/>
      <c r="N71" s="1678"/>
      <c r="O71" s="1678"/>
      <c r="P71" s="1766"/>
      <c r="Q71" s="1766"/>
      <c r="R71" s="1766"/>
      <c r="S71" s="1864"/>
    </row>
    <row r="72" spans="1:19" ht="26.25" customHeight="1">
      <c r="A72" s="1798"/>
      <c r="B72" s="1683"/>
      <c r="C72" s="1805"/>
      <c r="D72" s="713" t="s">
        <v>668</v>
      </c>
      <c r="E72" s="667">
        <f>SUM(E78,E90,E96,E102,E120,E132,E144,E84,E126,)</f>
        <v>249.03999999999996</v>
      </c>
      <c r="F72" s="765">
        <f t="shared" ref="F72:F75" si="36">H72/E72-1</f>
        <v>1.2650578220366206</v>
      </c>
      <c r="G72" s="667">
        <f t="shared" ref="G72" si="37">SUM(G78,G90,G96,G102,G120,G132,G144,G84,G126,)</f>
        <v>685.43700000000001</v>
      </c>
      <c r="H72" s="667">
        <f>SUM(H78,H90,H96,H102,H120,H132,H144,H84,H126,H114,H148)</f>
        <v>564.08999999999992</v>
      </c>
      <c r="I72" s="667">
        <f t="shared" ref="I72:J72" si="38">SUM(I78,I90,I96,I102,I120,I132,I144,I84,I126,I114,I148)</f>
        <v>570.43000000000006</v>
      </c>
      <c r="J72" s="667">
        <f t="shared" si="38"/>
        <v>578.53</v>
      </c>
      <c r="K72" s="1774"/>
      <c r="L72" s="1698"/>
      <c r="M72" s="1682"/>
      <c r="N72" s="1678"/>
      <c r="O72" s="1678"/>
      <c r="P72" s="1766"/>
      <c r="Q72" s="1766"/>
      <c r="R72" s="1766"/>
      <c r="S72" s="1864"/>
    </row>
    <row r="73" spans="1:19" ht="24" customHeight="1">
      <c r="A73" s="1798"/>
      <c r="B73" s="1683"/>
      <c r="C73" s="1805"/>
      <c r="D73" s="713" t="s">
        <v>1425</v>
      </c>
      <c r="E73" s="667"/>
      <c r="F73" s="765"/>
      <c r="G73" s="667"/>
      <c r="H73" s="667">
        <f>SUM(H79,H85,H91,H97,H103,H109,H115,H121,H127,H133,H139,H145,)</f>
        <v>42.247999999999998</v>
      </c>
      <c r="I73" s="667">
        <f t="shared" ref="I73:J73" si="39">I127</f>
        <v>39</v>
      </c>
      <c r="J73" s="667">
        <f t="shared" si="39"/>
        <v>39</v>
      </c>
      <c r="K73" s="1774"/>
      <c r="L73" s="1698"/>
      <c r="M73" s="1682"/>
      <c r="N73" s="1678"/>
      <c r="O73" s="1678"/>
      <c r="P73" s="1766"/>
      <c r="Q73" s="1766"/>
      <c r="R73" s="1766"/>
      <c r="S73" s="1864"/>
    </row>
    <row r="74" spans="1:19" ht="27.75" customHeight="1">
      <c r="A74" s="1798"/>
      <c r="B74" s="1683"/>
      <c r="C74" s="1805"/>
      <c r="D74" s="838" t="s">
        <v>1426</v>
      </c>
      <c r="E74" s="839"/>
      <c r="F74" s="765"/>
      <c r="G74" s="839"/>
      <c r="H74" s="839"/>
      <c r="I74" s="839"/>
      <c r="J74" s="840"/>
      <c r="K74" s="1774"/>
      <c r="L74" s="1698"/>
      <c r="M74" s="1682"/>
      <c r="N74" s="1678"/>
      <c r="O74" s="1678"/>
      <c r="P74" s="1766"/>
      <c r="Q74" s="1766"/>
      <c r="R74" s="1766"/>
      <c r="S74" s="1864"/>
    </row>
    <row r="75" spans="1:19" ht="58.5" customHeight="1">
      <c r="A75" s="1799"/>
      <c r="B75" s="1683"/>
      <c r="C75" s="1704"/>
      <c r="D75" s="894" t="s">
        <v>1421</v>
      </c>
      <c r="E75" s="895">
        <f>SUM(E70:E74)</f>
        <v>8150.3599999999988</v>
      </c>
      <c r="F75" s="767">
        <f t="shared" si="36"/>
        <v>0.15343101409017534</v>
      </c>
      <c r="G75" s="895">
        <f t="shared" ref="G75:J75" si="40">SUM(G70:G74)</f>
        <v>8782.1900000000023</v>
      </c>
      <c r="H75" s="895">
        <f>SUM(H70:H74)</f>
        <v>9400.8780000000006</v>
      </c>
      <c r="I75" s="895">
        <f t="shared" si="40"/>
        <v>9403.9700000000012</v>
      </c>
      <c r="J75" s="896">
        <f t="shared" si="40"/>
        <v>9412.0700000000015</v>
      </c>
      <c r="K75" s="1765"/>
      <c r="L75" s="1698"/>
      <c r="M75" s="1682"/>
      <c r="N75" s="1678"/>
      <c r="O75" s="1678"/>
      <c r="P75" s="1766"/>
      <c r="Q75" s="1766"/>
      <c r="R75" s="1766"/>
      <c r="S75" s="1864"/>
    </row>
    <row r="76" spans="1:19" ht="20.100000000000001" hidden="1" customHeight="1">
      <c r="A76" s="1800"/>
      <c r="B76" s="1796" t="s">
        <v>1414</v>
      </c>
      <c r="C76" s="1834">
        <v>190230641</v>
      </c>
      <c r="D76" s="842" t="s">
        <v>1424</v>
      </c>
      <c r="E76" s="837">
        <v>534.77499999999998</v>
      </c>
      <c r="F76" s="771"/>
      <c r="G76" s="772">
        <v>451.24</v>
      </c>
      <c r="H76" s="772">
        <v>534</v>
      </c>
      <c r="I76" s="772">
        <v>534</v>
      </c>
      <c r="J76" s="772">
        <v>534</v>
      </c>
      <c r="K76" s="843"/>
      <c r="L76" s="1781"/>
      <c r="M76" s="1682"/>
      <c r="N76" s="1788"/>
      <c r="O76" s="1784"/>
      <c r="P76" s="1776"/>
      <c r="Q76" s="1776"/>
      <c r="R76" s="1776"/>
      <c r="S76" s="1864"/>
    </row>
    <row r="77" spans="1:19" ht="20.100000000000001" hidden="1" customHeight="1">
      <c r="A77" s="1801"/>
      <c r="B77" s="1796"/>
      <c r="C77" s="1834"/>
      <c r="D77" s="842" t="s">
        <v>1371</v>
      </c>
      <c r="E77" s="779"/>
      <c r="F77" s="771"/>
      <c r="G77" s="779"/>
      <c r="H77" s="779"/>
      <c r="I77" s="780"/>
      <c r="J77" s="892"/>
      <c r="K77" s="843"/>
      <c r="L77" s="1781"/>
      <c r="M77" s="1682"/>
      <c r="N77" s="1788"/>
      <c r="O77" s="1784"/>
      <c r="P77" s="1776"/>
      <c r="Q77" s="1776"/>
      <c r="R77" s="1776"/>
      <c r="S77" s="1864"/>
    </row>
    <row r="78" spans="1:19" ht="20.100000000000001" hidden="1" customHeight="1">
      <c r="A78" s="1801"/>
      <c r="B78" s="1796"/>
      <c r="C78" s="1834"/>
      <c r="D78" s="842" t="s">
        <v>668</v>
      </c>
      <c r="E78" s="837">
        <v>18</v>
      </c>
      <c r="F78" s="771"/>
      <c r="G78" s="772">
        <v>163.065</v>
      </c>
      <c r="H78" s="880">
        <f>43.14</f>
        <v>43.14</v>
      </c>
      <c r="I78" s="880">
        <v>44</v>
      </c>
      <c r="J78" s="880">
        <v>45</v>
      </c>
      <c r="K78" s="843"/>
      <c r="L78" s="1781"/>
      <c r="M78" s="1682"/>
      <c r="N78" s="1788"/>
      <c r="O78" s="1784"/>
      <c r="P78" s="1776"/>
      <c r="Q78" s="1776"/>
      <c r="R78" s="1776"/>
      <c r="S78" s="1864"/>
    </row>
    <row r="79" spans="1:19" ht="20.100000000000001" hidden="1" customHeight="1">
      <c r="A79" s="1801"/>
      <c r="B79" s="1796"/>
      <c r="C79" s="1834"/>
      <c r="D79" s="842" t="s">
        <v>1425</v>
      </c>
      <c r="E79" s="779"/>
      <c r="F79" s="771"/>
      <c r="G79" s="779"/>
      <c r="H79" s="779"/>
      <c r="I79" s="780"/>
      <c r="J79" s="892"/>
      <c r="K79" s="843"/>
      <c r="L79" s="1781"/>
      <c r="M79" s="1682"/>
      <c r="N79" s="1788"/>
      <c r="O79" s="1784"/>
      <c r="P79" s="1776"/>
      <c r="Q79" s="1776"/>
      <c r="R79" s="1776"/>
      <c r="S79" s="1864"/>
    </row>
    <row r="80" spans="1:19" ht="20.100000000000001" hidden="1" customHeight="1">
      <c r="A80" s="1801"/>
      <c r="B80" s="1796"/>
      <c r="C80" s="1834"/>
      <c r="D80" s="844" t="s">
        <v>1426</v>
      </c>
      <c r="E80" s="779"/>
      <c r="F80" s="771"/>
      <c r="G80" s="779"/>
      <c r="H80" s="779"/>
      <c r="I80" s="780"/>
      <c r="J80" s="892"/>
      <c r="K80" s="843"/>
      <c r="L80" s="1781"/>
      <c r="M80" s="1682"/>
      <c r="N80" s="1788"/>
      <c r="O80" s="1784"/>
      <c r="P80" s="1776"/>
      <c r="Q80" s="1776"/>
      <c r="R80" s="1776"/>
      <c r="S80" s="1864"/>
    </row>
    <row r="81" spans="1:19" ht="20.100000000000001" hidden="1" customHeight="1">
      <c r="A81" s="1801"/>
      <c r="B81" s="1796"/>
      <c r="C81" s="1834"/>
      <c r="D81" s="897" t="s">
        <v>1421</v>
      </c>
      <c r="E81" s="779">
        <f>SUM(E76:E80)</f>
        <v>552.77499999999998</v>
      </c>
      <c r="F81" s="771"/>
      <c r="G81" s="779"/>
      <c r="H81" s="779"/>
      <c r="I81" s="780"/>
      <c r="J81" s="892"/>
      <c r="K81" s="843"/>
      <c r="L81" s="779"/>
      <c r="M81" s="1682"/>
      <c r="N81" s="676"/>
      <c r="O81" s="893"/>
      <c r="P81" s="1561"/>
      <c r="Q81" s="1561"/>
      <c r="R81" s="1561"/>
      <c r="S81" s="1864"/>
    </row>
    <row r="82" spans="1:19" ht="20.100000000000001" hidden="1" customHeight="1">
      <c r="A82" s="1801"/>
      <c r="B82" s="1796" t="s">
        <v>1415</v>
      </c>
      <c r="C82" s="1834">
        <v>190230443</v>
      </c>
      <c r="D82" s="842" t="s">
        <v>1424</v>
      </c>
      <c r="E82" s="836">
        <v>550.88499999999999</v>
      </c>
      <c r="F82" s="771"/>
      <c r="G82" s="779">
        <v>525.09100000000001</v>
      </c>
      <c r="H82" s="779">
        <v>599.43499999999995</v>
      </c>
      <c r="I82" s="779">
        <v>599.43499999999995</v>
      </c>
      <c r="J82" s="779">
        <v>599.43499999999995</v>
      </c>
      <c r="K82" s="843"/>
      <c r="L82" s="1781"/>
      <c r="M82" s="1682"/>
      <c r="N82" s="1788"/>
      <c r="O82" s="1784"/>
      <c r="P82" s="1776"/>
      <c r="Q82" s="1776"/>
      <c r="R82" s="1776"/>
      <c r="S82" s="1864"/>
    </row>
    <row r="83" spans="1:19" ht="20.100000000000001" hidden="1" customHeight="1">
      <c r="A83" s="1801"/>
      <c r="B83" s="1796"/>
      <c r="C83" s="1834"/>
      <c r="D83" s="842" t="s">
        <v>1371</v>
      </c>
      <c r="E83" s="837"/>
      <c r="F83" s="771"/>
      <c r="G83" s="704"/>
      <c r="H83" s="704"/>
      <c r="I83" s="792"/>
      <c r="J83" s="705"/>
      <c r="K83" s="843"/>
      <c r="L83" s="1781"/>
      <c r="M83" s="1682"/>
      <c r="N83" s="1788"/>
      <c r="O83" s="1784"/>
      <c r="P83" s="1776"/>
      <c r="Q83" s="1776"/>
      <c r="R83" s="1776"/>
      <c r="S83" s="1864"/>
    </row>
    <row r="84" spans="1:19" ht="20.100000000000001" hidden="1" customHeight="1">
      <c r="A84" s="1801"/>
      <c r="B84" s="1796"/>
      <c r="C84" s="1834"/>
      <c r="D84" s="842" t="s">
        <v>668</v>
      </c>
      <c r="E84" s="779">
        <v>9.73</v>
      </c>
      <c r="F84" s="771"/>
      <c r="G84" s="779">
        <v>137.452</v>
      </c>
      <c r="H84" s="704">
        <f>38.14</f>
        <v>38.14</v>
      </c>
      <c r="I84" s="704">
        <v>38.5</v>
      </c>
      <c r="J84" s="704">
        <v>38.6</v>
      </c>
      <c r="K84" s="843"/>
      <c r="L84" s="1781"/>
      <c r="M84" s="1682"/>
      <c r="N84" s="1788"/>
      <c r="O84" s="1784"/>
      <c r="P84" s="1776"/>
      <c r="Q84" s="1776"/>
      <c r="R84" s="1776"/>
      <c r="S84" s="1864"/>
    </row>
    <row r="85" spans="1:19" ht="20.100000000000001" hidden="1" customHeight="1">
      <c r="A85" s="1801"/>
      <c r="B85" s="1796"/>
      <c r="C85" s="1834"/>
      <c r="D85" s="842" t="s">
        <v>1425</v>
      </c>
      <c r="E85" s="779"/>
      <c r="F85" s="771"/>
      <c r="G85" s="779"/>
      <c r="H85" s="779"/>
      <c r="I85" s="780"/>
      <c r="J85" s="892"/>
      <c r="K85" s="843"/>
      <c r="L85" s="1781"/>
      <c r="M85" s="1682"/>
      <c r="N85" s="1788"/>
      <c r="O85" s="1784"/>
      <c r="P85" s="1776"/>
      <c r="Q85" s="1776"/>
      <c r="R85" s="1776"/>
      <c r="S85" s="1864"/>
    </row>
    <row r="86" spans="1:19" ht="20.100000000000001" hidden="1" customHeight="1">
      <c r="A86" s="1801"/>
      <c r="B86" s="1796"/>
      <c r="C86" s="1834"/>
      <c r="D86" s="844" t="s">
        <v>1426</v>
      </c>
      <c r="E86" s="779"/>
      <c r="F86" s="771"/>
      <c r="G86" s="779"/>
      <c r="H86" s="779"/>
      <c r="I86" s="780"/>
      <c r="J86" s="892"/>
      <c r="K86" s="843"/>
      <c r="L86" s="1781"/>
      <c r="M86" s="1682"/>
      <c r="N86" s="1788"/>
      <c r="O86" s="1784"/>
      <c r="P86" s="1776"/>
      <c r="Q86" s="1776"/>
      <c r="R86" s="1776"/>
      <c r="S86" s="1864"/>
    </row>
    <row r="87" spans="1:19" ht="20.100000000000001" hidden="1" customHeight="1">
      <c r="A87" s="1801"/>
      <c r="B87" s="1796"/>
      <c r="C87" s="1834"/>
      <c r="D87" s="897" t="s">
        <v>1421</v>
      </c>
      <c r="E87" s="779">
        <f>SUM(E82:E86)</f>
        <v>560.61500000000001</v>
      </c>
      <c r="F87" s="771"/>
      <c r="G87" s="779">
        <f t="shared" ref="G87:J87" si="41">SUM(G82:G86)</f>
        <v>662.54300000000001</v>
      </c>
      <c r="H87" s="779">
        <f t="shared" ref="H87" si="42">SUM(H82:H86)</f>
        <v>637.57499999999993</v>
      </c>
      <c r="I87" s="779">
        <f t="shared" si="41"/>
        <v>637.93499999999995</v>
      </c>
      <c r="J87" s="779">
        <f t="shared" si="41"/>
        <v>638.03499999999997</v>
      </c>
      <c r="K87" s="843"/>
      <c r="L87" s="704"/>
      <c r="M87" s="1682"/>
      <c r="N87" s="676"/>
      <c r="O87" s="893"/>
      <c r="P87" s="1561"/>
      <c r="Q87" s="1561"/>
      <c r="R87" s="1561"/>
      <c r="S87" s="1864"/>
    </row>
    <row r="88" spans="1:19" ht="20.100000000000001" hidden="1" customHeight="1">
      <c r="A88" s="1801"/>
      <c r="B88" s="1796" t="s">
        <v>1416</v>
      </c>
      <c r="C88" s="1834">
        <v>190231730</v>
      </c>
      <c r="D88" s="842" t="s">
        <v>1424</v>
      </c>
      <c r="E88" s="837">
        <v>419.01499999999999</v>
      </c>
      <c r="F88" s="771"/>
      <c r="G88" s="704">
        <v>454.89</v>
      </c>
      <c r="H88" s="704">
        <v>483.96499999999997</v>
      </c>
      <c r="I88" s="704">
        <v>483.96499999999997</v>
      </c>
      <c r="J88" s="704">
        <v>483.96499999999997</v>
      </c>
      <c r="K88" s="843"/>
      <c r="L88" s="1781"/>
      <c r="M88" s="1682"/>
      <c r="N88" s="1788"/>
      <c r="O88" s="1784"/>
      <c r="P88" s="1776"/>
      <c r="Q88" s="1776"/>
      <c r="R88" s="1776"/>
      <c r="S88" s="1864"/>
    </row>
    <row r="89" spans="1:19" ht="20.100000000000001" hidden="1" customHeight="1">
      <c r="A89" s="1801"/>
      <c r="B89" s="1796"/>
      <c r="C89" s="1834"/>
      <c r="D89" s="842" t="s">
        <v>1371</v>
      </c>
      <c r="E89" s="704"/>
      <c r="F89" s="771"/>
      <c r="G89" s="704"/>
      <c r="H89" s="704"/>
      <c r="I89" s="704"/>
      <c r="J89" s="704"/>
      <c r="K89" s="843"/>
      <c r="L89" s="1782"/>
      <c r="M89" s="1682"/>
      <c r="N89" s="1788"/>
      <c r="O89" s="1784"/>
      <c r="P89" s="1776"/>
      <c r="Q89" s="1776"/>
      <c r="R89" s="1776"/>
      <c r="S89" s="1864"/>
    </row>
    <row r="90" spans="1:19" ht="20.100000000000001" hidden="1" customHeight="1">
      <c r="A90" s="1801"/>
      <c r="B90" s="1796"/>
      <c r="C90" s="1834"/>
      <c r="D90" s="842" t="s">
        <v>668</v>
      </c>
      <c r="E90" s="779">
        <v>10.029999999999999</v>
      </c>
      <c r="F90" s="771"/>
      <c r="G90" s="779">
        <v>97.53</v>
      </c>
      <c r="H90" s="704">
        <f>48.86</f>
        <v>48.86</v>
      </c>
      <c r="I90" s="704">
        <v>50</v>
      </c>
      <c r="J90" s="704">
        <v>51</v>
      </c>
      <c r="K90" s="843"/>
      <c r="L90" s="1782"/>
      <c r="M90" s="1682"/>
      <c r="N90" s="1788"/>
      <c r="O90" s="1784"/>
      <c r="P90" s="1776"/>
      <c r="Q90" s="1776"/>
      <c r="R90" s="1776"/>
      <c r="S90" s="1864"/>
    </row>
    <row r="91" spans="1:19" ht="20.100000000000001" hidden="1" customHeight="1">
      <c r="A91" s="1801"/>
      <c r="B91" s="1796"/>
      <c r="C91" s="1834"/>
      <c r="D91" s="842" t="s">
        <v>1425</v>
      </c>
      <c r="E91" s="779"/>
      <c r="F91" s="771"/>
      <c r="G91" s="779"/>
      <c r="H91" s="779"/>
      <c r="I91" s="780"/>
      <c r="J91" s="843"/>
      <c r="K91" s="843"/>
      <c r="L91" s="1782"/>
      <c r="M91" s="1682"/>
      <c r="N91" s="1788"/>
      <c r="O91" s="1784"/>
      <c r="P91" s="1776"/>
      <c r="Q91" s="1776"/>
      <c r="R91" s="1776"/>
      <c r="S91" s="1864"/>
    </row>
    <row r="92" spans="1:19" ht="20.100000000000001" hidden="1" customHeight="1">
      <c r="A92" s="1801"/>
      <c r="B92" s="1796"/>
      <c r="C92" s="1834"/>
      <c r="D92" s="844" t="s">
        <v>1426</v>
      </c>
      <c r="E92" s="779"/>
      <c r="F92" s="771"/>
      <c r="G92" s="779"/>
      <c r="H92" s="779"/>
      <c r="I92" s="780"/>
      <c r="J92" s="892"/>
      <c r="K92" s="843"/>
      <c r="L92" s="1782"/>
      <c r="M92" s="1682"/>
      <c r="N92" s="1788"/>
      <c r="O92" s="1784"/>
      <c r="P92" s="1776"/>
      <c r="Q92" s="1776"/>
      <c r="R92" s="1776"/>
      <c r="S92" s="1864"/>
    </row>
    <row r="93" spans="1:19" ht="20.100000000000001" hidden="1" customHeight="1">
      <c r="A93" s="1801"/>
      <c r="B93" s="1796"/>
      <c r="C93" s="1834"/>
      <c r="D93" s="897" t="s">
        <v>1421</v>
      </c>
      <c r="E93" s="779">
        <f>SUM(E88:E92)</f>
        <v>429.04499999999996</v>
      </c>
      <c r="F93" s="771"/>
      <c r="G93" s="779">
        <f t="shared" ref="G93:I93" si="43">SUM(G88:G92)</f>
        <v>552.41999999999996</v>
      </c>
      <c r="H93" s="779">
        <f t="shared" ref="H93" si="44">SUM(H88:H92)</f>
        <v>532.82499999999993</v>
      </c>
      <c r="I93" s="779">
        <f t="shared" si="43"/>
        <v>533.96499999999992</v>
      </c>
      <c r="J93" s="779">
        <f>SUM(J88:J92)</f>
        <v>534.96499999999992</v>
      </c>
      <c r="K93" s="843"/>
      <c r="L93" s="1782"/>
      <c r="M93" s="1682"/>
      <c r="N93" s="1788"/>
      <c r="O93" s="1784"/>
      <c r="P93" s="1776"/>
      <c r="Q93" s="1776"/>
      <c r="R93" s="1776"/>
      <c r="S93" s="1864"/>
    </row>
    <row r="94" spans="1:19" ht="20.100000000000001" hidden="1" customHeight="1">
      <c r="A94" s="1801"/>
      <c r="B94" s="1796" t="s">
        <v>1451</v>
      </c>
      <c r="C94" s="1834">
        <v>190231011</v>
      </c>
      <c r="D94" s="842" t="s">
        <v>1424</v>
      </c>
      <c r="E94" s="837">
        <v>448.51</v>
      </c>
      <c r="F94" s="771"/>
      <c r="G94" s="704">
        <v>387.82299999999998</v>
      </c>
      <c r="H94" s="704">
        <v>459.17500000000001</v>
      </c>
      <c r="I94" s="704">
        <v>459.17500000000001</v>
      </c>
      <c r="J94" s="704">
        <v>459.17500000000001</v>
      </c>
      <c r="K94" s="843"/>
      <c r="L94" s="1781"/>
      <c r="M94" s="1682"/>
      <c r="N94" s="1788"/>
      <c r="O94" s="1784"/>
      <c r="P94" s="1776"/>
      <c r="Q94" s="1776"/>
      <c r="R94" s="1776"/>
      <c r="S94" s="1864"/>
    </row>
    <row r="95" spans="1:19" ht="20.100000000000001" hidden="1" customHeight="1">
      <c r="A95" s="1801"/>
      <c r="B95" s="1796"/>
      <c r="C95" s="1834"/>
      <c r="D95" s="842" t="s">
        <v>1371</v>
      </c>
      <c r="E95" s="704"/>
      <c r="F95" s="771"/>
      <c r="G95" s="704"/>
      <c r="H95" s="704"/>
      <c r="I95" s="704"/>
      <c r="J95" s="704"/>
      <c r="K95" s="843"/>
      <c r="L95" s="1782"/>
      <c r="M95" s="1682"/>
      <c r="N95" s="1788"/>
      <c r="O95" s="1784"/>
      <c r="P95" s="1776"/>
      <c r="Q95" s="1776"/>
      <c r="R95" s="1776"/>
      <c r="S95" s="1864"/>
    </row>
    <row r="96" spans="1:19" ht="20.100000000000001" hidden="1" customHeight="1">
      <c r="A96" s="1801"/>
      <c r="B96" s="1796"/>
      <c r="C96" s="1834"/>
      <c r="D96" s="842" t="s">
        <v>668</v>
      </c>
      <c r="E96" s="837">
        <v>15.02</v>
      </c>
      <c r="F96" s="771"/>
      <c r="G96" s="779">
        <v>153.61000000000001</v>
      </c>
      <c r="H96" s="704">
        <f>85.52</f>
        <v>85.52</v>
      </c>
      <c r="I96" s="704">
        <v>86</v>
      </c>
      <c r="J96" s="704">
        <v>87</v>
      </c>
      <c r="K96" s="843"/>
      <c r="L96" s="1782"/>
      <c r="M96" s="1682"/>
      <c r="N96" s="1788"/>
      <c r="O96" s="1784"/>
      <c r="P96" s="1776"/>
      <c r="Q96" s="1776"/>
      <c r="R96" s="1776"/>
      <c r="S96" s="1864"/>
    </row>
    <row r="97" spans="1:19" ht="20.100000000000001" hidden="1" customHeight="1">
      <c r="A97" s="1801"/>
      <c r="B97" s="1796"/>
      <c r="C97" s="1834"/>
      <c r="D97" s="842" t="s">
        <v>1425</v>
      </c>
      <c r="E97" s="779"/>
      <c r="F97" s="771"/>
      <c r="G97" s="779"/>
      <c r="H97" s="779"/>
      <c r="I97" s="780"/>
      <c r="J97" s="779"/>
      <c r="K97" s="843"/>
      <c r="L97" s="1782"/>
      <c r="M97" s="1682"/>
      <c r="N97" s="1788"/>
      <c r="O97" s="1784"/>
      <c r="P97" s="1776"/>
      <c r="Q97" s="1776"/>
      <c r="R97" s="1776"/>
      <c r="S97" s="1864"/>
    </row>
    <row r="98" spans="1:19" ht="20.100000000000001" hidden="1" customHeight="1">
      <c r="A98" s="1801"/>
      <c r="B98" s="1796"/>
      <c r="C98" s="1834"/>
      <c r="D98" s="844" t="s">
        <v>1426</v>
      </c>
      <c r="E98" s="779"/>
      <c r="F98" s="771"/>
      <c r="G98" s="779"/>
      <c r="H98" s="779"/>
      <c r="I98" s="780"/>
      <c r="J98" s="779"/>
      <c r="K98" s="843"/>
      <c r="L98" s="1782"/>
      <c r="M98" s="1682"/>
      <c r="N98" s="1788"/>
      <c r="O98" s="1784"/>
      <c r="P98" s="1776"/>
      <c r="Q98" s="1776"/>
      <c r="R98" s="1776"/>
      <c r="S98" s="1864"/>
    </row>
    <row r="99" spans="1:19" ht="20.100000000000001" hidden="1" customHeight="1">
      <c r="A99" s="1801"/>
      <c r="B99" s="1796"/>
      <c r="C99" s="1834"/>
      <c r="D99" s="897" t="s">
        <v>1421</v>
      </c>
      <c r="E99" s="779">
        <f>SUM(E94:E98)</f>
        <v>463.53</v>
      </c>
      <c r="F99" s="771"/>
      <c r="G99" s="779">
        <f t="shared" ref="G99:J99" si="45">SUM(G94:G98)</f>
        <v>541.43299999999999</v>
      </c>
      <c r="H99" s="779">
        <f t="shared" ref="H99" si="46">SUM(H94:H98)</f>
        <v>544.69500000000005</v>
      </c>
      <c r="I99" s="779">
        <f t="shared" si="45"/>
        <v>545.17499999999995</v>
      </c>
      <c r="J99" s="779">
        <f t="shared" si="45"/>
        <v>546.17499999999995</v>
      </c>
      <c r="K99" s="843"/>
      <c r="L99" s="1782"/>
      <c r="M99" s="1682"/>
      <c r="N99" s="1788"/>
      <c r="O99" s="1784"/>
      <c r="P99" s="1776"/>
      <c r="Q99" s="1776"/>
      <c r="R99" s="1776"/>
      <c r="S99" s="1864"/>
    </row>
    <row r="100" spans="1:19" ht="20.100000000000001" hidden="1" customHeight="1">
      <c r="A100" s="1801"/>
      <c r="B100" s="1796" t="s">
        <v>1417</v>
      </c>
      <c r="C100" s="1834">
        <v>190230258</v>
      </c>
      <c r="D100" s="842" t="s">
        <v>1424</v>
      </c>
      <c r="E100" s="837">
        <v>299.5</v>
      </c>
      <c r="F100" s="771"/>
      <c r="G100" s="704">
        <v>284.33999999999997</v>
      </c>
      <c r="H100" s="704">
        <v>316.97000000000003</v>
      </c>
      <c r="I100" s="704">
        <v>316.97000000000003</v>
      </c>
      <c r="J100" s="704">
        <v>316.97000000000003</v>
      </c>
      <c r="K100" s="843"/>
      <c r="L100" s="1781"/>
      <c r="M100" s="1682"/>
      <c r="N100" s="1788"/>
      <c r="O100" s="1784"/>
      <c r="P100" s="1776"/>
      <c r="Q100" s="1776"/>
      <c r="R100" s="1776"/>
      <c r="S100" s="1864"/>
    </row>
    <row r="101" spans="1:19" ht="20.100000000000001" hidden="1" customHeight="1">
      <c r="A101" s="1801"/>
      <c r="B101" s="1796"/>
      <c r="C101" s="1834"/>
      <c r="D101" s="842" t="s">
        <v>1371</v>
      </c>
      <c r="E101" s="704"/>
      <c r="F101" s="771"/>
      <c r="G101" s="704"/>
      <c r="H101" s="704"/>
      <c r="I101" s="704"/>
      <c r="J101" s="704"/>
      <c r="K101" s="843"/>
      <c r="L101" s="1782"/>
      <c r="M101" s="1682"/>
      <c r="N101" s="1788"/>
      <c r="O101" s="1784"/>
      <c r="P101" s="1776"/>
      <c r="Q101" s="1776"/>
      <c r="R101" s="1776"/>
      <c r="S101" s="1864"/>
    </row>
    <row r="102" spans="1:19" ht="20.100000000000001" hidden="1" customHeight="1">
      <c r="A102" s="1801"/>
      <c r="B102" s="1796"/>
      <c r="C102" s="1834"/>
      <c r="D102" s="842" t="s">
        <v>668</v>
      </c>
      <c r="E102" s="837">
        <v>22.72</v>
      </c>
      <c r="F102" s="771"/>
      <c r="G102" s="779">
        <v>110.86499999999999</v>
      </c>
      <c r="H102" s="704">
        <f>57.32</f>
        <v>57.32</v>
      </c>
      <c r="I102" s="704">
        <v>58</v>
      </c>
      <c r="J102" s="704">
        <v>59</v>
      </c>
      <c r="K102" s="843"/>
      <c r="L102" s="1782"/>
      <c r="M102" s="1682"/>
      <c r="N102" s="1788"/>
      <c r="O102" s="1784"/>
      <c r="P102" s="1776"/>
      <c r="Q102" s="1776"/>
      <c r="R102" s="1776"/>
      <c r="S102" s="1864"/>
    </row>
    <row r="103" spans="1:19" ht="20.100000000000001" hidden="1" customHeight="1">
      <c r="A103" s="1801"/>
      <c r="B103" s="1796"/>
      <c r="C103" s="1834"/>
      <c r="D103" s="842" t="s">
        <v>1425</v>
      </c>
      <c r="E103" s="779"/>
      <c r="F103" s="771"/>
      <c r="G103" s="779"/>
      <c r="H103" s="779">
        <v>3.2480000000000002</v>
      </c>
      <c r="I103" s="780"/>
      <c r="J103" s="779"/>
      <c r="K103" s="843"/>
      <c r="L103" s="1782"/>
      <c r="M103" s="1682"/>
      <c r="N103" s="1788"/>
      <c r="O103" s="1784"/>
      <c r="P103" s="1776"/>
      <c r="Q103" s="1776"/>
      <c r="R103" s="1776"/>
      <c r="S103" s="1864"/>
    </row>
    <row r="104" spans="1:19" ht="20.100000000000001" hidden="1" customHeight="1">
      <c r="A104" s="1801"/>
      <c r="B104" s="1796"/>
      <c r="C104" s="1834"/>
      <c r="D104" s="844" t="s">
        <v>1426</v>
      </c>
      <c r="E104" s="779"/>
      <c r="F104" s="771"/>
      <c r="G104" s="779"/>
      <c r="H104" s="779"/>
      <c r="I104" s="780"/>
      <c r="J104" s="779"/>
      <c r="K104" s="843"/>
      <c r="L104" s="1782"/>
      <c r="M104" s="1682"/>
      <c r="N104" s="1788"/>
      <c r="O104" s="1784"/>
      <c r="P104" s="1776"/>
      <c r="Q104" s="1776"/>
      <c r="R104" s="1776"/>
      <c r="S104" s="1864"/>
    </row>
    <row r="105" spans="1:19" ht="20.100000000000001" hidden="1" customHeight="1">
      <c r="A105" s="1801"/>
      <c r="B105" s="1796"/>
      <c r="C105" s="1834"/>
      <c r="D105" s="897" t="s">
        <v>1421</v>
      </c>
      <c r="E105" s="779">
        <f>SUM(E100:E104)</f>
        <v>322.22000000000003</v>
      </c>
      <c r="F105" s="771"/>
      <c r="G105" s="779">
        <f t="shared" ref="G105:J105" si="47">SUM(G100:G104)</f>
        <v>395.20499999999998</v>
      </c>
      <c r="H105" s="779">
        <f t="shared" ref="H105" si="48">SUM(H100:H104)</f>
        <v>377.53800000000001</v>
      </c>
      <c r="I105" s="779">
        <f t="shared" si="47"/>
        <v>374.97</v>
      </c>
      <c r="J105" s="779">
        <f t="shared" si="47"/>
        <v>375.97</v>
      </c>
      <c r="K105" s="843"/>
      <c r="L105" s="1782"/>
      <c r="M105" s="1682"/>
      <c r="N105" s="1788"/>
      <c r="O105" s="1784"/>
      <c r="P105" s="1776"/>
      <c r="Q105" s="1776"/>
      <c r="R105" s="1776"/>
      <c r="S105" s="1864"/>
    </row>
    <row r="106" spans="1:19" ht="20.100000000000001" hidden="1" customHeight="1">
      <c r="A106" s="1801"/>
      <c r="B106" s="1796" t="s">
        <v>1456</v>
      </c>
      <c r="C106" s="1834">
        <v>190243280</v>
      </c>
      <c r="D106" s="842" t="s">
        <v>1424</v>
      </c>
      <c r="E106" s="837">
        <v>756.56500000000005</v>
      </c>
      <c r="F106" s="771"/>
      <c r="G106" s="704">
        <v>747.27499999999998</v>
      </c>
      <c r="H106" s="704">
        <v>836.83</v>
      </c>
      <c r="I106" s="704">
        <v>836.83</v>
      </c>
      <c r="J106" s="704">
        <v>836.83</v>
      </c>
      <c r="K106" s="843"/>
      <c r="L106" s="1781"/>
      <c r="M106" s="1682"/>
      <c r="N106" s="1788"/>
      <c r="O106" s="1784"/>
      <c r="P106" s="1776"/>
      <c r="Q106" s="1776"/>
      <c r="R106" s="1776"/>
      <c r="S106" s="1864"/>
    </row>
    <row r="107" spans="1:19" ht="20.100000000000001" hidden="1" customHeight="1">
      <c r="A107" s="1801"/>
      <c r="B107" s="1796"/>
      <c r="C107" s="1834"/>
      <c r="D107" s="842" t="s">
        <v>1371</v>
      </c>
      <c r="E107" s="704"/>
      <c r="F107" s="771"/>
      <c r="G107" s="704"/>
      <c r="H107" s="704"/>
      <c r="I107" s="780"/>
      <c r="J107" s="779"/>
      <c r="K107" s="843"/>
      <c r="L107" s="1782"/>
      <c r="M107" s="1682"/>
      <c r="N107" s="1788"/>
      <c r="O107" s="1784"/>
      <c r="P107" s="1776"/>
      <c r="Q107" s="1776"/>
      <c r="R107" s="1776"/>
      <c r="S107" s="1864"/>
    </row>
    <row r="108" spans="1:19" ht="20.100000000000001" hidden="1" customHeight="1">
      <c r="A108" s="1801"/>
      <c r="B108" s="1796"/>
      <c r="C108" s="1834"/>
      <c r="D108" s="842" t="s">
        <v>668</v>
      </c>
      <c r="E108" s="779"/>
      <c r="F108" s="771"/>
      <c r="G108" s="779"/>
      <c r="H108" s="779"/>
      <c r="I108" s="780"/>
      <c r="J108" s="779"/>
      <c r="K108" s="843"/>
      <c r="L108" s="1782"/>
      <c r="M108" s="1682"/>
      <c r="N108" s="1788"/>
      <c r="O108" s="1784"/>
      <c r="P108" s="1776"/>
      <c r="Q108" s="1776"/>
      <c r="R108" s="1776"/>
      <c r="S108" s="1864"/>
    </row>
    <row r="109" spans="1:19" ht="20.100000000000001" hidden="1" customHeight="1">
      <c r="A109" s="1801"/>
      <c r="B109" s="1796"/>
      <c r="C109" s="1834"/>
      <c r="D109" s="842" t="s">
        <v>1425</v>
      </c>
      <c r="E109" s="779"/>
      <c r="F109" s="771"/>
      <c r="G109" s="779"/>
      <c r="H109" s="779"/>
      <c r="I109" s="780"/>
      <c r="J109" s="779"/>
      <c r="K109" s="843"/>
      <c r="L109" s="1782"/>
      <c r="M109" s="1682"/>
      <c r="N109" s="1788"/>
      <c r="O109" s="1784"/>
      <c r="P109" s="1776"/>
      <c r="Q109" s="1776"/>
      <c r="R109" s="1776"/>
      <c r="S109" s="1864"/>
    </row>
    <row r="110" spans="1:19" ht="20.100000000000001" hidden="1" customHeight="1">
      <c r="A110" s="1801"/>
      <c r="B110" s="1796"/>
      <c r="C110" s="1834"/>
      <c r="D110" s="844" t="s">
        <v>1426</v>
      </c>
      <c r="E110" s="779"/>
      <c r="F110" s="771"/>
      <c r="G110" s="779"/>
      <c r="H110" s="779"/>
      <c r="I110" s="780"/>
      <c r="J110" s="779"/>
      <c r="K110" s="843"/>
      <c r="L110" s="1782"/>
      <c r="M110" s="1682"/>
      <c r="N110" s="1788"/>
      <c r="O110" s="1784"/>
      <c r="P110" s="1776"/>
      <c r="Q110" s="1776"/>
      <c r="R110" s="1776"/>
      <c r="S110" s="1864"/>
    </row>
    <row r="111" spans="1:19" ht="20.100000000000001" hidden="1" customHeight="1">
      <c r="A111" s="1801"/>
      <c r="B111" s="1796"/>
      <c r="C111" s="1834"/>
      <c r="D111" s="897" t="s">
        <v>1421</v>
      </c>
      <c r="E111" s="779">
        <f>SUM(E106:E110)</f>
        <v>756.56500000000005</v>
      </c>
      <c r="F111" s="771"/>
      <c r="G111" s="779">
        <f t="shared" ref="G111:J111" si="49">SUM(G106:G110)</f>
        <v>747.27499999999998</v>
      </c>
      <c r="H111" s="779">
        <f t="shared" ref="H111" si="50">SUM(H106:H110)</f>
        <v>836.83</v>
      </c>
      <c r="I111" s="779">
        <f t="shared" si="49"/>
        <v>836.83</v>
      </c>
      <c r="J111" s="779">
        <f t="shared" si="49"/>
        <v>836.83</v>
      </c>
      <c r="K111" s="843"/>
      <c r="L111" s="1782"/>
      <c r="M111" s="1682"/>
      <c r="N111" s="1788"/>
      <c r="O111" s="1784"/>
      <c r="P111" s="1776"/>
      <c r="Q111" s="1776"/>
      <c r="R111" s="1776"/>
      <c r="S111" s="1864"/>
    </row>
    <row r="112" spans="1:19" ht="20.100000000000001" hidden="1" customHeight="1">
      <c r="A112" s="1801"/>
      <c r="B112" s="1796" t="s">
        <v>1418</v>
      </c>
      <c r="C112" s="1834">
        <v>300135691</v>
      </c>
      <c r="D112" s="842" t="s">
        <v>1424</v>
      </c>
      <c r="E112" s="836">
        <v>1114.8</v>
      </c>
      <c r="F112" s="771"/>
      <c r="G112" s="704">
        <v>1055.5540000000001</v>
      </c>
      <c r="H112" s="704">
        <v>1188.655</v>
      </c>
      <c r="I112" s="704">
        <v>1188.655</v>
      </c>
      <c r="J112" s="704">
        <v>1188.655</v>
      </c>
      <c r="K112" s="843"/>
      <c r="L112" s="1781"/>
      <c r="M112" s="1682"/>
      <c r="N112" s="1788"/>
      <c r="O112" s="1784"/>
      <c r="P112" s="1776"/>
      <c r="Q112" s="1776"/>
      <c r="R112" s="1776"/>
      <c r="S112" s="1864"/>
    </row>
    <row r="113" spans="1:19" ht="20.100000000000001" hidden="1" customHeight="1">
      <c r="A113" s="1801"/>
      <c r="B113" s="1796"/>
      <c r="C113" s="1834"/>
      <c r="D113" s="842" t="s">
        <v>1371</v>
      </c>
      <c r="E113" s="704"/>
      <c r="F113" s="771"/>
      <c r="G113" s="704"/>
      <c r="H113" s="704"/>
      <c r="I113" s="780"/>
      <c r="J113" s="779"/>
      <c r="K113" s="843"/>
      <c r="L113" s="1782"/>
      <c r="M113" s="1682"/>
      <c r="N113" s="1788"/>
      <c r="O113" s="1784"/>
      <c r="P113" s="1776"/>
      <c r="Q113" s="1776"/>
      <c r="R113" s="1776"/>
      <c r="S113" s="1864"/>
    </row>
    <row r="114" spans="1:19" ht="20.100000000000001" hidden="1" customHeight="1">
      <c r="A114" s="1801"/>
      <c r="B114" s="1796"/>
      <c r="C114" s="1834"/>
      <c r="D114" s="842" t="s">
        <v>668</v>
      </c>
      <c r="E114" s="779"/>
      <c r="F114" s="771"/>
      <c r="G114" s="779"/>
      <c r="H114" s="704">
        <v>6.93</v>
      </c>
      <c r="I114" s="792">
        <v>6.93</v>
      </c>
      <c r="J114" s="704">
        <v>6.93</v>
      </c>
      <c r="K114" s="843"/>
      <c r="L114" s="1782"/>
      <c r="M114" s="1682"/>
      <c r="N114" s="1788"/>
      <c r="O114" s="1784"/>
      <c r="P114" s="1776"/>
      <c r="Q114" s="1776"/>
      <c r="R114" s="1776"/>
      <c r="S114" s="1864"/>
    </row>
    <row r="115" spans="1:19" ht="20.100000000000001" hidden="1" customHeight="1">
      <c r="A115" s="1801"/>
      <c r="B115" s="1796"/>
      <c r="C115" s="1834"/>
      <c r="D115" s="842" t="s">
        <v>1425</v>
      </c>
      <c r="E115" s="779"/>
      <c r="F115" s="771"/>
      <c r="G115" s="779"/>
      <c r="H115" s="779"/>
      <c r="I115" s="780"/>
      <c r="J115" s="779"/>
      <c r="K115" s="843"/>
      <c r="L115" s="1782"/>
      <c r="M115" s="1682"/>
      <c r="N115" s="1788"/>
      <c r="O115" s="1784"/>
      <c r="P115" s="1776"/>
      <c r="Q115" s="1776"/>
      <c r="R115" s="1776"/>
      <c r="S115" s="1864"/>
    </row>
    <row r="116" spans="1:19" ht="20.100000000000001" hidden="1" customHeight="1">
      <c r="A116" s="1801"/>
      <c r="B116" s="1796"/>
      <c r="C116" s="1834"/>
      <c r="D116" s="844" t="s">
        <v>1426</v>
      </c>
      <c r="E116" s="779"/>
      <c r="F116" s="771"/>
      <c r="G116" s="779"/>
      <c r="H116" s="779"/>
      <c r="I116" s="780"/>
      <c r="J116" s="779"/>
      <c r="K116" s="843"/>
      <c r="L116" s="1782"/>
      <c r="M116" s="1682"/>
      <c r="N116" s="1788"/>
      <c r="O116" s="1784"/>
      <c r="P116" s="1776"/>
      <c r="Q116" s="1776"/>
      <c r="R116" s="1776"/>
      <c r="S116" s="1864"/>
    </row>
    <row r="117" spans="1:19" ht="20.100000000000001" hidden="1" customHeight="1">
      <c r="A117" s="1801"/>
      <c r="B117" s="1796"/>
      <c r="C117" s="1834"/>
      <c r="D117" s="897" t="s">
        <v>1421</v>
      </c>
      <c r="E117" s="779">
        <f>SUM(E112:E116)</f>
        <v>1114.8</v>
      </c>
      <c r="F117" s="771"/>
      <c r="G117" s="779">
        <f t="shared" ref="G117:J117" si="51">SUM(G112:G116)</f>
        <v>1055.5540000000001</v>
      </c>
      <c r="H117" s="779">
        <f t="shared" ref="H117" si="52">SUM(H112:H116)</f>
        <v>1195.585</v>
      </c>
      <c r="I117" s="779">
        <f t="shared" si="51"/>
        <v>1195.585</v>
      </c>
      <c r="J117" s="779">
        <f t="shared" si="51"/>
        <v>1195.585</v>
      </c>
      <c r="K117" s="843"/>
      <c r="L117" s="1782"/>
      <c r="M117" s="1682"/>
      <c r="N117" s="1788"/>
      <c r="O117" s="1784"/>
      <c r="P117" s="1776"/>
      <c r="Q117" s="1776"/>
      <c r="R117" s="1776"/>
      <c r="S117" s="1864"/>
    </row>
    <row r="118" spans="1:19" ht="20.100000000000001" hidden="1" customHeight="1">
      <c r="A118" s="1801"/>
      <c r="B118" s="1796" t="s">
        <v>1453</v>
      </c>
      <c r="C118" s="1834">
        <v>190243095</v>
      </c>
      <c r="D118" s="842" t="s">
        <v>1424</v>
      </c>
      <c r="E118" s="837">
        <v>1315.5</v>
      </c>
      <c r="F118" s="771"/>
      <c r="G118" s="704">
        <v>1296.7750000000001</v>
      </c>
      <c r="H118" s="704">
        <v>1412.665</v>
      </c>
      <c r="I118" s="704">
        <v>1412.665</v>
      </c>
      <c r="J118" s="704">
        <v>1412.665</v>
      </c>
      <c r="K118" s="843"/>
      <c r="L118" s="1781"/>
      <c r="M118" s="1682"/>
      <c r="N118" s="1788"/>
      <c r="O118" s="1784"/>
      <c r="P118" s="1776"/>
      <c r="Q118" s="1776"/>
      <c r="R118" s="1776"/>
      <c r="S118" s="1864"/>
    </row>
    <row r="119" spans="1:19" ht="20.100000000000001" hidden="1" customHeight="1">
      <c r="A119" s="1801"/>
      <c r="B119" s="1796"/>
      <c r="C119" s="1834"/>
      <c r="D119" s="842" t="s">
        <v>1371</v>
      </c>
      <c r="E119" s="704"/>
      <c r="F119" s="771"/>
      <c r="G119" s="704"/>
      <c r="H119" s="704"/>
      <c r="I119" s="780"/>
      <c r="J119" s="779"/>
      <c r="K119" s="843"/>
      <c r="L119" s="1782"/>
      <c r="M119" s="1682"/>
      <c r="N119" s="1788"/>
      <c r="O119" s="1784"/>
      <c r="P119" s="1776"/>
      <c r="Q119" s="1776"/>
      <c r="R119" s="1776"/>
      <c r="S119" s="1864"/>
    </row>
    <row r="120" spans="1:19" ht="20.100000000000001" hidden="1" customHeight="1">
      <c r="A120" s="1801"/>
      <c r="B120" s="1796"/>
      <c r="C120" s="1834"/>
      <c r="D120" s="842" t="s">
        <v>668</v>
      </c>
      <c r="E120" s="837">
        <v>22.41</v>
      </c>
      <c r="F120" s="771"/>
      <c r="G120" s="704">
        <v>22.914999999999999</v>
      </c>
      <c r="H120" s="704">
        <v>52.43</v>
      </c>
      <c r="I120" s="792">
        <v>53</v>
      </c>
      <c r="J120" s="704">
        <v>54</v>
      </c>
      <c r="K120" s="843"/>
      <c r="L120" s="1782"/>
      <c r="M120" s="1682"/>
      <c r="N120" s="1788"/>
      <c r="O120" s="1784"/>
      <c r="P120" s="1776"/>
      <c r="Q120" s="1776"/>
      <c r="R120" s="1776"/>
      <c r="S120" s="1864"/>
    </row>
    <row r="121" spans="1:19" ht="20.100000000000001" hidden="1" customHeight="1">
      <c r="A121" s="1801"/>
      <c r="B121" s="1796"/>
      <c r="C121" s="1834"/>
      <c r="D121" s="842" t="s">
        <v>1425</v>
      </c>
      <c r="E121" s="779"/>
      <c r="F121" s="771"/>
      <c r="G121" s="779"/>
      <c r="H121" s="779"/>
      <c r="I121" s="780"/>
      <c r="J121" s="779"/>
      <c r="K121" s="843"/>
      <c r="L121" s="1782"/>
      <c r="M121" s="1682"/>
      <c r="N121" s="1788"/>
      <c r="O121" s="1784"/>
      <c r="P121" s="1776"/>
      <c r="Q121" s="1776"/>
      <c r="R121" s="1776"/>
      <c r="S121" s="1864"/>
    </row>
    <row r="122" spans="1:19" ht="20.100000000000001" hidden="1" customHeight="1">
      <c r="A122" s="1801"/>
      <c r="B122" s="1796"/>
      <c r="C122" s="1834"/>
      <c r="D122" s="844" t="s">
        <v>1426</v>
      </c>
      <c r="E122" s="779"/>
      <c r="F122" s="771"/>
      <c r="G122" s="779"/>
      <c r="H122" s="779"/>
      <c r="I122" s="780"/>
      <c r="J122" s="779"/>
      <c r="K122" s="843"/>
      <c r="L122" s="1782"/>
      <c r="M122" s="1682"/>
      <c r="N122" s="1788"/>
      <c r="O122" s="1784"/>
      <c r="P122" s="1776"/>
      <c r="Q122" s="1776"/>
      <c r="R122" s="1776"/>
      <c r="S122" s="1864"/>
    </row>
    <row r="123" spans="1:19" ht="20.100000000000001" hidden="1" customHeight="1">
      <c r="A123" s="1801"/>
      <c r="B123" s="1796"/>
      <c r="C123" s="1834"/>
      <c r="D123" s="897" t="s">
        <v>1421</v>
      </c>
      <c r="E123" s="779">
        <f>SUM(E118:E122)</f>
        <v>1337.91</v>
      </c>
      <c r="F123" s="771"/>
      <c r="G123" s="779">
        <f t="shared" ref="G123:J123" si="53">SUM(G118:G122)</f>
        <v>1319.69</v>
      </c>
      <c r="H123" s="779">
        <f t="shared" ref="H123" si="54">SUM(H118:H122)</f>
        <v>1465.095</v>
      </c>
      <c r="I123" s="779">
        <f t="shared" si="53"/>
        <v>1465.665</v>
      </c>
      <c r="J123" s="779">
        <f t="shared" si="53"/>
        <v>1466.665</v>
      </c>
      <c r="K123" s="843"/>
      <c r="L123" s="1782"/>
      <c r="M123" s="1682"/>
      <c r="N123" s="1788"/>
      <c r="O123" s="1784"/>
      <c r="P123" s="1776"/>
      <c r="Q123" s="1776"/>
      <c r="R123" s="1776"/>
      <c r="S123" s="1864"/>
    </row>
    <row r="124" spans="1:19" ht="20.100000000000001" hidden="1" customHeight="1">
      <c r="A124" s="1801"/>
      <c r="B124" s="1796" t="s">
        <v>1419</v>
      </c>
      <c r="C124" s="1834">
        <v>190243519</v>
      </c>
      <c r="D124" s="842" t="s">
        <v>1424</v>
      </c>
      <c r="E124" s="837">
        <v>1486.16</v>
      </c>
      <c r="F124" s="771"/>
      <c r="G124" s="704">
        <v>1701.5340000000001</v>
      </c>
      <c r="H124" s="704">
        <v>1810.5650000000001</v>
      </c>
      <c r="I124" s="704">
        <v>1810.5650000000001</v>
      </c>
      <c r="J124" s="704">
        <v>1810.5650000000001</v>
      </c>
      <c r="K124" s="843"/>
      <c r="L124" s="1781"/>
      <c r="M124" s="1682"/>
      <c r="N124" s="1788"/>
      <c r="O124" s="1784"/>
      <c r="P124" s="1776"/>
      <c r="Q124" s="1776"/>
      <c r="R124" s="1776"/>
      <c r="S124" s="1864"/>
    </row>
    <row r="125" spans="1:19" ht="20.100000000000001" hidden="1" customHeight="1">
      <c r="A125" s="1801"/>
      <c r="B125" s="1796"/>
      <c r="C125" s="1834"/>
      <c r="D125" s="842" t="s">
        <v>1371</v>
      </c>
      <c r="E125" s="704"/>
      <c r="F125" s="771"/>
      <c r="G125" s="704"/>
      <c r="H125" s="704"/>
      <c r="I125" s="780"/>
      <c r="J125" s="779"/>
      <c r="K125" s="843"/>
      <c r="L125" s="1782"/>
      <c r="M125" s="1682"/>
      <c r="N125" s="1788"/>
      <c r="O125" s="1784"/>
      <c r="P125" s="1776"/>
      <c r="Q125" s="1776"/>
      <c r="R125" s="1776"/>
      <c r="S125" s="1864"/>
    </row>
    <row r="126" spans="1:19" ht="20.100000000000001" hidden="1" customHeight="1">
      <c r="A126" s="1801"/>
      <c r="B126" s="1796"/>
      <c r="C126" s="1834"/>
      <c r="D126" s="842" t="s">
        <v>668</v>
      </c>
      <c r="E126" s="704">
        <v>19.21</v>
      </c>
      <c r="F126" s="771"/>
      <c r="G126" s="704"/>
      <c r="H126" s="704">
        <v>44.82</v>
      </c>
      <c r="I126" s="792">
        <v>45</v>
      </c>
      <c r="J126" s="704">
        <v>45</v>
      </c>
      <c r="K126" s="843"/>
      <c r="L126" s="1782"/>
      <c r="M126" s="1682"/>
      <c r="N126" s="1788"/>
      <c r="O126" s="1784"/>
      <c r="P126" s="1776"/>
      <c r="Q126" s="1776"/>
      <c r="R126" s="1776"/>
      <c r="S126" s="1864"/>
    </row>
    <row r="127" spans="1:19" ht="20.100000000000001" hidden="1" customHeight="1">
      <c r="A127" s="1801"/>
      <c r="B127" s="1796"/>
      <c r="C127" s="1834"/>
      <c r="D127" s="842" t="s">
        <v>1425</v>
      </c>
      <c r="E127" s="779"/>
      <c r="F127" s="771"/>
      <c r="G127" s="779"/>
      <c r="H127" s="779">
        <v>39</v>
      </c>
      <c r="I127" s="779">
        <v>39</v>
      </c>
      <c r="J127" s="779">
        <v>39</v>
      </c>
      <c r="K127" s="843"/>
      <c r="L127" s="1782"/>
      <c r="M127" s="1682"/>
      <c r="N127" s="1788"/>
      <c r="O127" s="1784"/>
      <c r="P127" s="1776"/>
      <c r="Q127" s="1776"/>
      <c r="R127" s="1776"/>
      <c r="S127" s="1864"/>
    </row>
    <row r="128" spans="1:19" ht="20.100000000000001" hidden="1" customHeight="1">
      <c r="A128" s="1801"/>
      <c r="B128" s="1796"/>
      <c r="C128" s="1834"/>
      <c r="D128" s="844" t="s">
        <v>1426</v>
      </c>
      <c r="E128" s="779"/>
      <c r="F128" s="771"/>
      <c r="G128" s="779"/>
      <c r="H128" s="779"/>
      <c r="I128" s="780"/>
      <c r="J128" s="779"/>
      <c r="K128" s="843"/>
      <c r="L128" s="1782"/>
      <c r="M128" s="1682"/>
      <c r="N128" s="1788"/>
      <c r="O128" s="1784"/>
      <c r="P128" s="1776"/>
      <c r="Q128" s="1776"/>
      <c r="R128" s="1776"/>
      <c r="S128" s="1864"/>
    </row>
    <row r="129" spans="1:19" ht="20.100000000000001" hidden="1" customHeight="1">
      <c r="A129" s="1801"/>
      <c r="B129" s="1796"/>
      <c r="C129" s="1834"/>
      <c r="D129" s="845" t="s">
        <v>1421</v>
      </c>
      <c r="E129" s="779">
        <f>SUM(E124:E128)</f>
        <v>1505.3700000000001</v>
      </c>
      <c r="F129" s="771"/>
      <c r="G129" s="779">
        <f t="shared" ref="G129:J129" si="55">SUM(G124:G128)</f>
        <v>1701.5340000000001</v>
      </c>
      <c r="H129" s="779">
        <f t="shared" ref="H129" si="56">SUM(H124:H128)</f>
        <v>1894.385</v>
      </c>
      <c r="I129" s="779">
        <f t="shared" si="55"/>
        <v>1894.5650000000001</v>
      </c>
      <c r="J129" s="779">
        <f t="shared" si="55"/>
        <v>1894.5650000000001</v>
      </c>
      <c r="K129" s="843"/>
      <c r="L129" s="1782"/>
      <c r="M129" s="1682"/>
      <c r="N129" s="1788"/>
      <c r="O129" s="1784"/>
      <c r="P129" s="1776"/>
      <c r="Q129" s="1776"/>
      <c r="R129" s="1776"/>
      <c r="S129" s="1864"/>
    </row>
    <row r="130" spans="1:19" ht="20.100000000000001" hidden="1" customHeight="1">
      <c r="A130" s="1801"/>
      <c r="B130" s="1796" t="s">
        <v>1454</v>
      </c>
      <c r="C130" s="1834">
        <v>193170510</v>
      </c>
      <c r="D130" s="842" t="s">
        <v>1424</v>
      </c>
      <c r="E130" s="837">
        <v>817.91</v>
      </c>
      <c r="F130" s="771"/>
      <c r="G130" s="704">
        <v>938.19</v>
      </c>
      <c r="H130" s="704">
        <v>971.59</v>
      </c>
      <c r="I130" s="704">
        <v>971.59</v>
      </c>
      <c r="J130" s="704">
        <v>971.59</v>
      </c>
      <c r="K130" s="843"/>
      <c r="L130" s="1781"/>
      <c r="M130" s="1682"/>
      <c r="N130" s="1788"/>
      <c r="O130" s="1784"/>
      <c r="P130" s="1776"/>
      <c r="Q130" s="1776"/>
      <c r="R130" s="1776"/>
      <c r="S130" s="1864"/>
    </row>
    <row r="131" spans="1:19" ht="20.100000000000001" hidden="1" customHeight="1">
      <c r="A131" s="1801"/>
      <c r="B131" s="1796"/>
      <c r="C131" s="1834"/>
      <c r="D131" s="842" t="s">
        <v>1371</v>
      </c>
      <c r="E131" s="704"/>
      <c r="F131" s="771"/>
      <c r="G131" s="704"/>
      <c r="H131" s="704"/>
      <c r="I131" s="780"/>
      <c r="J131" s="779"/>
      <c r="K131" s="843"/>
      <c r="L131" s="1782"/>
      <c r="M131" s="1682"/>
      <c r="N131" s="1788"/>
      <c r="O131" s="1784"/>
      <c r="P131" s="1776"/>
      <c r="Q131" s="1776"/>
      <c r="R131" s="1776"/>
      <c r="S131" s="1864"/>
    </row>
    <row r="132" spans="1:19" ht="20.100000000000001" hidden="1" customHeight="1">
      <c r="A132" s="1801"/>
      <c r="B132" s="1796"/>
      <c r="C132" s="1834"/>
      <c r="D132" s="842" t="s">
        <v>668</v>
      </c>
      <c r="E132" s="837">
        <v>19.18</v>
      </c>
      <c r="F132" s="771"/>
      <c r="G132" s="704"/>
      <c r="H132" s="704">
        <v>37</v>
      </c>
      <c r="I132" s="792">
        <v>38</v>
      </c>
      <c r="J132" s="704">
        <v>39</v>
      </c>
      <c r="K132" s="843"/>
      <c r="L132" s="1782"/>
      <c r="M132" s="1682"/>
      <c r="N132" s="1788"/>
      <c r="O132" s="1784"/>
      <c r="P132" s="1776"/>
      <c r="Q132" s="1776"/>
      <c r="R132" s="1776"/>
      <c r="S132" s="1864"/>
    </row>
    <row r="133" spans="1:19" ht="20.100000000000001" hidden="1" customHeight="1">
      <c r="A133" s="1801"/>
      <c r="B133" s="1796"/>
      <c r="C133" s="1834"/>
      <c r="D133" s="842" t="s">
        <v>1425</v>
      </c>
      <c r="E133" s="779"/>
      <c r="F133" s="771"/>
      <c r="G133" s="779"/>
      <c r="H133" s="779"/>
      <c r="I133" s="780"/>
      <c r="J133" s="779"/>
      <c r="K133" s="843"/>
      <c r="L133" s="1782"/>
      <c r="M133" s="1682"/>
      <c r="N133" s="1788"/>
      <c r="O133" s="1784"/>
      <c r="P133" s="1776"/>
      <c r="Q133" s="1776"/>
      <c r="R133" s="1776"/>
      <c r="S133" s="1864"/>
    </row>
    <row r="134" spans="1:19" ht="20.100000000000001" hidden="1" customHeight="1">
      <c r="A134" s="1801"/>
      <c r="B134" s="1796"/>
      <c r="C134" s="1834"/>
      <c r="D134" s="844" t="s">
        <v>1426</v>
      </c>
      <c r="E134" s="779"/>
      <c r="F134" s="771"/>
      <c r="G134" s="779"/>
      <c r="H134" s="779"/>
      <c r="I134" s="780"/>
      <c r="J134" s="779"/>
      <c r="K134" s="843"/>
      <c r="L134" s="1782"/>
      <c r="M134" s="1682"/>
      <c r="N134" s="1788"/>
      <c r="O134" s="1784"/>
      <c r="P134" s="1776"/>
      <c r="Q134" s="1776"/>
      <c r="R134" s="1776"/>
      <c r="S134" s="1864"/>
    </row>
    <row r="135" spans="1:19" ht="20.100000000000001" hidden="1" customHeight="1">
      <c r="A135" s="1801"/>
      <c r="B135" s="1796"/>
      <c r="C135" s="1834"/>
      <c r="D135" s="897" t="s">
        <v>1421</v>
      </c>
      <c r="E135" s="779">
        <f>SUM(E130:E134)</f>
        <v>837.08999999999992</v>
      </c>
      <c r="F135" s="771"/>
      <c r="G135" s="779">
        <f t="shared" ref="G135:J135" si="57">SUM(G130:G134)</f>
        <v>938.19</v>
      </c>
      <c r="H135" s="779">
        <f t="shared" ref="H135" si="58">SUM(H130:H134)</f>
        <v>1008.59</v>
      </c>
      <c r="I135" s="779">
        <f t="shared" si="57"/>
        <v>1009.59</v>
      </c>
      <c r="J135" s="779">
        <f t="shared" si="57"/>
        <v>1010.59</v>
      </c>
      <c r="K135" s="843"/>
      <c r="L135" s="1782"/>
      <c r="M135" s="1682"/>
      <c r="N135" s="1788"/>
      <c r="O135" s="1784"/>
      <c r="P135" s="1776"/>
      <c r="Q135" s="1776"/>
      <c r="R135" s="1776"/>
      <c r="S135" s="1864"/>
    </row>
    <row r="136" spans="1:19" ht="20.100000000000001" hidden="1" customHeight="1">
      <c r="A136" s="1801"/>
      <c r="B136" s="1796" t="s">
        <v>1420</v>
      </c>
      <c r="C136" s="1834">
        <v>305632124</v>
      </c>
      <c r="D136" s="842" t="s">
        <v>1424</v>
      </c>
      <c r="E136" s="837">
        <v>20.27</v>
      </c>
      <c r="F136" s="771"/>
      <c r="G136" s="779">
        <v>20.27</v>
      </c>
      <c r="H136" s="779">
        <v>19.34</v>
      </c>
      <c r="I136" s="779">
        <v>19.34</v>
      </c>
      <c r="J136" s="779">
        <v>19.34</v>
      </c>
      <c r="K136" s="843"/>
      <c r="L136" s="1781"/>
      <c r="M136" s="1682"/>
      <c r="N136" s="1788"/>
      <c r="O136" s="1784"/>
      <c r="P136" s="1776"/>
      <c r="Q136" s="1776"/>
      <c r="R136" s="1776"/>
      <c r="S136" s="1864"/>
    </row>
    <row r="137" spans="1:19" ht="20.100000000000001" hidden="1" customHeight="1">
      <c r="A137" s="1801"/>
      <c r="B137" s="1796"/>
      <c r="C137" s="1834"/>
      <c r="D137" s="842" t="s">
        <v>1371</v>
      </c>
      <c r="E137" s="704"/>
      <c r="F137" s="771"/>
      <c r="G137" s="779">
        <v>53.94</v>
      </c>
      <c r="H137" s="779">
        <v>0</v>
      </c>
      <c r="I137" s="779">
        <v>0</v>
      </c>
      <c r="J137" s="779">
        <v>0</v>
      </c>
      <c r="K137" s="843"/>
      <c r="L137" s="1782"/>
      <c r="M137" s="1682"/>
      <c r="N137" s="1788"/>
      <c r="O137" s="1784"/>
      <c r="P137" s="1776"/>
      <c r="Q137" s="1776"/>
      <c r="R137" s="1776"/>
      <c r="S137" s="1864"/>
    </row>
    <row r="138" spans="1:19" ht="20.100000000000001" hidden="1" customHeight="1">
      <c r="A138" s="1801"/>
      <c r="B138" s="1796"/>
      <c r="C138" s="1834"/>
      <c r="D138" s="842" t="s">
        <v>668</v>
      </c>
      <c r="E138" s="779"/>
      <c r="F138" s="771"/>
      <c r="G138" s="779">
        <v>1259.99</v>
      </c>
      <c r="H138" s="779">
        <v>0</v>
      </c>
      <c r="I138" s="779">
        <v>0</v>
      </c>
      <c r="J138" s="779">
        <v>0</v>
      </c>
      <c r="K138" s="843"/>
      <c r="L138" s="1782"/>
      <c r="M138" s="1682"/>
      <c r="N138" s="1788"/>
      <c r="O138" s="1784"/>
      <c r="P138" s="1776"/>
      <c r="Q138" s="1776"/>
      <c r="R138" s="1776"/>
      <c r="S138" s="1864"/>
    </row>
    <row r="139" spans="1:19" ht="20.100000000000001" hidden="1" customHeight="1">
      <c r="A139" s="1801"/>
      <c r="B139" s="1796"/>
      <c r="C139" s="1834"/>
      <c r="D139" s="842" t="s">
        <v>1425</v>
      </c>
      <c r="E139" s="779"/>
      <c r="F139" s="771"/>
      <c r="G139" s="779"/>
      <c r="H139" s="779"/>
      <c r="I139" s="780"/>
      <c r="J139" s="779"/>
      <c r="K139" s="843"/>
      <c r="L139" s="1782"/>
      <c r="M139" s="1682"/>
      <c r="N139" s="1788"/>
      <c r="O139" s="1784"/>
      <c r="P139" s="1776"/>
      <c r="Q139" s="1776"/>
      <c r="R139" s="1776"/>
      <c r="S139" s="1864"/>
    </row>
    <row r="140" spans="1:19" ht="20.100000000000001" hidden="1" customHeight="1">
      <c r="A140" s="1801"/>
      <c r="B140" s="1796"/>
      <c r="C140" s="1834"/>
      <c r="D140" s="844" t="s">
        <v>1426</v>
      </c>
      <c r="E140" s="779"/>
      <c r="F140" s="771"/>
      <c r="G140" s="779"/>
      <c r="H140" s="779"/>
      <c r="I140" s="780"/>
      <c r="J140" s="779"/>
      <c r="K140" s="843"/>
      <c r="L140" s="1782"/>
      <c r="M140" s="1682"/>
      <c r="N140" s="1788"/>
      <c r="O140" s="1784"/>
      <c r="P140" s="1776"/>
      <c r="Q140" s="1776"/>
      <c r="R140" s="1776"/>
      <c r="S140" s="1864"/>
    </row>
    <row r="141" spans="1:19" ht="20.100000000000001" hidden="1" customHeight="1">
      <c r="A141" s="1801"/>
      <c r="B141" s="1796"/>
      <c r="C141" s="1834"/>
      <c r="D141" s="897" t="s">
        <v>1421</v>
      </c>
      <c r="E141" s="779">
        <f>SUM(E136:E140)</f>
        <v>20.27</v>
      </c>
      <c r="F141" s="771"/>
      <c r="G141" s="779">
        <f t="shared" ref="G141:J141" si="59">SUM(G136:G140)</f>
        <v>1334.2</v>
      </c>
      <c r="H141" s="779">
        <f t="shared" ref="H141" si="60">SUM(H136:H140)</f>
        <v>19.34</v>
      </c>
      <c r="I141" s="779">
        <f t="shared" si="59"/>
        <v>19.34</v>
      </c>
      <c r="J141" s="779">
        <f t="shared" si="59"/>
        <v>19.34</v>
      </c>
      <c r="K141" s="843"/>
      <c r="L141" s="1782"/>
      <c r="M141" s="1682"/>
      <c r="N141" s="1788"/>
      <c r="O141" s="1784"/>
      <c r="P141" s="1776"/>
      <c r="Q141" s="1776"/>
      <c r="R141" s="1776"/>
      <c r="S141" s="1864"/>
    </row>
    <row r="142" spans="1:19" ht="20.100000000000001" hidden="1" customHeight="1">
      <c r="A142" s="1801"/>
      <c r="B142" s="1796" t="s">
        <v>1427</v>
      </c>
      <c r="C142" s="1809">
        <v>300665693</v>
      </c>
      <c r="D142" s="842" t="s">
        <v>1424</v>
      </c>
      <c r="E142" s="704">
        <v>84.99</v>
      </c>
      <c r="F142" s="771"/>
      <c r="G142" s="704">
        <v>233.77099999999999</v>
      </c>
      <c r="H142" s="704">
        <v>89.73</v>
      </c>
      <c r="I142" s="704">
        <v>89.73</v>
      </c>
      <c r="J142" s="704">
        <v>89.73</v>
      </c>
      <c r="K142" s="843"/>
      <c r="L142" s="1781"/>
      <c r="M142" s="1682"/>
      <c r="N142" s="1783"/>
      <c r="O142" s="1784"/>
      <c r="P142" s="1779"/>
      <c r="Q142" s="1779"/>
      <c r="R142" s="1779"/>
      <c r="S142" s="1864"/>
    </row>
    <row r="143" spans="1:19" ht="20.100000000000001" hidden="1" customHeight="1">
      <c r="A143" s="1801"/>
      <c r="B143" s="1796"/>
      <c r="C143" s="1809"/>
      <c r="D143" s="842" t="s">
        <v>1371</v>
      </c>
      <c r="E143" s="704"/>
      <c r="F143" s="771"/>
      <c r="G143" s="704"/>
      <c r="H143" s="704"/>
      <c r="I143" s="704"/>
      <c r="J143" s="704"/>
      <c r="K143" s="843"/>
      <c r="L143" s="1782"/>
      <c r="M143" s="1682"/>
      <c r="N143" s="1783"/>
      <c r="O143" s="1784"/>
      <c r="P143" s="1779"/>
      <c r="Q143" s="1779"/>
      <c r="R143" s="1779"/>
      <c r="S143" s="1864"/>
    </row>
    <row r="144" spans="1:19" ht="20.100000000000001" hidden="1" customHeight="1">
      <c r="A144" s="1801"/>
      <c r="B144" s="1796"/>
      <c r="C144" s="1809"/>
      <c r="D144" s="842" t="s">
        <v>668</v>
      </c>
      <c r="E144" s="837">
        <v>112.74</v>
      </c>
      <c r="F144" s="771"/>
      <c r="G144" s="704"/>
      <c r="H144" s="704">
        <v>71.930000000000007</v>
      </c>
      <c r="I144" s="704">
        <v>72</v>
      </c>
      <c r="J144" s="704">
        <v>73</v>
      </c>
      <c r="K144" s="843"/>
      <c r="L144" s="1782"/>
      <c r="M144" s="1682"/>
      <c r="N144" s="1783"/>
      <c r="O144" s="1784"/>
      <c r="P144" s="1779"/>
      <c r="Q144" s="1779"/>
      <c r="R144" s="1779"/>
      <c r="S144" s="1864"/>
    </row>
    <row r="145" spans="1:19" ht="20.100000000000001" hidden="1" customHeight="1">
      <c r="A145" s="1801"/>
      <c r="B145" s="1796"/>
      <c r="C145" s="1809"/>
      <c r="D145" s="842" t="s">
        <v>1425</v>
      </c>
      <c r="E145" s="704"/>
      <c r="F145" s="771"/>
      <c r="G145" s="704"/>
      <c r="H145" s="704"/>
      <c r="I145" s="704"/>
      <c r="J145" s="704"/>
      <c r="K145" s="843"/>
      <c r="L145" s="1782"/>
      <c r="M145" s="1682"/>
      <c r="N145" s="1783"/>
      <c r="O145" s="1784"/>
      <c r="P145" s="1779"/>
      <c r="Q145" s="1779"/>
      <c r="R145" s="1779"/>
      <c r="S145" s="1864"/>
    </row>
    <row r="146" spans="1:19" ht="20.100000000000001" hidden="1" customHeight="1">
      <c r="A146" s="1801"/>
      <c r="B146" s="1796"/>
      <c r="C146" s="1809"/>
      <c r="D146" s="844" t="s">
        <v>1426</v>
      </c>
      <c r="E146" s="704"/>
      <c r="F146" s="771"/>
      <c r="G146" s="704"/>
      <c r="H146" s="704"/>
      <c r="I146" s="704"/>
      <c r="J146" s="704"/>
      <c r="K146" s="843"/>
      <c r="L146" s="1782"/>
      <c r="M146" s="1682"/>
      <c r="N146" s="1783"/>
      <c r="O146" s="1784"/>
      <c r="P146" s="1779"/>
      <c r="Q146" s="1779"/>
      <c r="R146" s="1779"/>
      <c r="S146" s="1864"/>
    </row>
    <row r="147" spans="1:19" ht="20.100000000000001" hidden="1" customHeight="1">
      <c r="A147" s="1801"/>
      <c r="B147" s="1796"/>
      <c r="C147" s="1809"/>
      <c r="D147" s="897" t="s">
        <v>1421</v>
      </c>
      <c r="E147" s="704">
        <f>SUM(E142:E146)</f>
        <v>197.73</v>
      </c>
      <c r="F147" s="771"/>
      <c r="G147" s="704"/>
      <c r="H147" s="704"/>
      <c r="I147" s="704"/>
      <c r="J147" s="704"/>
      <c r="K147" s="843"/>
      <c r="L147" s="1782"/>
      <c r="M147" s="1682"/>
      <c r="N147" s="1783"/>
      <c r="O147" s="1784"/>
      <c r="P147" s="1779"/>
      <c r="Q147" s="1779"/>
      <c r="R147" s="1779"/>
      <c r="S147" s="1864"/>
    </row>
    <row r="148" spans="1:19" ht="20.100000000000001" hidden="1" customHeight="1">
      <c r="A148" s="1801"/>
      <c r="B148" s="1814" t="s">
        <v>1428</v>
      </c>
      <c r="C148" s="846"/>
      <c r="D148" s="882" t="s">
        <v>668</v>
      </c>
      <c r="E148" s="704"/>
      <c r="F148" s="771"/>
      <c r="G148" s="704"/>
      <c r="H148" s="704">
        <v>78</v>
      </c>
      <c r="I148" s="704">
        <v>79</v>
      </c>
      <c r="J148" s="704">
        <v>80</v>
      </c>
      <c r="K148" s="843"/>
      <c r="L148" s="779"/>
      <c r="M148" s="1682"/>
      <c r="N148" s="782"/>
      <c r="O148" s="893"/>
      <c r="P148" s="1229"/>
      <c r="Q148" s="1229"/>
      <c r="R148" s="1229"/>
      <c r="S148" s="1864"/>
    </row>
    <row r="149" spans="1:19" ht="20.100000000000001" hidden="1" customHeight="1">
      <c r="A149" s="1801"/>
      <c r="B149" s="1793"/>
      <c r="C149" s="1809">
        <v>188711925</v>
      </c>
      <c r="D149" s="842" t="s">
        <v>1424</v>
      </c>
      <c r="E149" s="704">
        <v>52.44</v>
      </c>
      <c r="F149" s="771"/>
      <c r="G149" s="704"/>
      <c r="H149" s="704">
        <v>71.62</v>
      </c>
      <c r="I149" s="704">
        <v>71.62</v>
      </c>
      <c r="J149" s="704">
        <v>71.62</v>
      </c>
      <c r="K149" s="843"/>
      <c r="L149" s="1835"/>
      <c r="M149" s="1682"/>
      <c r="N149" s="1783"/>
      <c r="O149" s="1784"/>
      <c r="P149" s="1779"/>
      <c r="Q149" s="1779"/>
      <c r="R149" s="1779"/>
      <c r="S149" s="1864"/>
    </row>
    <row r="150" spans="1:19" ht="33.6" hidden="1" customHeight="1">
      <c r="A150" s="1802"/>
      <c r="B150" s="1815"/>
      <c r="C150" s="1809"/>
      <c r="D150" s="897" t="s">
        <v>1421</v>
      </c>
      <c r="E150" s="704">
        <f>E149</f>
        <v>52.44</v>
      </c>
      <c r="F150" s="771"/>
      <c r="G150" s="704"/>
      <c r="H150" s="704">
        <f>H148+H149</f>
        <v>149.62</v>
      </c>
      <c r="I150" s="704">
        <f t="shared" ref="I150:J150" si="61">I148+I149</f>
        <v>150.62</v>
      </c>
      <c r="J150" s="704">
        <f t="shared" si="61"/>
        <v>151.62</v>
      </c>
      <c r="K150" s="843"/>
      <c r="L150" s="1835"/>
      <c r="M150" s="1682"/>
      <c r="N150" s="1783"/>
      <c r="O150" s="1784"/>
      <c r="P150" s="1779"/>
      <c r="Q150" s="1779"/>
      <c r="R150" s="1779"/>
      <c r="S150" s="1865"/>
    </row>
    <row r="151" spans="1:19" ht="56.4" customHeight="1">
      <c r="A151" s="898" t="s">
        <v>2599</v>
      </c>
      <c r="B151" s="899" t="s">
        <v>2600</v>
      </c>
      <c r="C151" s="847"/>
      <c r="D151" s="900"/>
      <c r="E151" s="741">
        <f>SUM(E153,E157,E162,E169,E179,E186,E189,E191,E193,)</f>
        <v>442.04199999999997</v>
      </c>
      <c r="F151" s="760">
        <f>H151/E151-1</f>
        <v>3.4023644812031435</v>
      </c>
      <c r="G151" s="741">
        <f>SUM(G153,G157,G162,G169,G179,G186,G189,G191,G193,)</f>
        <v>235.273</v>
      </c>
      <c r="H151" s="741">
        <f>SUM(H153,H157,H162,H169,H179,H186,H189,H191,H193,)</f>
        <v>1946.03</v>
      </c>
      <c r="I151" s="741">
        <f>SUM(I153,I157,I162,I169,I179,I186,I189,I191,I193,)</f>
        <v>1694.761</v>
      </c>
      <c r="J151" s="898">
        <f>SUM(J153,J157,J162,J169,J179,J186,J189,J191,J193,)</f>
        <v>1618</v>
      </c>
      <c r="K151" s="871" t="s">
        <v>3151</v>
      </c>
      <c r="L151" s="901"/>
      <c r="M151" s="1682"/>
      <c r="N151" s="759" t="s">
        <v>2449</v>
      </c>
      <c r="O151" s="759" t="s">
        <v>1132</v>
      </c>
      <c r="P151" s="1146" t="s">
        <v>613</v>
      </c>
      <c r="Q151" s="1146" t="s">
        <v>613</v>
      </c>
      <c r="R151" s="1146" t="s">
        <v>551</v>
      </c>
      <c r="S151" s="1679" t="s">
        <v>3650</v>
      </c>
    </row>
    <row r="152" spans="1:19" ht="27" customHeight="1">
      <c r="A152" s="1806" t="s">
        <v>2582</v>
      </c>
      <c r="B152" s="1682" t="s">
        <v>1429</v>
      </c>
      <c r="C152" s="1812" t="s">
        <v>1376</v>
      </c>
      <c r="D152" s="665" t="s">
        <v>668</v>
      </c>
      <c r="E152" s="667">
        <v>18.62</v>
      </c>
      <c r="F152" s="765">
        <f>H152/E152-1</f>
        <v>0.16004296455424272</v>
      </c>
      <c r="G152" s="667">
        <f>SUM(G154,G155)</f>
        <v>27</v>
      </c>
      <c r="H152" s="667">
        <f>SUM(H154,H155)</f>
        <v>21.6</v>
      </c>
      <c r="I152" s="667">
        <f t="shared" ref="I152:J152" si="62">SUM(I154,I155)</f>
        <v>24.1</v>
      </c>
      <c r="J152" s="667">
        <f t="shared" si="62"/>
        <v>24.6</v>
      </c>
      <c r="K152" s="1764" t="s">
        <v>2368</v>
      </c>
      <c r="L152" s="1697" t="s">
        <v>2450</v>
      </c>
      <c r="M152" s="1682"/>
      <c r="N152" s="1699" t="s">
        <v>1441</v>
      </c>
      <c r="O152" s="1699" t="s">
        <v>1440</v>
      </c>
      <c r="P152" s="1766" t="s">
        <v>449</v>
      </c>
      <c r="Q152" s="1766" t="s">
        <v>449</v>
      </c>
      <c r="R152" s="1766" t="s">
        <v>449</v>
      </c>
      <c r="S152" s="1866"/>
    </row>
    <row r="153" spans="1:19" ht="90" customHeight="1">
      <c r="A153" s="1806"/>
      <c r="B153" s="1682"/>
      <c r="C153" s="1813"/>
      <c r="D153" s="902" t="s">
        <v>1421</v>
      </c>
      <c r="E153" s="848">
        <f>E152</f>
        <v>18.62</v>
      </c>
      <c r="F153" s="767">
        <f>H153/E153-1</f>
        <v>0.16004296455424272</v>
      </c>
      <c r="G153" s="848">
        <f t="shared" ref="G153:J153" si="63">G152</f>
        <v>27</v>
      </c>
      <c r="H153" s="848">
        <f t="shared" ref="H153" si="64">H152</f>
        <v>21.6</v>
      </c>
      <c r="I153" s="848">
        <f t="shared" si="63"/>
        <v>24.1</v>
      </c>
      <c r="J153" s="848">
        <f t="shared" si="63"/>
        <v>24.6</v>
      </c>
      <c r="K153" s="1765"/>
      <c r="L153" s="1698"/>
      <c r="M153" s="1682"/>
      <c r="N153" s="1699"/>
      <c r="O153" s="1699"/>
      <c r="P153" s="1766"/>
      <c r="Q153" s="1766"/>
      <c r="R153" s="1766"/>
      <c r="S153" s="1680"/>
    </row>
    <row r="154" spans="1:19" ht="17.399999999999999" hidden="1" customHeight="1">
      <c r="A154" s="849"/>
      <c r="B154" s="904" t="s">
        <v>2342</v>
      </c>
      <c r="C154" s="850"/>
      <c r="D154" s="905"/>
      <c r="E154" s="779"/>
      <c r="F154" s="771"/>
      <c r="G154" s="779">
        <v>3</v>
      </c>
      <c r="H154" s="779">
        <v>5</v>
      </c>
      <c r="I154" s="780">
        <v>3</v>
      </c>
      <c r="J154" s="892">
        <v>3.5</v>
      </c>
      <c r="K154" s="676"/>
      <c r="L154" s="779" t="s">
        <v>3793</v>
      </c>
      <c r="M154" s="1682"/>
      <c r="N154" s="791"/>
      <c r="O154" s="791"/>
      <c r="P154" s="1229"/>
      <c r="Q154" s="1229"/>
      <c r="R154" s="1229"/>
      <c r="S154" s="782"/>
    </row>
    <row r="155" spans="1:19" ht="17.399999999999999" hidden="1" customHeight="1">
      <c r="A155" s="849"/>
      <c r="B155" s="904" t="s">
        <v>3159</v>
      </c>
      <c r="C155" s="850"/>
      <c r="D155" s="905"/>
      <c r="E155" s="779"/>
      <c r="F155" s="771"/>
      <c r="G155" s="779">
        <v>24</v>
      </c>
      <c r="H155" s="779">
        <v>16.600000000000001</v>
      </c>
      <c r="I155" s="780">
        <v>21.1</v>
      </c>
      <c r="J155" s="892">
        <v>21.1</v>
      </c>
      <c r="K155" s="676"/>
      <c r="L155" s="779"/>
      <c r="M155" s="1682"/>
      <c r="N155" s="791"/>
      <c r="O155" s="791"/>
      <c r="P155" s="1229"/>
      <c r="Q155" s="1229"/>
      <c r="R155" s="1229"/>
      <c r="S155" s="801"/>
    </row>
    <row r="156" spans="1:19" ht="37.200000000000003" customHeight="1">
      <c r="A156" s="1807" t="s">
        <v>2583</v>
      </c>
      <c r="B156" s="1789" t="s">
        <v>1430</v>
      </c>
      <c r="C156" s="1810">
        <v>188711925</v>
      </c>
      <c r="D156" s="678" t="s">
        <v>668</v>
      </c>
      <c r="E156" s="667">
        <v>4.5</v>
      </c>
      <c r="F156" s="765">
        <f>H156/E156-1</f>
        <v>-0.22222222222222221</v>
      </c>
      <c r="G156" s="667">
        <v>8.3000000000000007</v>
      </c>
      <c r="H156" s="667">
        <f>SUM(H158,H159)</f>
        <v>3.5</v>
      </c>
      <c r="I156" s="679">
        <v>8.3000000000000007</v>
      </c>
      <c r="J156" s="680">
        <v>8.3000000000000007</v>
      </c>
      <c r="K156" s="1775" t="s">
        <v>3153</v>
      </c>
      <c r="L156" s="1697" t="s">
        <v>2871</v>
      </c>
      <c r="M156" s="1682"/>
      <c r="N156" s="1699" t="s">
        <v>1442</v>
      </c>
      <c r="O156" s="1678" t="s">
        <v>3638</v>
      </c>
      <c r="P156" s="1766" t="s">
        <v>209</v>
      </c>
      <c r="Q156" s="1766" t="s">
        <v>3152</v>
      </c>
      <c r="R156" s="1766" t="s">
        <v>11</v>
      </c>
      <c r="S156" s="783" t="s">
        <v>2870</v>
      </c>
    </row>
    <row r="157" spans="1:19" ht="121.5" customHeight="1">
      <c r="A157" s="1807"/>
      <c r="B157" s="1789"/>
      <c r="C157" s="1810"/>
      <c r="D157" s="906" t="s">
        <v>1421</v>
      </c>
      <c r="E157" s="671">
        <f>E156</f>
        <v>4.5</v>
      </c>
      <c r="F157" s="767">
        <f t="shared" ref="F157:F217" si="65">(H157-E157)/E157</f>
        <v>-0.22222222222222221</v>
      </c>
      <c r="G157" s="671">
        <f t="shared" ref="G157:J157" si="66">G156</f>
        <v>8.3000000000000007</v>
      </c>
      <c r="H157" s="671">
        <f t="shared" ref="H157" si="67">H156</f>
        <v>3.5</v>
      </c>
      <c r="I157" s="671">
        <f t="shared" si="66"/>
        <v>8.3000000000000007</v>
      </c>
      <c r="J157" s="683">
        <f t="shared" si="66"/>
        <v>8.3000000000000007</v>
      </c>
      <c r="K157" s="1775"/>
      <c r="L157" s="1698"/>
      <c r="M157" s="1682"/>
      <c r="N157" s="1699"/>
      <c r="O157" s="1678"/>
      <c r="P157" s="1766"/>
      <c r="Q157" s="1766"/>
      <c r="R157" s="1766"/>
      <c r="S157" s="764" t="s">
        <v>3154</v>
      </c>
    </row>
    <row r="158" spans="1:19" ht="35.4" hidden="1" customHeight="1">
      <c r="A158" s="852"/>
      <c r="B158" s="907" t="s">
        <v>3159</v>
      </c>
      <c r="C158" s="853"/>
      <c r="D158" s="817"/>
      <c r="E158" s="779"/>
      <c r="F158" s="908"/>
      <c r="G158" s="779"/>
      <c r="H158" s="779">
        <v>3</v>
      </c>
      <c r="I158" s="704"/>
      <c r="J158" s="704"/>
      <c r="K158" s="798"/>
      <c r="L158" s="779"/>
      <c r="M158" s="1682"/>
      <c r="N158" s="791"/>
      <c r="O158" s="893"/>
      <c r="P158" s="1229"/>
      <c r="Q158" s="1229"/>
      <c r="R158" s="1229"/>
      <c r="S158" s="801"/>
    </row>
    <row r="159" spans="1:19" ht="26.4" hidden="1" customHeight="1">
      <c r="A159" s="852"/>
      <c r="B159" s="907" t="s">
        <v>3564</v>
      </c>
      <c r="C159" s="853"/>
      <c r="D159" s="817"/>
      <c r="E159" s="779"/>
      <c r="F159" s="908"/>
      <c r="G159" s="779"/>
      <c r="H159" s="779">
        <v>0.5</v>
      </c>
      <c r="I159" s="704"/>
      <c r="J159" s="704"/>
      <c r="K159" s="798"/>
      <c r="L159" s="779"/>
      <c r="M159" s="1682"/>
      <c r="N159" s="791"/>
      <c r="O159" s="893"/>
      <c r="P159" s="1229"/>
      <c r="Q159" s="1229"/>
      <c r="R159" s="1229"/>
      <c r="S159" s="801"/>
    </row>
    <row r="160" spans="1:19" ht="27.75" customHeight="1">
      <c r="A160" s="1807" t="s">
        <v>2584</v>
      </c>
      <c r="B160" s="1789" t="s">
        <v>1431</v>
      </c>
      <c r="C160" s="1810">
        <v>188711925</v>
      </c>
      <c r="D160" s="687" t="s">
        <v>668</v>
      </c>
      <c r="E160" s="708">
        <v>0.8</v>
      </c>
      <c r="F160" s="813">
        <f>H160/E160-1</f>
        <v>0.125</v>
      </c>
      <c r="G160" s="688">
        <v>0.9</v>
      </c>
      <c r="H160" s="688">
        <v>0.9</v>
      </c>
      <c r="I160" s="708">
        <v>0.9</v>
      </c>
      <c r="J160" s="699">
        <v>0.9</v>
      </c>
      <c r="K160" s="1808" t="s">
        <v>2368</v>
      </c>
      <c r="L160" s="1697" t="s">
        <v>2872</v>
      </c>
      <c r="M160" s="1682"/>
      <c r="N160" s="1699" t="s">
        <v>1459</v>
      </c>
      <c r="O160" s="1699" t="s">
        <v>1443</v>
      </c>
      <c r="P160" s="1766" t="s">
        <v>449</v>
      </c>
      <c r="Q160" s="1766" t="s">
        <v>449</v>
      </c>
      <c r="R160" s="1766" t="s">
        <v>449</v>
      </c>
      <c r="S160" s="1656" t="s">
        <v>1132</v>
      </c>
    </row>
    <row r="161" spans="1:19" ht="29.25" customHeight="1">
      <c r="A161" s="1807"/>
      <c r="B161" s="1789"/>
      <c r="C161" s="1810"/>
      <c r="D161" s="678" t="s">
        <v>1424</v>
      </c>
      <c r="E161" s="679">
        <v>5.6</v>
      </c>
      <c r="F161" s="765">
        <f>H161/E161-1</f>
        <v>7.1428571428571397E-2</v>
      </c>
      <c r="G161" s="667">
        <f>SUM(G163,G164)</f>
        <v>10.705</v>
      </c>
      <c r="H161" s="667">
        <f>H164</f>
        <v>6</v>
      </c>
      <c r="I161" s="667">
        <v>0</v>
      </c>
      <c r="J161" s="667">
        <v>0</v>
      </c>
      <c r="K161" s="1808"/>
      <c r="L161" s="1698"/>
      <c r="M161" s="1682"/>
      <c r="N161" s="1699"/>
      <c r="O161" s="1699"/>
      <c r="P161" s="1766"/>
      <c r="Q161" s="1766"/>
      <c r="R161" s="1766"/>
      <c r="S161" s="1657"/>
    </row>
    <row r="162" spans="1:19" ht="30.75" customHeight="1">
      <c r="A162" s="1807"/>
      <c r="B162" s="1789"/>
      <c r="C162" s="1810"/>
      <c r="D162" s="906" t="s">
        <v>1421</v>
      </c>
      <c r="E162" s="671">
        <f>SUM(E160:E161)</f>
        <v>6.3999999999999995</v>
      </c>
      <c r="F162" s="767">
        <f>H162/E162-1</f>
        <v>7.8125000000000222E-2</v>
      </c>
      <c r="G162" s="671">
        <f t="shared" ref="G162:J162" si="68">SUM(G160:G161)</f>
        <v>11.605</v>
      </c>
      <c r="H162" s="671">
        <f t="shared" ref="H162" si="69">SUM(H160:H161)</f>
        <v>6.9</v>
      </c>
      <c r="I162" s="671">
        <f t="shared" si="68"/>
        <v>0.9</v>
      </c>
      <c r="J162" s="671">
        <f t="shared" si="68"/>
        <v>0.9</v>
      </c>
      <c r="K162" s="1723"/>
      <c r="L162" s="1698"/>
      <c r="M162" s="1682"/>
      <c r="N162" s="1699"/>
      <c r="O162" s="1699"/>
      <c r="P162" s="1766"/>
      <c r="Q162" s="1766"/>
      <c r="R162" s="1766"/>
      <c r="S162" s="1658"/>
    </row>
    <row r="163" spans="1:19" ht="20.100000000000001" hidden="1" customHeight="1">
      <c r="A163" s="852"/>
      <c r="B163" s="907" t="s">
        <v>1453</v>
      </c>
      <c r="C163" s="853"/>
      <c r="D163" s="817" t="s">
        <v>2341</v>
      </c>
      <c r="E163" s="779"/>
      <c r="F163" s="771"/>
      <c r="G163" s="779">
        <v>0.70499999999999996</v>
      </c>
      <c r="H163" s="779">
        <v>0.70499999999999996</v>
      </c>
      <c r="I163" s="780">
        <v>0.70499999999999996</v>
      </c>
      <c r="J163" s="892">
        <v>1.8</v>
      </c>
      <c r="K163" s="676"/>
      <c r="L163" s="779"/>
      <c r="M163" s="1682"/>
      <c r="N163" s="791"/>
      <c r="O163" s="791"/>
      <c r="P163" s="1229"/>
      <c r="Q163" s="1229"/>
      <c r="R163" s="1229"/>
      <c r="S163" s="782"/>
    </row>
    <row r="164" spans="1:19" ht="20.100000000000001" hidden="1" customHeight="1">
      <c r="A164" s="852"/>
      <c r="B164" s="916" t="s">
        <v>3159</v>
      </c>
      <c r="C164" s="926"/>
      <c r="D164" s="817" t="s">
        <v>2341</v>
      </c>
      <c r="E164" s="779"/>
      <c r="F164" s="771"/>
      <c r="G164" s="779">
        <v>10</v>
      </c>
      <c r="H164" s="779">
        <v>6</v>
      </c>
      <c r="I164" s="779">
        <v>10</v>
      </c>
      <c r="J164" s="892">
        <v>10</v>
      </c>
      <c r="K164" s="676"/>
      <c r="L164" s="779"/>
      <c r="M164" s="1682"/>
      <c r="N164" s="791"/>
      <c r="O164" s="791"/>
      <c r="P164" s="1229"/>
      <c r="Q164" s="1229"/>
      <c r="R164" s="1229"/>
      <c r="S164" s="801"/>
    </row>
    <row r="165" spans="1:19" ht="20.100000000000001" customHeight="1">
      <c r="A165" s="1791" t="s">
        <v>2585</v>
      </c>
      <c r="B165" s="1682" t="s">
        <v>1432</v>
      </c>
      <c r="C165" s="1689">
        <v>188711925</v>
      </c>
      <c r="D165" s="665" t="s">
        <v>668</v>
      </c>
      <c r="E165" s="667">
        <v>8</v>
      </c>
      <c r="F165" s="765">
        <f>H165/E165-1</f>
        <v>4.3962500000000002</v>
      </c>
      <c r="G165" s="667">
        <f>SUM(G170,G172,G174,)</f>
        <v>63.082000000000001</v>
      </c>
      <c r="H165" s="667">
        <f>SUM(H170,H172,H174,)</f>
        <v>43.17</v>
      </c>
      <c r="I165" s="667">
        <f t="shared" ref="I165:J165" si="70">SUM(I170,I172,I174,)</f>
        <v>31.167000000000002</v>
      </c>
      <c r="J165" s="667">
        <f t="shared" si="70"/>
        <v>0</v>
      </c>
      <c r="K165" s="1768" t="s">
        <v>2869</v>
      </c>
      <c r="L165" s="1697" t="s">
        <v>3429</v>
      </c>
      <c r="M165" s="1682"/>
      <c r="N165" s="1699" t="s">
        <v>1460</v>
      </c>
      <c r="O165" s="1699" t="s">
        <v>1444</v>
      </c>
      <c r="P165" s="1766" t="s">
        <v>1776</v>
      </c>
      <c r="Q165" s="1766" t="s">
        <v>1776</v>
      </c>
      <c r="R165" s="1766" t="s">
        <v>1776</v>
      </c>
      <c r="S165" s="1656" t="s">
        <v>2870</v>
      </c>
    </row>
    <row r="166" spans="1:19" ht="20.100000000000001" customHeight="1">
      <c r="A166" s="1791"/>
      <c r="B166" s="1682"/>
      <c r="C166" s="1689"/>
      <c r="D166" s="665" t="s">
        <v>1457</v>
      </c>
      <c r="E166" s="693">
        <v>66.822000000000003</v>
      </c>
      <c r="F166" s="765">
        <f>H166/E166-1</f>
        <v>-0.37655263236658598</v>
      </c>
      <c r="G166" s="693">
        <f>SUM(G171,G173,)</f>
        <v>91.88</v>
      </c>
      <c r="H166" s="667">
        <f>SUM(H171,H173,)</f>
        <v>41.66</v>
      </c>
      <c r="I166" s="667">
        <f t="shared" ref="I166:J166" si="71">SUM(I171,I173,)</f>
        <v>0</v>
      </c>
      <c r="J166" s="667">
        <f t="shared" si="71"/>
        <v>0</v>
      </c>
      <c r="K166" s="1768"/>
      <c r="L166" s="1698"/>
      <c r="M166" s="1682"/>
      <c r="N166" s="1699"/>
      <c r="O166" s="1699"/>
      <c r="P166" s="1766"/>
      <c r="Q166" s="1766"/>
      <c r="R166" s="1766"/>
      <c r="S166" s="1657"/>
    </row>
    <row r="167" spans="1:19" ht="20.100000000000001" customHeight="1">
      <c r="A167" s="1791"/>
      <c r="B167" s="1682"/>
      <c r="C167" s="1689"/>
      <c r="D167" s="665" t="s">
        <v>587</v>
      </c>
      <c r="E167" s="693"/>
      <c r="F167" s="765"/>
      <c r="G167" s="693">
        <f>SUM(G176)</f>
        <v>3</v>
      </c>
      <c r="H167" s="667">
        <f t="shared" ref="H167:J167" si="72">SUM(H176)</f>
        <v>3</v>
      </c>
      <c r="I167" s="667">
        <f t="shared" si="72"/>
        <v>0</v>
      </c>
      <c r="J167" s="667">
        <f t="shared" si="72"/>
        <v>0</v>
      </c>
      <c r="K167" s="1768"/>
      <c r="L167" s="1698"/>
      <c r="M167" s="1682"/>
      <c r="N167" s="1699"/>
      <c r="O167" s="1699"/>
      <c r="P167" s="1766"/>
      <c r="Q167" s="1766"/>
      <c r="R167" s="1766"/>
      <c r="S167" s="1657"/>
    </row>
    <row r="168" spans="1:19" ht="20.100000000000001" customHeight="1">
      <c r="A168" s="1791"/>
      <c r="B168" s="1682"/>
      <c r="C168" s="1689"/>
      <c r="D168" s="665" t="s">
        <v>341</v>
      </c>
      <c r="E168" s="693"/>
      <c r="F168" s="765"/>
      <c r="G168" s="693">
        <f>SUM(G175)</f>
        <v>20.405999999999999</v>
      </c>
      <c r="H168" s="667">
        <f>SUM(H175)</f>
        <v>242</v>
      </c>
      <c r="I168" s="667">
        <f>SUM(I175)</f>
        <v>46.594000000000001</v>
      </c>
      <c r="J168" s="667">
        <f t="shared" ref="J168" si="73">SUM(J175)</f>
        <v>0</v>
      </c>
      <c r="K168" s="1768"/>
      <c r="L168" s="1698"/>
      <c r="M168" s="1682"/>
      <c r="N168" s="1699"/>
      <c r="O168" s="1699"/>
      <c r="P168" s="1766"/>
      <c r="Q168" s="1766"/>
      <c r="R168" s="1766"/>
      <c r="S168" s="1657"/>
    </row>
    <row r="169" spans="1:19" ht="58.2" customHeight="1">
      <c r="A169" s="1791"/>
      <c r="B169" s="1682"/>
      <c r="C169" s="1689"/>
      <c r="D169" s="906" t="s">
        <v>1421</v>
      </c>
      <c r="E169" s="671">
        <f>SUM(E165:E166)</f>
        <v>74.822000000000003</v>
      </c>
      <c r="F169" s="767">
        <f>H169/E169-1</f>
        <v>3.4081954505359384</v>
      </c>
      <c r="G169" s="671">
        <f>SUM(G165:G168)</f>
        <v>178.36799999999999</v>
      </c>
      <c r="H169" s="671">
        <f t="shared" ref="H169:J169" si="74">SUM(H165:H168)</f>
        <v>329.83</v>
      </c>
      <c r="I169" s="671">
        <f t="shared" si="74"/>
        <v>77.760999999999996</v>
      </c>
      <c r="J169" s="671">
        <f t="shared" si="74"/>
        <v>0</v>
      </c>
      <c r="K169" s="1768"/>
      <c r="L169" s="1698"/>
      <c r="M169" s="1682"/>
      <c r="N169" s="1699"/>
      <c r="O169" s="1699"/>
      <c r="P169" s="1766"/>
      <c r="Q169" s="1766"/>
      <c r="R169" s="1766"/>
      <c r="S169" s="1658"/>
    </row>
    <row r="170" spans="1:19" ht="20.399999999999999" hidden="1" customHeight="1">
      <c r="A170" s="1838"/>
      <c r="B170" s="1716" t="s">
        <v>3425</v>
      </c>
      <c r="C170" s="1840"/>
      <c r="D170" s="910" t="s">
        <v>668</v>
      </c>
      <c r="E170" s="854"/>
      <c r="F170" s="771"/>
      <c r="G170" s="823">
        <v>8</v>
      </c>
      <c r="H170" s="823">
        <v>8</v>
      </c>
      <c r="I170" s="779">
        <v>2</v>
      </c>
      <c r="J170" s="911"/>
      <c r="K170" s="676"/>
      <c r="L170" s="779"/>
      <c r="M170" s="1682"/>
      <c r="N170" s="791"/>
      <c r="O170" s="791"/>
      <c r="P170" s="1229"/>
      <c r="Q170" s="1229"/>
      <c r="R170" s="1229"/>
      <c r="S170" s="775"/>
    </row>
    <row r="171" spans="1:19" ht="19.95" hidden="1" customHeight="1">
      <c r="A171" s="1839"/>
      <c r="B171" s="1717"/>
      <c r="C171" s="1841"/>
      <c r="D171" s="910" t="s">
        <v>3426</v>
      </c>
      <c r="E171" s="854"/>
      <c r="F171" s="771"/>
      <c r="G171" s="823">
        <v>35</v>
      </c>
      <c r="H171" s="823">
        <v>35</v>
      </c>
      <c r="I171" s="704"/>
      <c r="J171" s="911"/>
      <c r="K171" s="676"/>
      <c r="L171" s="779"/>
      <c r="M171" s="1682"/>
      <c r="N171" s="791"/>
      <c r="O171" s="791"/>
      <c r="P171" s="1229"/>
      <c r="Q171" s="1229"/>
      <c r="R171" s="1229"/>
      <c r="S171" s="775"/>
    </row>
    <row r="172" spans="1:19" ht="18.600000000000001" hidden="1" customHeight="1">
      <c r="A172" s="1842"/>
      <c r="B172" s="1814" t="s">
        <v>3427</v>
      </c>
      <c r="C172" s="1844"/>
      <c r="D172" s="910" t="s">
        <v>668</v>
      </c>
      <c r="E172" s="856"/>
      <c r="F172" s="771"/>
      <c r="G172" s="779">
        <v>19.911999999999999</v>
      </c>
      <c r="H172" s="779">
        <v>0</v>
      </c>
      <c r="I172" s="912"/>
      <c r="J172" s="856"/>
      <c r="K172" s="676"/>
      <c r="L172" s="779"/>
      <c r="M172" s="1682"/>
      <c r="N172" s="791"/>
      <c r="O172" s="791"/>
      <c r="P172" s="1229"/>
      <c r="Q172" s="1229"/>
      <c r="R172" s="1229"/>
      <c r="S172" s="782"/>
    </row>
    <row r="173" spans="1:19" ht="18.600000000000001" hidden="1" customHeight="1">
      <c r="A173" s="1843"/>
      <c r="B173" s="1815"/>
      <c r="C173" s="1845"/>
      <c r="D173" s="910" t="s">
        <v>3426</v>
      </c>
      <c r="E173" s="856"/>
      <c r="F173" s="771"/>
      <c r="G173" s="779">
        <v>56.88</v>
      </c>
      <c r="H173" s="779">
        <v>6.66</v>
      </c>
      <c r="I173" s="913"/>
      <c r="J173" s="856"/>
      <c r="K173" s="676"/>
      <c r="L173" s="779"/>
      <c r="M173" s="1682"/>
      <c r="N173" s="791"/>
      <c r="O173" s="791"/>
      <c r="P173" s="1229"/>
      <c r="Q173" s="1229"/>
      <c r="R173" s="1229"/>
      <c r="S173" s="782"/>
    </row>
    <row r="174" spans="1:19" ht="21.6" hidden="1" customHeight="1">
      <c r="A174" s="1846"/>
      <c r="B174" s="1716" t="s">
        <v>3428</v>
      </c>
      <c r="C174" s="855"/>
      <c r="D174" s="910" t="s">
        <v>668</v>
      </c>
      <c r="E174" s="857"/>
      <c r="F174" s="771"/>
      <c r="G174" s="779">
        <v>35.17</v>
      </c>
      <c r="H174" s="779">
        <v>35.17</v>
      </c>
      <c r="I174" s="780">
        <v>29.167000000000002</v>
      </c>
      <c r="J174" s="856"/>
      <c r="K174" s="676"/>
      <c r="L174" s="779"/>
      <c r="M174" s="1682"/>
      <c r="N174" s="791"/>
      <c r="O174" s="791"/>
      <c r="P174" s="1229"/>
      <c r="Q174" s="1229"/>
      <c r="R174" s="1229"/>
      <c r="S174" s="782"/>
    </row>
    <row r="175" spans="1:19" ht="18.600000000000001" hidden="1" customHeight="1">
      <c r="A175" s="1847"/>
      <c r="B175" s="1849"/>
      <c r="C175" s="858"/>
      <c r="D175" s="910" t="s">
        <v>341</v>
      </c>
      <c r="E175" s="856"/>
      <c r="F175" s="771"/>
      <c r="G175" s="772">
        <v>20.405999999999999</v>
      </c>
      <c r="H175" s="772">
        <v>242</v>
      </c>
      <c r="I175" s="780">
        <v>46.594000000000001</v>
      </c>
      <c r="J175" s="859"/>
      <c r="K175" s="728"/>
      <c r="L175" s="779"/>
      <c r="M175" s="1682"/>
      <c r="N175" s="791"/>
      <c r="O175" s="791"/>
      <c r="P175" s="1229"/>
      <c r="Q175" s="1229"/>
      <c r="R175" s="1229"/>
      <c r="S175" s="801"/>
    </row>
    <row r="176" spans="1:19" ht="21.6" hidden="1" customHeight="1">
      <c r="A176" s="1848"/>
      <c r="B176" s="1717"/>
      <c r="C176" s="858"/>
      <c r="D176" s="817" t="s">
        <v>587</v>
      </c>
      <c r="E176" s="856"/>
      <c r="F176" s="771"/>
      <c r="G176" s="772">
        <v>3</v>
      </c>
      <c r="H176" s="772">
        <v>3</v>
      </c>
      <c r="I176" s="780">
        <v>0</v>
      </c>
      <c r="J176" s="859"/>
      <c r="K176" s="728"/>
      <c r="L176" s="779"/>
      <c r="M176" s="1682"/>
      <c r="N176" s="791"/>
      <c r="O176" s="791"/>
      <c r="P176" s="1229"/>
      <c r="Q176" s="1229"/>
      <c r="R176" s="1229"/>
      <c r="S176" s="801"/>
    </row>
    <row r="177" spans="1:20" ht="31.2" customHeight="1">
      <c r="A177" s="1799" t="s">
        <v>2586</v>
      </c>
      <c r="B177" s="1825" t="s">
        <v>1433</v>
      </c>
      <c r="C177" s="1827">
        <v>188711925</v>
      </c>
      <c r="D177" s="860" t="s">
        <v>668</v>
      </c>
      <c r="E177" s="688">
        <v>218</v>
      </c>
      <c r="F177" s="765">
        <f>H177/E177-1</f>
        <v>5.738532110091743</v>
      </c>
      <c r="G177" s="688"/>
      <c r="H177" s="688">
        <f>SUM(H180,H181,H183)</f>
        <v>1469</v>
      </c>
      <c r="I177" s="688">
        <f t="shared" ref="I177" si="75">SUM(I180,I181,I183)</f>
        <v>1467.5</v>
      </c>
      <c r="J177" s="688">
        <f>SUM(J180,J181,J183)</f>
        <v>1468</v>
      </c>
      <c r="K177" s="1764" t="s">
        <v>1141</v>
      </c>
      <c r="L177" s="1697" t="s">
        <v>3513</v>
      </c>
      <c r="M177" s="1682"/>
      <c r="N177" s="1699" t="s">
        <v>2107</v>
      </c>
      <c r="O177" s="1699" t="s">
        <v>3155</v>
      </c>
      <c r="P177" s="1766" t="s">
        <v>449</v>
      </c>
      <c r="Q177" s="1766" t="s">
        <v>449</v>
      </c>
      <c r="R177" s="1766" t="s">
        <v>449</v>
      </c>
      <c r="S177" s="1656" t="s">
        <v>1143</v>
      </c>
    </row>
    <row r="178" spans="1:20" ht="27.6" customHeight="1">
      <c r="A178" s="1807"/>
      <c r="B178" s="1789"/>
      <c r="C178" s="1810"/>
      <c r="D178" s="861" t="s">
        <v>1422</v>
      </c>
      <c r="E178" s="667">
        <f>83.94+24.26</f>
        <v>108.2</v>
      </c>
      <c r="F178" s="765">
        <f>H178/E178-1</f>
        <v>2.7726432532347411E-2</v>
      </c>
      <c r="G178" s="693"/>
      <c r="H178" s="667">
        <f>H182</f>
        <v>111.2</v>
      </c>
      <c r="I178" s="667">
        <f>I182</f>
        <v>111.2</v>
      </c>
      <c r="J178" s="667">
        <f t="shared" ref="J178" si="76">J182</f>
        <v>111.2</v>
      </c>
      <c r="K178" s="1774"/>
      <c r="L178" s="1698"/>
      <c r="M178" s="1682"/>
      <c r="N178" s="1699"/>
      <c r="O178" s="1699"/>
      <c r="P178" s="1766"/>
      <c r="Q178" s="1766"/>
      <c r="R178" s="1766"/>
      <c r="S178" s="1657"/>
    </row>
    <row r="179" spans="1:20" ht="120" customHeight="1">
      <c r="A179" s="1807"/>
      <c r="B179" s="1789"/>
      <c r="C179" s="1810"/>
      <c r="D179" s="906" t="s">
        <v>1421</v>
      </c>
      <c r="E179" s="671">
        <f>SUM(E177:E178)</f>
        <v>326.2</v>
      </c>
      <c r="F179" s="767">
        <f>H179/E179-1</f>
        <v>3.8442673206621709</v>
      </c>
      <c r="G179" s="671">
        <f t="shared" ref="G179:J179" si="77">SUM(G177:G178)</f>
        <v>0</v>
      </c>
      <c r="H179" s="671">
        <f t="shared" ref="H179" si="78">SUM(H177:H178)</f>
        <v>1580.2</v>
      </c>
      <c r="I179" s="671">
        <f t="shared" si="77"/>
        <v>1578.7</v>
      </c>
      <c r="J179" s="683">
        <f t="shared" si="77"/>
        <v>1579.2</v>
      </c>
      <c r="K179" s="1765"/>
      <c r="L179" s="1698"/>
      <c r="M179" s="1682"/>
      <c r="N179" s="1699"/>
      <c r="O179" s="1699"/>
      <c r="P179" s="1766"/>
      <c r="Q179" s="1766"/>
      <c r="R179" s="1766"/>
      <c r="S179" s="1658"/>
    </row>
    <row r="180" spans="1:20" ht="24" hidden="1" customHeight="1">
      <c r="A180" s="852"/>
      <c r="B180" s="907" t="s">
        <v>3581</v>
      </c>
      <c r="C180" s="862"/>
      <c r="D180" s="914" t="s">
        <v>668</v>
      </c>
      <c r="E180" s="704"/>
      <c r="F180" s="771"/>
      <c r="G180" s="704"/>
      <c r="H180" s="779">
        <v>1247</v>
      </c>
      <c r="I180" s="704">
        <v>1247</v>
      </c>
      <c r="J180" s="705">
        <v>1247</v>
      </c>
      <c r="K180" s="674"/>
      <c r="L180" s="779"/>
      <c r="M180" s="1682"/>
      <c r="N180" s="791"/>
      <c r="O180" s="791"/>
      <c r="P180" s="1229"/>
      <c r="Q180" s="1229"/>
      <c r="R180" s="1229"/>
      <c r="S180" s="915"/>
    </row>
    <row r="181" spans="1:20" ht="23.25" hidden="1" customHeight="1">
      <c r="A181" s="852"/>
      <c r="B181" s="1777" t="s">
        <v>3504</v>
      </c>
      <c r="C181" s="862"/>
      <c r="D181" s="817" t="s">
        <v>668</v>
      </c>
      <c r="E181" s="704"/>
      <c r="F181" s="771"/>
      <c r="G181" s="779"/>
      <c r="H181" s="779">
        <v>1.6</v>
      </c>
      <c r="I181" s="704"/>
      <c r="J181" s="705"/>
      <c r="K181" s="674"/>
      <c r="L181" s="779"/>
      <c r="M181" s="1682"/>
      <c r="N181" s="791"/>
      <c r="O181" s="791"/>
      <c r="P181" s="1229"/>
      <c r="Q181" s="1229"/>
      <c r="R181" s="1229"/>
      <c r="S181" s="915"/>
    </row>
    <row r="182" spans="1:20" ht="23.25" hidden="1" customHeight="1">
      <c r="A182" s="852"/>
      <c r="B182" s="1778"/>
      <c r="C182" s="862"/>
      <c r="D182" s="817" t="s">
        <v>1422</v>
      </c>
      <c r="E182" s="704"/>
      <c r="F182" s="771"/>
      <c r="G182" s="779"/>
      <c r="H182" s="779">
        <v>111.2</v>
      </c>
      <c r="I182" s="779">
        <v>111.2</v>
      </c>
      <c r="J182" s="779">
        <v>111.2</v>
      </c>
      <c r="K182" s="674"/>
      <c r="L182" s="779"/>
      <c r="M182" s="1682"/>
      <c r="N182" s="791"/>
      <c r="O182" s="791"/>
      <c r="P182" s="1229"/>
      <c r="Q182" s="1229"/>
      <c r="R182" s="1229"/>
      <c r="S182" s="915"/>
    </row>
    <row r="183" spans="1:20" ht="18" hidden="1" customHeight="1">
      <c r="A183" s="852"/>
      <c r="B183" s="907" t="s">
        <v>3512</v>
      </c>
      <c r="C183" s="862"/>
      <c r="D183" s="817" t="s">
        <v>668</v>
      </c>
      <c r="E183" s="704"/>
      <c r="F183" s="771"/>
      <c r="G183" s="779">
        <v>350</v>
      </c>
      <c r="H183" s="779">
        <v>220.4</v>
      </c>
      <c r="I183" s="704">
        <v>220.5</v>
      </c>
      <c r="J183" s="705">
        <v>221</v>
      </c>
      <c r="K183" s="674"/>
      <c r="L183" s="779"/>
      <c r="M183" s="1682"/>
      <c r="N183" s="791"/>
      <c r="O183" s="791"/>
      <c r="P183" s="1229"/>
      <c r="Q183" s="1229"/>
      <c r="R183" s="1229"/>
      <c r="S183" s="915"/>
    </row>
    <row r="184" spans="1:20" ht="20.100000000000001" hidden="1" customHeight="1">
      <c r="A184" s="1826" t="s">
        <v>2587</v>
      </c>
      <c r="B184" s="1828" t="s">
        <v>1434</v>
      </c>
      <c r="C184" s="1829">
        <v>188711925</v>
      </c>
      <c r="D184" s="863" t="s">
        <v>341</v>
      </c>
      <c r="E184" s="864"/>
      <c r="F184" s="917"/>
      <c r="G184" s="864"/>
      <c r="H184" s="864"/>
      <c r="I184" s="865"/>
      <c r="J184" s="866"/>
      <c r="K184" s="1811"/>
      <c r="L184" s="1816" t="s">
        <v>2874</v>
      </c>
      <c r="M184" s="1682"/>
      <c r="N184" s="1785"/>
      <c r="O184" s="1785"/>
      <c r="P184" s="1767"/>
      <c r="Q184" s="1767"/>
      <c r="R184" s="1767"/>
      <c r="S184" s="1758"/>
    </row>
    <row r="185" spans="1:20" ht="20.100000000000001" hidden="1" customHeight="1">
      <c r="A185" s="1826"/>
      <c r="B185" s="1828"/>
      <c r="C185" s="1829"/>
      <c r="D185" s="863" t="s">
        <v>668</v>
      </c>
      <c r="E185" s="867"/>
      <c r="F185" s="917"/>
      <c r="G185" s="867"/>
      <c r="H185" s="867"/>
      <c r="I185" s="868"/>
      <c r="J185" s="866"/>
      <c r="K185" s="1811"/>
      <c r="L185" s="1817"/>
      <c r="M185" s="1682"/>
      <c r="N185" s="1785"/>
      <c r="O185" s="1785"/>
      <c r="P185" s="1767"/>
      <c r="Q185" s="1767"/>
      <c r="R185" s="1767"/>
      <c r="S185" s="1759"/>
    </row>
    <row r="186" spans="1:20" ht="20.100000000000001" hidden="1" customHeight="1">
      <c r="A186" s="1826"/>
      <c r="B186" s="1828"/>
      <c r="C186" s="1829"/>
      <c r="D186" s="918" t="s">
        <v>1421</v>
      </c>
      <c r="E186" s="864"/>
      <c r="F186" s="917"/>
      <c r="G186" s="864"/>
      <c r="H186" s="864"/>
      <c r="I186" s="868"/>
      <c r="J186" s="866"/>
      <c r="K186" s="1811"/>
      <c r="L186" s="1817"/>
      <c r="M186" s="1682"/>
      <c r="N186" s="1785"/>
      <c r="O186" s="1785"/>
      <c r="P186" s="1767"/>
      <c r="Q186" s="1767"/>
      <c r="R186" s="1767"/>
      <c r="S186" s="1760"/>
    </row>
    <row r="187" spans="1:20" ht="20.100000000000001" hidden="1" customHeight="1">
      <c r="A187" s="1826" t="s">
        <v>2588</v>
      </c>
      <c r="B187" s="1828" t="s">
        <v>1435</v>
      </c>
      <c r="C187" s="1829">
        <v>188711925</v>
      </c>
      <c r="D187" s="863" t="s">
        <v>341</v>
      </c>
      <c r="E187" s="864"/>
      <c r="F187" s="917"/>
      <c r="G187" s="864"/>
      <c r="H187" s="864"/>
      <c r="I187" s="868"/>
      <c r="J187" s="866"/>
      <c r="K187" s="1761"/>
      <c r="L187" s="1816" t="s">
        <v>2873</v>
      </c>
      <c r="M187" s="1682"/>
      <c r="N187" s="1785"/>
      <c r="O187" s="1785"/>
      <c r="P187" s="1767"/>
      <c r="Q187" s="1767"/>
      <c r="R187" s="1767"/>
      <c r="S187" s="1758"/>
    </row>
    <row r="188" spans="1:20" ht="20.100000000000001" hidden="1" customHeight="1">
      <c r="A188" s="1826"/>
      <c r="B188" s="1828"/>
      <c r="C188" s="1829"/>
      <c r="D188" s="863" t="s">
        <v>668</v>
      </c>
      <c r="E188" s="867"/>
      <c r="F188" s="917"/>
      <c r="G188" s="867"/>
      <c r="H188" s="867"/>
      <c r="I188" s="868"/>
      <c r="J188" s="866"/>
      <c r="K188" s="1762"/>
      <c r="L188" s="1817"/>
      <c r="M188" s="1682"/>
      <c r="N188" s="1785"/>
      <c r="O188" s="1785"/>
      <c r="P188" s="1767"/>
      <c r="Q188" s="1767"/>
      <c r="R188" s="1767"/>
      <c r="S188" s="1759"/>
    </row>
    <row r="189" spans="1:20" ht="20.100000000000001" hidden="1" customHeight="1">
      <c r="A189" s="1826"/>
      <c r="B189" s="1828"/>
      <c r="C189" s="1829"/>
      <c r="D189" s="918" t="s">
        <v>1421</v>
      </c>
      <c r="E189" s="864"/>
      <c r="F189" s="917"/>
      <c r="G189" s="864"/>
      <c r="H189" s="864"/>
      <c r="I189" s="868"/>
      <c r="J189" s="866"/>
      <c r="K189" s="1763"/>
      <c r="L189" s="1817"/>
      <c r="M189" s="1682"/>
      <c r="N189" s="1785"/>
      <c r="O189" s="1785"/>
      <c r="P189" s="1767"/>
      <c r="Q189" s="1767"/>
      <c r="R189" s="1767"/>
      <c r="S189" s="1760"/>
    </row>
    <row r="190" spans="1:20" ht="26.25" customHeight="1">
      <c r="A190" s="1807" t="s">
        <v>2589</v>
      </c>
      <c r="B190" s="1789" t="s">
        <v>3794</v>
      </c>
      <c r="C190" s="1810">
        <v>188711925</v>
      </c>
      <c r="D190" s="665" t="s">
        <v>668</v>
      </c>
      <c r="E190" s="667">
        <v>4</v>
      </c>
      <c r="F190" s="765">
        <f>H190/E190-1</f>
        <v>0</v>
      </c>
      <c r="G190" s="667">
        <v>5</v>
      </c>
      <c r="H190" s="667">
        <v>4</v>
      </c>
      <c r="I190" s="679">
        <v>5</v>
      </c>
      <c r="J190" s="680">
        <v>5</v>
      </c>
      <c r="K190" s="1764" t="s">
        <v>2368</v>
      </c>
      <c r="L190" s="1697" t="s">
        <v>3640</v>
      </c>
      <c r="M190" s="1682"/>
      <c r="N190" s="1699" t="s">
        <v>2108</v>
      </c>
      <c r="O190" s="1678" t="s">
        <v>1445</v>
      </c>
      <c r="P190" s="1766" t="s">
        <v>566</v>
      </c>
      <c r="Q190" s="1766" t="s">
        <v>835</v>
      </c>
      <c r="R190" s="1766" t="s">
        <v>209</v>
      </c>
      <c r="S190" s="1656" t="s">
        <v>1132</v>
      </c>
    </row>
    <row r="191" spans="1:20" ht="96" customHeight="1">
      <c r="A191" s="1818"/>
      <c r="B191" s="1789"/>
      <c r="C191" s="1810"/>
      <c r="D191" s="906" t="s">
        <v>1421</v>
      </c>
      <c r="E191" s="671">
        <f>E190</f>
        <v>4</v>
      </c>
      <c r="F191" s="767">
        <f>H191/E191-1</f>
        <v>0</v>
      </c>
      <c r="G191" s="671">
        <f t="shared" ref="G191:J191" si="79">G190</f>
        <v>5</v>
      </c>
      <c r="H191" s="671">
        <f t="shared" ref="H191" si="80">H190</f>
        <v>4</v>
      </c>
      <c r="I191" s="671">
        <f t="shared" si="79"/>
        <v>5</v>
      </c>
      <c r="J191" s="683">
        <f t="shared" si="79"/>
        <v>5</v>
      </c>
      <c r="K191" s="1765"/>
      <c r="L191" s="1698"/>
      <c r="M191" s="1682"/>
      <c r="N191" s="1699"/>
      <c r="O191" s="1678"/>
      <c r="P191" s="1766"/>
      <c r="Q191" s="1766"/>
      <c r="R191" s="1766"/>
      <c r="S191" s="1658"/>
      <c r="T191" s="554" t="s">
        <v>3639</v>
      </c>
    </row>
    <row r="192" spans="1:20" ht="27.75" customHeight="1">
      <c r="A192" s="1807" t="s">
        <v>2590</v>
      </c>
      <c r="B192" s="1789" t="s">
        <v>1436</v>
      </c>
      <c r="C192" s="1810">
        <v>188711925</v>
      </c>
      <c r="D192" s="665" t="s">
        <v>668</v>
      </c>
      <c r="E192" s="667">
        <v>7.5</v>
      </c>
      <c r="F192" s="765">
        <f>H192/E192-1</f>
        <v>-1</v>
      </c>
      <c r="G192" s="667">
        <v>5</v>
      </c>
      <c r="H192" s="667">
        <v>0</v>
      </c>
      <c r="I192" s="679">
        <v>0</v>
      </c>
      <c r="J192" s="680">
        <v>0</v>
      </c>
      <c r="K192" s="1764" t="s">
        <v>2875</v>
      </c>
      <c r="L192" s="1697" t="s">
        <v>2116</v>
      </c>
      <c r="M192" s="1682"/>
      <c r="N192" s="1699" t="s">
        <v>2109</v>
      </c>
      <c r="O192" s="1678" t="s">
        <v>1446</v>
      </c>
      <c r="P192" s="1766" t="s">
        <v>205</v>
      </c>
      <c r="Q192" s="1766" t="s">
        <v>3156</v>
      </c>
      <c r="R192" s="1766" t="s">
        <v>2303</v>
      </c>
      <c r="S192" s="1678" t="s">
        <v>2876</v>
      </c>
    </row>
    <row r="193" spans="1:20" ht="36" customHeight="1">
      <c r="A193" s="1797"/>
      <c r="B193" s="1790"/>
      <c r="C193" s="1831"/>
      <c r="D193" s="909" t="s">
        <v>1421</v>
      </c>
      <c r="E193" s="686">
        <f>E192</f>
        <v>7.5</v>
      </c>
      <c r="F193" s="767">
        <f>H193/E193-1</f>
        <v>-1</v>
      </c>
      <c r="G193" s="686">
        <f t="shared" ref="G193:J193" si="81">G192</f>
        <v>5</v>
      </c>
      <c r="H193" s="686">
        <f t="shared" ref="H193" si="82">H192</f>
        <v>0</v>
      </c>
      <c r="I193" s="686">
        <f t="shared" si="81"/>
        <v>0</v>
      </c>
      <c r="J193" s="869">
        <f t="shared" si="81"/>
        <v>0</v>
      </c>
      <c r="K193" s="1765"/>
      <c r="L193" s="1705"/>
      <c r="M193" s="1682"/>
      <c r="N193" s="1699"/>
      <c r="O193" s="1678"/>
      <c r="P193" s="1766"/>
      <c r="Q193" s="1766"/>
      <c r="R193" s="1766"/>
      <c r="S193" s="1678"/>
    </row>
    <row r="194" spans="1:20" ht="68.25" customHeight="1">
      <c r="A194" s="870" t="s">
        <v>2601</v>
      </c>
      <c r="B194" s="664" t="s">
        <v>2597</v>
      </c>
      <c r="C194" s="739"/>
      <c r="D194" s="919"/>
      <c r="E194" s="741">
        <f>SUM(E198,E200,E203,E208,E213)</f>
        <v>209.63700000000003</v>
      </c>
      <c r="F194" s="760">
        <f>H194/E194-1</f>
        <v>16.732790490228346</v>
      </c>
      <c r="G194" s="741">
        <f>SUM(G198,G200,G203,G208,G213)</f>
        <v>3549.1089999999999</v>
      </c>
      <c r="H194" s="741">
        <f>SUM(H198,H200,H203,H208,H213)</f>
        <v>3717.4490000000001</v>
      </c>
      <c r="I194" s="741">
        <f>SUM(I198,I200,I203,I208,I213)</f>
        <v>2061.86</v>
      </c>
      <c r="J194" s="741">
        <f>SUM(J198,J200,J203,J208,J213)</f>
        <v>0</v>
      </c>
      <c r="K194" s="871" t="s">
        <v>3651</v>
      </c>
      <c r="L194" s="872"/>
      <c r="M194" s="1682"/>
      <c r="N194" s="738" t="s">
        <v>2110</v>
      </c>
      <c r="O194" s="806" t="s">
        <v>1865</v>
      </c>
      <c r="P194" s="762">
        <v>0</v>
      </c>
      <c r="Q194" s="762">
        <v>0</v>
      </c>
      <c r="R194" s="762">
        <v>5</v>
      </c>
      <c r="S194" s="764" t="s">
        <v>1865</v>
      </c>
    </row>
    <row r="195" spans="1:20" ht="27" customHeight="1">
      <c r="A195" s="1799" t="s">
        <v>3565</v>
      </c>
      <c r="B195" s="1825" t="s">
        <v>1437</v>
      </c>
      <c r="C195" s="1822">
        <v>188711925</v>
      </c>
      <c r="D195" s="873" t="s">
        <v>1458</v>
      </c>
      <c r="E195" s="688"/>
      <c r="F195" s="765"/>
      <c r="G195" s="688">
        <v>890.596</v>
      </c>
      <c r="H195" s="688">
        <v>890.596</v>
      </c>
      <c r="I195" s="688">
        <v>566.56799999999998</v>
      </c>
      <c r="J195" s="699"/>
      <c r="K195" s="1768" t="s">
        <v>2861</v>
      </c>
      <c r="L195" s="1666" t="s">
        <v>3641</v>
      </c>
      <c r="M195" s="1682"/>
      <c r="N195" s="1699" t="s">
        <v>2111</v>
      </c>
      <c r="O195" s="1699" t="s">
        <v>1448</v>
      </c>
      <c r="P195" s="1766" t="s">
        <v>1694</v>
      </c>
      <c r="Q195" s="1766" t="s">
        <v>1847</v>
      </c>
      <c r="R195" s="1766"/>
      <c r="S195" s="1678" t="s">
        <v>2862</v>
      </c>
    </row>
    <row r="196" spans="1:20" ht="25.5" customHeight="1">
      <c r="A196" s="1807"/>
      <c r="B196" s="1789"/>
      <c r="C196" s="1810"/>
      <c r="D196" s="665" t="s">
        <v>668</v>
      </c>
      <c r="E196" s="667">
        <v>60.359000000000002</v>
      </c>
      <c r="F196" s="765">
        <f>H196/E196-1</f>
        <v>0.73796782584204501</v>
      </c>
      <c r="G196" s="667">
        <v>104.902</v>
      </c>
      <c r="H196" s="667">
        <v>104.902</v>
      </c>
      <c r="I196" s="679">
        <v>26.225000000000001</v>
      </c>
      <c r="J196" s="680"/>
      <c r="K196" s="1768"/>
      <c r="L196" s="1698"/>
      <c r="M196" s="1682"/>
      <c r="N196" s="1699"/>
      <c r="O196" s="1699"/>
      <c r="P196" s="1766"/>
      <c r="Q196" s="1766"/>
      <c r="R196" s="1766"/>
      <c r="S196" s="1678"/>
    </row>
    <row r="197" spans="1:20" ht="23.25" customHeight="1">
      <c r="A197" s="1807"/>
      <c r="B197" s="1789"/>
      <c r="C197" s="1810"/>
      <c r="D197" s="665" t="s">
        <v>587</v>
      </c>
      <c r="E197" s="667"/>
      <c r="F197" s="765"/>
      <c r="G197" s="667">
        <v>260.47000000000003</v>
      </c>
      <c r="H197" s="667">
        <v>260.47000000000003</v>
      </c>
      <c r="I197" s="757">
        <v>45.773000000000003</v>
      </c>
      <c r="J197" s="680"/>
      <c r="K197" s="1768"/>
      <c r="L197" s="1698"/>
      <c r="M197" s="1682"/>
      <c r="N197" s="1699"/>
      <c r="O197" s="1699"/>
      <c r="P197" s="1766"/>
      <c r="Q197" s="1766"/>
      <c r="R197" s="1766"/>
      <c r="S197" s="1678"/>
    </row>
    <row r="198" spans="1:20" ht="39" customHeight="1">
      <c r="A198" s="1807"/>
      <c r="B198" s="1789"/>
      <c r="C198" s="1810"/>
      <c r="D198" s="906" t="s">
        <v>1421</v>
      </c>
      <c r="E198" s="671">
        <f>SUM(E195:E196)</f>
        <v>60.359000000000002</v>
      </c>
      <c r="F198" s="767">
        <f>H198/E198-1</f>
        <v>19.808297022813498</v>
      </c>
      <c r="G198" s="671">
        <f>SUM(G195:G197)</f>
        <v>1255.9680000000001</v>
      </c>
      <c r="H198" s="671">
        <f t="shared" ref="H198:J198" si="83">SUM(H195:H197)</f>
        <v>1255.9680000000001</v>
      </c>
      <c r="I198" s="671">
        <f>SUM(I195:I197)</f>
        <v>638.56600000000003</v>
      </c>
      <c r="J198" s="671">
        <f t="shared" si="83"/>
        <v>0</v>
      </c>
      <c r="K198" s="1768"/>
      <c r="L198" s="1698"/>
      <c r="M198" s="1682"/>
      <c r="N198" s="1699"/>
      <c r="O198" s="1699"/>
      <c r="P198" s="1766"/>
      <c r="Q198" s="1766"/>
      <c r="R198" s="1766"/>
      <c r="S198" s="1678"/>
    </row>
    <row r="199" spans="1:20" ht="34.200000000000003" customHeight="1">
      <c r="A199" s="1807" t="s">
        <v>2591</v>
      </c>
      <c r="B199" s="1789" t="s">
        <v>3893</v>
      </c>
      <c r="C199" s="1810">
        <v>188711925</v>
      </c>
      <c r="D199" s="665" t="s">
        <v>668</v>
      </c>
      <c r="E199" s="667">
        <v>100</v>
      </c>
      <c r="F199" s="765">
        <f>H199/E199-1</f>
        <v>1.3018999999999998</v>
      </c>
      <c r="G199" s="667">
        <v>214.43</v>
      </c>
      <c r="H199" s="667">
        <v>230.19</v>
      </c>
      <c r="I199" s="679"/>
      <c r="J199" s="680"/>
      <c r="K199" s="1764" t="s">
        <v>2863</v>
      </c>
      <c r="L199" s="1697" t="s">
        <v>3430</v>
      </c>
      <c r="M199" s="1682"/>
      <c r="N199" s="1699" t="s">
        <v>2112</v>
      </c>
      <c r="O199" s="1699" t="s">
        <v>1449</v>
      </c>
      <c r="P199" s="1766" t="s">
        <v>469</v>
      </c>
      <c r="Q199" s="1766" t="s">
        <v>613</v>
      </c>
      <c r="R199" s="1766" t="s">
        <v>613</v>
      </c>
      <c r="S199" s="1678" t="s">
        <v>2864</v>
      </c>
    </row>
    <row r="200" spans="1:20" ht="48.75" customHeight="1">
      <c r="A200" s="1807"/>
      <c r="B200" s="1789"/>
      <c r="C200" s="1810"/>
      <c r="D200" s="906" t="s">
        <v>1421</v>
      </c>
      <c r="E200" s="671">
        <f>E199</f>
        <v>100</v>
      </c>
      <c r="F200" s="767">
        <f>H200/E200-1</f>
        <v>1.3018999999999998</v>
      </c>
      <c r="G200" s="671">
        <f t="shared" ref="G200:J200" si="84">G199</f>
        <v>214.43</v>
      </c>
      <c r="H200" s="671">
        <f t="shared" ref="H200" si="85">H199</f>
        <v>230.19</v>
      </c>
      <c r="I200" s="671">
        <f t="shared" si="84"/>
        <v>0</v>
      </c>
      <c r="J200" s="683">
        <f t="shared" si="84"/>
        <v>0</v>
      </c>
      <c r="K200" s="1765"/>
      <c r="L200" s="1698"/>
      <c r="M200" s="1682"/>
      <c r="N200" s="1699"/>
      <c r="O200" s="1699"/>
      <c r="P200" s="1766"/>
      <c r="Q200" s="1766"/>
      <c r="R200" s="1766"/>
      <c r="S200" s="1678"/>
      <c r="T200" s="555" t="s">
        <v>3642</v>
      </c>
    </row>
    <row r="201" spans="1:20" ht="27.75" customHeight="1">
      <c r="A201" s="1807" t="s">
        <v>2592</v>
      </c>
      <c r="B201" s="1789" t="s">
        <v>3885</v>
      </c>
      <c r="C201" s="1810">
        <v>188711925</v>
      </c>
      <c r="D201" s="874" t="s">
        <v>668</v>
      </c>
      <c r="E201" s="667">
        <v>21</v>
      </c>
      <c r="F201" s="765">
        <f>H201/E201-1</f>
        <v>13.74</v>
      </c>
      <c r="G201" s="667">
        <v>185</v>
      </c>
      <c r="H201" s="667">
        <v>309.54000000000002</v>
      </c>
      <c r="I201" s="667">
        <v>140</v>
      </c>
      <c r="J201" s="680"/>
      <c r="K201" s="1768" t="s">
        <v>2865</v>
      </c>
      <c r="L201" s="1697" t="s">
        <v>2117</v>
      </c>
      <c r="M201" s="1682"/>
      <c r="N201" s="1648" t="s">
        <v>2456</v>
      </c>
      <c r="O201" s="766" t="s">
        <v>2451</v>
      </c>
      <c r="P201" s="1223" t="s">
        <v>613</v>
      </c>
      <c r="Q201" s="1223" t="s">
        <v>2455</v>
      </c>
      <c r="R201" s="1223" t="s">
        <v>613</v>
      </c>
      <c r="S201" s="1678" t="s">
        <v>2866</v>
      </c>
    </row>
    <row r="202" spans="1:20" ht="33" customHeight="1">
      <c r="A202" s="1807"/>
      <c r="B202" s="1789"/>
      <c r="C202" s="1810"/>
      <c r="D202" s="874" t="s">
        <v>341</v>
      </c>
      <c r="E202" s="667"/>
      <c r="F202" s="765"/>
      <c r="G202" s="667">
        <v>765</v>
      </c>
      <c r="H202" s="667">
        <v>765</v>
      </c>
      <c r="I202" s="667">
        <v>510</v>
      </c>
      <c r="J202" s="680"/>
      <c r="K202" s="1768"/>
      <c r="L202" s="1697"/>
      <c r="M202" s="1682"/>
      <c r="N202" s="1649"/>
      <c r="O202" s="766" t="s">
        <v>2452</v>
      </c>
      <c r="P202" s="1223"/>
      <c r="Q202" s="1223" t="s">
        <v>2881</v>
      </c>
      <c r="R202" s="1223" t="s">
        <v>613</v>
      </c>
      <c r="S202" s="1678"/>
    </row>
    <row r="203" spans="1:20" ht="26.4" customHeight="1">
      <c r="A203" s="1807"/>
      <c r="B203" s="1789"/>
      <c r="C203" s="1823"/>
      <c r="D203" s="1830" t="s">
        <v>1421</v>
      </c>
      <c r="E203" s="1853">
        <f>SUM(E201:E202)</f>
        <v>21</v>
      </c>
      <c r="F203" s="1855">
        <f t="shared" ref="F203:F205" si="86">H203/E203-1</f>
        <v>50.168571428571425</v>
      </c>
      <c r="G203" s="1853">
        <f t="shared" ref="G203:J203" si="87">SUM(G201:G202)</f>
        <v>950</v>
      </c>
      <c r="H203" s="1857">
        <f t="shared" si="87"/>
        <v>1074.54</v>
      </c>
      <c r="I203" s="1857">
        <f t="shared" si="87"/>
        <v>650</v>
      </c>
      <c r="J203" s="1853">
        <f t="shared" si="87"/>
        <v>0</v>
      </c>
      <c r="K203" s="1768"/>
      <c r="L203" s="1697"/>
      <c r="M203" s="1682"/>
      <c r="N203" s="1649"/>
      <c r="O203" s="766" t="s">
        <v>2453</v>
      </c>
      <c r="P203" s="1223"/>
      <c r="Q203" s="1223" t="s">
        <v>469</v>
      </c>
      <c r="R203" s="1223" t="s">
        <v>613</v>
      </c>
      <c r="S203" s="1678"/>
      <c r="T203" s="467" t="s">
        <v>3643</v>
      </c>
    </row>
    <row r="204" spans="1:20" ht="38.4" customHeight="1">
      <c r="A204" s="1807"/>
      <c r="B204" s="1789"/>
      <c r="C204" s="1823"/>
      <c r="D204" s="1830"/>
      <c r="E204" s="1854"/>
      <c r="F204" s="1856" t="e">
        <f t="shared" si="86"/>
        <v>#DIV/0!</v>
      </c>
      <c r="G204" s="1854"/>
      <c r="H204" s="1857"/>
      <c r="I204" s="1857"/>
      <c r="J204" s="1854"/>
      <c r="K204" s="1768"/>
      <c r="L204" s="1697"/>
      <c r="M204" s="1682"/>
      <c r="N204" s="1649"/>
      <c r="O204" s="766" t="s">
        <v>2454</v>
      </c>
      <c r="P204" s="1223"/>
      <c r="Q204" s="1223" t="s">
        <v>2880</v>
      </c>
      <c r="R204" s="1223" t="s">
        <v>613</v>
      </c>
      <c r="S204" s="1678"/>
    </row>
    <row r="205" spans="1:20" ht="43.2" customHeight="1">
      <c r="A205" s="1818"/>
      <c r="B205" s="1789"/>
      <c r="C205" s="1824"/>
      <c r="D205" s="1830"/>
      <c r="E205" s="1854"/>
      <c r="F205" s="1856" t="e">
        <f t="shared" si="86"/>
        <v>#DIV/0!</v>
      </c>
      <c r="G205" s="1854"/>
      <c r="H205" s="1857"/>
      <c r="I205" s="1857"/>
      <c r="J205" s="1854"/>
      <c r="K205" s="1768"/>
      <c r="L205" s="1698"/>
      <c r="M205" s="1682"/>
      <c r="N205" s="1649"/>
      <c r="O205" s="766" t="s">
        <v>3431</v>
      </c>
      <c r="P205" s="1223"/>
      <c r="Q205" s="1223" t="s">
        <v>2303</v>
      </c>
      <c r="R205" s="1223" t="s">
        <v>613</v>
      </c>
      <c r="S205" s="1678"/>
    </row>
    <row r="206" spans="1:20" ht="54" customHeight="1">
      <c r="A206" s="1807" t="s">
        <v>2593</v>
      </c>
      <c r="B206" s="1789" t="s">
        <v>3645</v>
      </c>
      <c r="C206" s="1810">
        <v>188711925</v>
      </c>
      <c r="D206" s="874" t="s">
        <v>668</v>
      </c>
      <c r="E206" s="667">
        <v>12.038</v>
      </c>
      <c r="F206" s="765">
        <f>H206/E206-1</f>
        <v>8.107077587639143</v>
      </c>
      <c r="G206" s="667">
        <v>81.590999999999994</v>
      </c>
      <c r="H206" s="667">
        <v>109.631</v>
      </c>
      <c r="I206" s="708">
        <v>64.394000000000005</v>
      </c>
      <c r="J206" s="680"/>
      <c r="K206" s="1764" t="s">
        <v>2867</v>
      </c>
      <c r="L206" s="1697" t="s">
        <v>2882</v>
      </c>
      <c r="M206" s="1682"/>
      <c r="N206" s="1699" t="s">
        <v>2113</v>
      </c>
      <c r="O206" s="766" t="s">
        <v>2885</v>
      </c>
      <c r="P206" s="1223"/>
      <c r="Q206" s="1223" t="s">
        <v>612</v>
      </c>
      <c r="R206" s="1223" t="s">
        <v>613</v>
      </c>
      <c r="S206" s="1678" t="s">
        <v>3894</v>
      </c>
    </row>
    <row r="207" spans="1:20" ht="38.4" customHeight="1">
      <c r="A207" s="1807"/>
      <c r="B207" s="1789"/>
      <c r="C207" s="1810"/>
      <c r="D207" s="874" t="s">
        <v>341</v>
      </c>
      <c r="E207" s="667"/>
      <c r="F207" s="765"/>
      <c r="G207" s="667">
        <v>292.35000000000002</v>
      </c>
      <c r="H207" s="667">
        <v>292.35000000000002</v>
      </c>
      <c r="I207" s="679">
        <v>194.9</v>
      </c>
      <c r="J207" s="680"/>
      <c r="K207" s="1774"/>
      <c r="L207" s="1697"/>
      <c r="M207" s="1682"/>
      <c r="N207" s="1699"/>
      <c r="O207" s="766" t="s">
        <v>2457</v>
      </c>
      <c r="P207" s="1223"/>
      <c r="Q207" s="1223" t="s">
        <v>2884</v>
      </c>
      <c r="R207" s="1223" t="s">
        <v>613</v>
      </c>
      <c r="S207" s="1678"/>
      <c r="T207" s="553" t="s">
        <v>3644</v>
      </c>
    </row>
    <row r="208" spans="1:20" ht="36.6" customHeight="1">
      <c r="A208" s="1807"/>
      <c r="B208" s="1789"/>
      <c r="C208" s="1810"/>
      <c r="D208" s="1858" t="s">
        <v>1421</v>
      </c>
      <c r="E208" s="1853">
        <f>SUM(E206:E207)</f>
        <v>12.038</v>
      </c>
      <c r="F208" s="1855">
        <f t="shared" ref="F208:F210" si="88">H208/E208-1</f>
        <v>32.392673201528488</v>
      </c>
      <c r="G208" s="1853">
        <f t="shared" ref="G208:J208" si="89">SUM(G206:G207)</f>
        <v>373.94100000000003</v>
      </c>
      <c r="H208" s="1853">
        <f t="shared" si="89"/>
        <v>401.98099999999999</v>
      </c>
      <c r="I208" s="1853">
        <f t="shared" si="89"/>
        <v>259.29399999999998</v>
      </c>
      <c r="J208" s="1853">
        <f t="shared" si="89"/>
        <v>0</v>
      </c>
      <c r="K208" s="1774"/>
      <c r="L208" s="1697"/>
      <c r="M208" s="1682"/>
      <c r="N208" s="1699"/>
      <c r="O208" s="766" t="s">
        <v>2458</v>
      </c>
      <c r="P208" s="1223"/>
      <c r="Q208" s="1223" t="s">
        <v>2459</v>
      </c>
      <c r="R208" s="1223" t="s">
        <v>613</v>
      </c>
      <c r="S208" s="1678"/>
    </row>
    <row r="209" spans="1:20" ht="32.4" customHeight="1">
      <c r="A209" s="1818"/>
      <c r="B209" s="1789"/>
      <c r="C209" s="1820"/>
      <c r="D209" s="1859"/>
      <c r="E209" s="1854"/>
      <c r="F209" s="1856" t="e">
        <f t="shared" si="88"/>
        <v>#DIV/0!</v>
      </c>
      <c r="G209" s="1854"/>
      <c r="H209" s="1854"/>
      <c r="I209" s="1854"/>
      <c r="J209" s="1854"/>
      <c r="K209" s="1774"/>
      <c r="L209" s="1698"/>
      <c r="M209" s="1682"/>
      <c r="N209" s="1699"/>
      <c r="O209" s="1648" t="s">
        <v>2883</v>
      </c>
      <c r="P209" s="1679"/>
      <c r="Q209" s="1679" t="s">
        <v>1694</v>
      </c>
      <c r="R209" s="1679" t="s">
        <v>613</v>
      </c>
      <c r="S209" s="1678"/>
    </row>
    <row r="210" spans="1:20" ht="33" customHeight="1">
      <c r="A210" s="1818"/>
      <c r="B210" s="1790"/>
      <c r="C210" s="1821"/>
      <c r="D210" s="1860"/>
      <c r="E210" s="1861"/>
      <c r="F210" s="1862" t="e">
        <f t="shared" si="88"/>
        <v>#DIV/0!</v>
      </c>
      <c r="G210" s="1861"/>
      <c r="H210" s="1861"/>
      <c r="I210" s="1861"/>
      <c r="J210" s="1861"/>
      <c r="K210" s="1765"/>
      <c r="L210" s="1698"/>
      <c r="M210" s="1682"/>
      <c r="N210" s="1699"/>
      <c r="O210" s="1650"/>
      <c r="P210" s="1680"/>
      <c r="Q210" s="1680"/>
      <c r="R210" s="1680"/>
      <c r="S210" s="1678"/>
    </row>
    <row r="211" spans="1:20" ht="36" customHeight="1">
      <c r="A211" s="1807" t="s">
        <v>2594</v>
      </c>
      <c r="B211" s="1789" t="s">
        <v>3886</v>
      </c>
      <c r="C211" s="1810">
        <v>188711925</v>
      </c>
      <c r="D211" s="874" t="s">
        <v>341</v>
      </c>
      <c r="E211" s="667"/>
      <c r="F211" s="765"/>
      <c r="G211" s="667">
        <v>591.6</v>
      </c>
      <c r="H211" s="667">
        <v>591.6</v>
      </c>
      <c r="I211" s="679">
        <v>394.4</v>
      </c>
      <c r="J211" s="680"/>
      <c r="K211" s="1768" t="s">
        <v>2868</v>
      </c>
      <c r="L211" s="1697" t="s">
        <v>2887</v>
      </c>
      <c r="M211" s="1682"/>
      <c r="N211" s="1699" t="s">
        <v>1447</v>
      </c>
      <c r="O211" s="766" t="s">
        <v>2461</v>
      </c>
      <c r="P211" s="1223" t="s">
        <v>613</v>
      </c>
      <c r="Q211" s="1223" t="s">
        <v>2884</v>
      </c>
      <c r="R211" s="1223"/>
      <c r="S211" s="1678" t="s">
        <v>1450</v>
      </c>
    </row>
    <row r="212" spans="1:20" ht="34.950000000000003" customHeight="1">
      <c r="A212" s="1818"/>
      <c r="B212" s="1789"/>
      <c r="C212" s="1820"/>
      <c r="D212" s="665" t="s">
        <v>668</v>
      </c>
      <c r="E212" s="667">
        <v>16.239999999999998</v>
      </c>
      <c r="F212" s="765">
        <f>H212/E212-1</f>
        <v>9.0474137931034484</v>
      </c>
      <c r="G212" s="667">
        <v>163.16999999999999</v>
      </c>
      <c r="H212" s="839">
        <v>163.16999999999999</v>
      </c>
      <c r="I212" s="877">
        <v>119.6</v>
      </c>
      <c r="J212" s="680"/>
      <c r="K212" s="1768"/>
      <c r="L212" s="1698"/>
      <c r="M212" s="1682"/>
      <c r="N212" s="1699"/>
      <c r="O212" s="766" t="s">
        <v>2458</v>
      </c>
      <c r="P212" s="1223" t="s">
        <v>613</v>
      </c>
      <c r="Q212" s="1223" t="s">
        <v>2459</v>
      </c>
      <c r="R212" s="1223" t="s">
        <v>613</v>
      </c>
      <c r="S212" s="1678"/>
      <c r="T212" s="553" t="s">
        <v>3643</v>
      </c>
    </row>
    <row r="213" spans="1:20" ht="25.5" customHeight="1">
      <c r="A213" s="1818"/>
      <c r="B213" s="1790"/>
      <c r="C213" s="1821"/>
      <c r="D213" s="1858" t="s">
        <v>1421</v>
      </c>
      <c r="E213" s="1853">
        <f>SUM(E211:E212)</f>
        <v>16.239999999999998</v>
      </c>
      <c r="F213" s="1868">
        <f t="shared" ref="F213:F214" si="90">H213/E213-1</f>
        <v>45.475985221674883</v>
      </c>
      <c r="G213" s="1853">
        <f>SUM(G211:G212)</f>
        <v>754.77</v>
      </c>
      <c r="H213" s="1857">
        <f>SUM(H211:H212)</f>
        <v>754.77</v>
      </c>
      <c r="I213" s="1857">
        <f>SUM(I211:I212)</f>
        <v>514</v>
      </c>
      <c r="J213" s="1853">
        <f>SUM(J211:J212)</f>
        <v>0</v>
      </c>
      <c r="K213" s="1768"/>
      <c r="L213" s="1698"/>
      <c r="M213" s="1682"/>
      <c r="N213" s="1699"/>
      <c r="O213" s="1648" t="s">
        <v>1450</v>
      </c>
      <c r="P213" s="1679" t="s">
        <v>613</v>
      </c>
      <c r="Q213" s="1679" t="s">
        <v>2886</v>
      </c>
      <c r="R213" s="1679" t="s">
        <v>613</v>
      </c>
      <c r="S213" s="1678"/>
    </row>
    <row r="214" spans="1:20" ht="11.4" customHeight="1">
      <c r="A214" s="1819"/>
      <c r="B214" s="1790"/>
      <c r="C214" s="1821"/>
      <c r="D214" s="1860"/>
      <c r="E214" s="1861"/>
      <c r="F214" s="1869" t="e">
        <f t="shared" si="90"/>
        <v>#DIV/0!</v>
      </c>
      <c r="G214" s="1861"/>
      <c r="H214" s="1857"/>
      <c r="I214" s="1857"/>
      <c r="J214" s="1861"/>
      <c r="K214" s="1768"/>
      <c r="L214" s="1705"/>
      <c r="M214" s="1682"/>
      <c r="N214" s="1699"/>
      <c r="O214" s="1650"/>
      <c r="P214" s="1680"/>
      <c r="Q214" s="1680"/>
      <c r="R214" s="1680"/>
      <c r="S214" s="1678"/>
    </row>
    <row r="215" spans="1:20" ht="58.5" customHeight="1">
      <c r="A215" s="870" t="s">
        <v>2602</v>
      </c>
      <c r="B215" s="919" t="s">
        <v>3576</v>
      </c>
      <c r="C215" s="878"/>
      <c r="D215" s="919"/>
      <c r="E215" s="741">
        <f>E217</f>
        <v>30</v>
      </c>
      <c r="F215" s="760">
        <f>H215/E215-1</f>
        <v>2.2518333333333334</v>
      </c>
      <c r="G215" s="741">
        <f t="shared" ref="G215:J215" si="91">G217</f>
        <v>35</v>
      </c>
      <c r="H215" s="741">
        <f>H217+H219</f>
        <v>97.555000000000007</v>
      </c>
      <c r="I215" s="741">
        <f t="shared" si="91"/>
        <v>40</v>
      </c>
      <c r="J215" s="741">
        <f t="shared" si="91"/>
        <v>45</v>
      </c>
      <c r="K215" s="871" t="s">
        <v>3678</v>
      </c>
      <c r="L215" s="872"/>
      <c r="M215" s="1682"/>
      <c r="N215" s="740" t="s">
        <v>2114</v>
      </c>
      <c r="O215" s="664" t="s">
        <v>3679</v>
      </c>
      <c r="P215" s="871">
        <v>27</v>
      </c>
      <c r="Q215" s="871">
        <v>28</v>
      </c>
      <c r="R215" s="871">
        <v>29</v>
      </c>
      <c r="S215" s="1863" t="s">
        <v>2876</v>
      </c>
    </row>
    <row r="216" spans="1:20" ht="27" customHeight="1">
      <c r="A216" s="1807" t="s">
        <v>2595</v>
      </c>
      <c r="B216" s="1825" t="s">
        <v>1438</v>
      </c>
      <c r="C216" s="1822">
        <v>188711925</v>
      </c>
      <c r="D216" s="665" t="s">
        <v>668</v>
      </c>
      <c r="E216" s="667">
        <v>30</v>
      </c>
      <c r="F216" s="765">
        <f>H216/E216-1</f>
        <v>0.66666666666666674</v>
      </c>
      <c r="G216" s="667">
        <v>35</v>
      </c>
      <c r="H216" s="667">
        <v>50</v>
      </c>
      <c r="I216" s="667">
        <v>40</v>
      </c>
      <c r="J216" s="667">
        <v>45</v>
      </c>
      <c r="K216" s="1764" t="s">
        <v>2869</v>
      </c>
      <c r="L216" s="1697" t="s">
        <v>2118</v>
      </c>
      <c r="M216" s="1682"/>
      <c r="N216" s="1699" t="s">
        <v>2115</v>
      </c>
      <c r="O216" s="1699" t="s">
        <v>3157</v>
      </c>
      <c r="P216" s="1766" t="s">
        <v>3158</v>
      </c>
      <c r="Q216" s="1766" t="s">
        <v>1694</v>
      </c>
      <c r="R216" s="1766" t="s">
        <v>1769</v>
      </c>
      <c r="S216" s="1864"/>
    </row>
    <row r="217" spans="1:20" ht="33.75" customHeight="1">
      <c r="A217" s="1807"/>
      <c r="B217" s="1789">
        <f>SUM(B216:B216)</f>
        <v>0</v>
      </c>
      <c r="C217" s="1823">
        <f>SUM(C216:C216)</f>
        <v>188711925</v>
      </c>
      <c r="D217" s="906" t="s">
        <v>1421</v>
      </c>
      <c r="E217" s="671">
        <f>E216</f>
        <v>30</v>
      </c>
      <c r="F217" s="767">
        <f t="shared" si="65"/>
        <v>0.66666666666666663</v>
      </c>
      <c r="G217" s="671">
        <f>G216</f>
        <v>35</v>
      </c>
      <c r="H217" s="671">
        <f t="shared" ref="H217:J217" si="92">H216</f>
        <v>50</v>
      </c>
      <c r="I217" s="671">
        <f t="shared" si="92"/>
        <v>40</v>
      </c>
      <c r="J217" s="671">
        <f t="shared" si="92"/>
        <v>45</v>
      </c>
      <c r="K217" s="1774"/>
      <c r="L217" s="1698"/>
      <c r="M217" s="1682"/>
      <c r="N217" s="1699"/>
      <c r="O217" s="1699"/>
      <c r="P217" s="1766"/>
      <c r="Q217" s="1766"/>
      <c r="R217" s="1766"/>
      <c r="S217" s="1864"/>
    </row>
    <row r="218" spans="1:20" ht="20.100000000000001" customHeight="1">
      <c r="A218" s="1832" t="s">
        <v>3648</v>
      </c>
      <c r="B218" s="1825" t="s">
        <v>3577</v>
      </c>
      <c r="C218" s="1822" t="s">
        <v>1376</v>
      </c>
      <c r="D218" s="665" t="s">
        <v>1422</v>
      </c>
      <c r="E218" s="667">
        <v>0</v>
      </c>
      <c r="F218" s="765"/>
      <c r="G218" s="667">
        <v>0</v>
      </c>
      <c r="H218" s="667">
        <f>SUM(H220:H222)</f>
        <v>47.555</v>
      </c>
      <c r="I218" s="667">
        <v>48</v>
      </c>
      <c r="J218" s="667">
        <v>49</v>
      </c>
      <c r="K218" s="1774"/>
      <c r="L218" s="1697" t="s">
        <v>3578</v>
      </c>
      <c r="M218" s="752"/>
      <c r="N218" s="1699" t="s">
        <v>2115</v>
      </c>
      <c r="O218" s="1699" t="s">
        <v>3647</v>
      </c>
      <c r="P218" s="1766" t="s">
        <v>1776</v>
      </c>
      <c r="Q218" s="1766" t="s">
        <v>1776</v>
      </c>
      <c r="R218" s="1766" t="s">
        <v>1776</v>
      </c>
      <c r="S218" s="1864"/>
      <c r="T218" s="553" t="s">
        <v>3646</v>
      </c>
    </row>
    <row r="219" spans="1:20" ht="40.5" customHeight="1">
      <c r="A219" s="1797"/>
      <c r="B219" s="1790"/>
      <c r="C219" s="1867">
        <f>SUM(C218:C218)</f>
        <v>0</v>
      </c>
      <c r="D219" s="906" t="s">
        <v>1421</v>
      </c>
      <c r="E219" s="671">
        <f>E218</f>
        <v>0</v>
      </c>
      <c r="F219" s="767"/>
      <c r="G219" s="671">
        <f>G218</f>
        <v>0</v>
      </c>
      <c r="H219" s="671">
        <f t="shared" ref="H219:J219" si="93">H218</f>
        <v>47.555</v>
      </c>
      <c r="I219" s="671">
        <f t="shared" si="93"/>
        <v>48</v>
      </c>
      <c r="J219" s="671">
        <f t="shared" si="93"/>
        <v>49</v>
      </c>
      <c r="K219" s="1765"/>
      <c r="L219" s="1698"/>
      <c r="M219" s="752"/>
      <c r="N219" s="1699"/>
      <c r="O219" s="1699"/>
      <c r="P219" s="1766"/>
      <c r="Q219" s="1766"/>
      <c r="R219" s="1766"/>
      <c r="S219" s="1865"/>
    </row>
    <row r="220" spans="1:20" ht="22.5" hidden="1" customHeight="1">
      <c r="A220" s="833"/>
      <c r="B220" s="798" t="s">
        <v>3582</v>
      </c>
      <c r="C220" s="841"/>
      <c r="D220" s="920"/>
      <c r="E220" s="880"/>
      <c r="F220" s="771"/>
      <c r="G220" s="880"/>
      <c r="H220" s="772">
        <v>10.95</v>
      </c>
      <c r="I220" s="881"/>
      <c r="J220" s="880"/>
      <c r="K220" s="674"/>
      <c r="L220" s="779"/>
      <c r="M220" s="882"/>
      <c r="N220" s="921"/>
      <c r="O220" s="921"/>
      <c r="P220" s="1562"/>
      <c r="Q220" s="1562"/>
      <c r="R220" s="1562"/>
      <c r="S220" s="922"/>
    </row>
    <row r="221" spans="1:20" ht="21.75" hidden="1" customHeight="1">
      <c r="A221" s="883"/>
      <c r="B221" s="798" t="s">
        <v>3583</v>
      </c>
      <c r="C221" s="841"/>
      <c r="D221" s="920"/>
      <c r="E221" s="880"/>
      <c r="F221" s="771"/>
      <c r="G221" s="880"/>
      <c r="H221" s="772">
        <v>11.452999999999999</v>
      </c>
      <c r="I221" s="881"/>
      <c r="J221" s="880"/>
      <c r="K221" s="674"/>
      <c r="L221" s="779"/>
      <c r="M221" s="882"/>
      <c r="N221" s="921"/>
      <c r="O221" s="921"/>
      <c r="P221" s="1562"/>
      <c r="Q221" s="1562"/>
      <c r="R221" s="1562"/>
      <c r="S221" s="922"/>
    </row>
    <row r="222" spans="1:20" ht="20.25" hidden="1" customHeight="1">
      <c r="A222" s="883"/>
      <c r="B222" s="798" t="s">
        <v>3584</v>
      </c>
      <c r="C222" s="841"/>
      <c r="D222" s="920"/>
      <c r="E222" s="880"/>
      <c r="F222" s="771"/>
      <c r="G222" s="880"/>
      <c r="H222" s="772">
        <v>25.152000000000001</v>
      </c>
      <c r="I222" s="881"/>
      <c r="J222" s="880"/>
      <c r="K222" s="674"/>
      <c r="L222" s="779"/>
      <c r="M222" s="884"/>
      <c r="N222" s="923"/>
      <c r="O222" s="923"/>
      <c r="P222" s="1563"/>
      <c r="Q222" s="1563"/>
      <c r="R222" s="1563"/>
      <c r="S222" s="924"/>
    </row>
    <row r="223" spans="1:20" ht="56.25" customHeight="1">
      <c r="A223" s="1694"/>
      <c r="B223" s="1694"/>
      <c r="C223" s="1694"/>
      <c r="D223" s="1694"/>
      <c r="E223" s="885" t="s">
        <v>1388</v>
      </c>
      <c r="F223" s="925"/>
      <c r="G223" s="885" t="str">
        <f>G13</f>
        <v xml:space="preserve">2024  m. asignavimų poreikis </v>
      </c>
      <c r="H223" s="885" t="str">
        <f>H13</f>
        <v>2024  m. asignavimai ir kitos lėšos, tūkst. Eur</v>
      </c>
      <c r="I223" s="886" t="str">
        <f>I13</f>
        <v>2025 m. asignavimai ir kitos lėšos, tūkst. Eur</v>
      </c>
      <c r="J223" s="751" t="str">
        <f>J13</f>
        <v>2026 m.asignavimai ir kitos lėšos, tūkst. Eur</v>
      </c>
      <c r="K223" s="661"/>
      <c r="L223" s="752"/>
      <c r="M223" s="752"/>
      <c r="N223" s="752"/>
      <c r="O223" s="752"/>
      <c r="P223" s="1117"/>
      <c r="Q223" s="1117"/>
      <c r="R223" s="1117"/>
      <c r="S223" s="752"/>
    </row>
    <row r="224" spans="1:20" ht="30" customHeight="1">
      <c r="A224" s="661"/>
      <c r="B224" s="1673" t="s">
        <v>990</v>
      </c>
      <c r="C224" s="1673"/>
      <c r="D224" s="1673"/>
      <c r="E224" s="887">
        <f>SUM(E225,E226,E230,E231,E232,E233,)</f>
        <v>15544.962999999998</v>
      </c>
      <c r="F224" s="765">
        <f>H224/E224-1</f>
        <v>0.3578286419851886</v>
      </c>
      <c r="G224" s="887">
        <f t="shared" ref="G224:J224" si="94">SUM(G225,G226,G230,G231,G232,G233,)</f>
        <v>15900.336000000003</v>
      </c>
      <c r="H224" s="887">
        <f>SUM(H225,H226,H230,H231,H232,H233,)</f>
        <v>21107.396000000001</v>
      </c>
      <c r="I224" s="888">
        <f t="shared" si="94"/>
        <v>19312.551000000003</v>
      </c>
      <c r="J224" s="754">
        <f t="shared" si="94"/>
        <v>17312.03</v>
      </c>
      <c r="K224" s="757"/>
      <c r="L224" s="755"/>
      <c r="M224" s="752"/>
      <c r="N224" s="755"/>
      <c r="O224" s="752"/>
      <c r="P224" s="1117"/>
      <c r="Q224" s="1117"/>
      <c r="R224" s="1117"/>
      <c r="S224" s="752"/>
    </row>
    <row r="225" spans="1:19" ht="40.5" customHeight="1">
      <c r="A225" s="659"/>
      <c r="B225" s="1681" t="s">
        <v>2564</v>
      </c>
      <c r="C225" s="1681"/>
      <c r="D225" s="1681"/>
      <c r="E225" s="667">
        <f>SUM(E16,E72,E152,E156,E160,E165,E177,E185,E188,E190,E192,E196,E199,E205,E209,E212,E216,)</f>
        <v>6653.5689999999995</v>
      </c>
      <c r="F225" s="765">
        <f>H225/E225-1</f>
        <v>0.23164319780857467</v>
      </c>
      <c r="G225" s="667">
        <f>SUM(G16,G72,G152,G156,G160,G165,G177,G185,G188,G190,G192,G196,G199,G205,G209,G212,G216,)</f>
        <v>5969.2240000000011</v>
      </c>
      <c r="H225" s="667">
        <f>SUM(H16,H72,H152,H156,H160,H165,H177,H190,H192,H196,H199,H201,H206,H212,H216,)</f>
        <v>8194.8230000000003</v>
      </c>
      <c r="I225" s="667">
        <f t="shared" ref="I225:J225" si="95">SUM(I16,I72,I152,I156,I160,I165,I177,I190,I192,I196,I199,I201,I206,I212,I216,)</f>
        <v>7625.6160000000018</v>
      </c>
      <c r="J225" s="667">
        <f t="shared" si="95"/>
        <v>7270.33</v>
      </c>
      <c r="K225" s="659"/>
      <c r="L225" s="752"/>
      <c r="M225" s="752"/>
      <c r="N225" s="752"/>
      <c r="O225" s="752"/>
      <c r="P225" s="1117"/>
      <c r="Q225" s="1117"/>
      <c r="R225" s="1117"/>
      <c r="S225" s="752"/>
    </row>
    <row r="226" spans="1:19" ht="27" customHeight="1">
      <c r="A226" s="659"/>
      <c r="B226" s="1681" t="s">
        <v>993</v>
      </c>
      <c r="C226" s="1681"/>
      <c r="D226" s="1681"/>
      <c r="E226" s="667">
        <f>SUM(E18,E70,E161,E178)</f>
        <v>8050.119999999999</v>
      </c>
      <c r="F226" s="765">
        <f>H226/E226-1</f>
        <v>0.11818743074637439</v>
      </c>
      <c r="G226" s="667">
        <f>SUM(G18,G70,G161,G178)</f>
        <v>8143.7910000000011</v>
      </c>
      <c r="H226" s="667">
        <f>H227+H228+H229</f>
        <v>9001.5430000000015</v>
      </c>
      <c r="I226" s="667">
        <f t="shared" ref="I226:J226" si="96">I227+I228+I229</f>
        <v>9098.2000000000007</v>
      </c>
      <c r="J226" s="667">
        <f t="shared" si="96"/>
        <v>9199.2000000000007</v>
      </c>
      <c r="K226" s="659"/>
      <c r="L226" s="752"/>
      <c r="M226" s="752"/>
      <c r="N226" s="752"/>
      <c r="O226" s="752"/>
      <c r="P226" s="1117"/>
      <c r="Q226" s="1117"/>
      <c r="R226" s="1117"/>
      <c r="S226" s="752"/>
    </row>
    <row r="227" spans="1:19" ht="23.4" hidden="1" customHeight="1">
      <c r="A227" s="659"/>
      <c r="B227" s="1684" t="s">
        <v>3589</v>
      </c>
      <c r="C227" s="1685"/>
      <c r="D227" s="1686"/>
      <c r="E227" s="704"/>
      <c r="F227" s="771"/>
      <c r="G227" s="704"/>
      <c r="H227" s="779">
        <f>SUM(H70,H161)</f>
        <v>8800.5400000000009</v>
      </c>
      <c r="I227" s="779">
        <v>8900</v>
      </c>
      <c r="J227" s="779">
        <v>9000</v>
      </c>
      <c r="K227" s="659"/>
      <c r="L227" s="752"/>
      <c r="M227" s="752"/>
      <c r="N227" s="755"/>
      <c r="O227" s="752"/>
      <c r="P227" s="1117"/>
      <c r="Q227" s="1117"/>
      <c r="R227" s="1117"/>
      <c r="S227" s="752"/>
    </row>
    <row r="228" spans="1:19" ht="20.100000000000001" hidden="1" customHeight="1">
      <c r="A228" s="659"/>
      <c r="B228" s="1684" t="s">
        <v>3590</v>
      </c>
      <c r="C228" s="1685"/>
      <c r="D228" s="1686"/>
      <c r="E228" s="704"/>
      <c r="F228" s="771"/>
      <c r="G228" s="704"/>
      <c r="H228" s="779">
        <f>H127</f>
        <v>39</v>
      </c>
      <c r="I228" s="779">
        <f t="shared" ref="I228:J228" si="97">I127</f>
        <v>39</v>
      </c>
      <c r="J228" s="779">
        <f t="shared" si="97"/>
        <v>39</v>
      </c>
      <c r="K228" s="659"/>
      <c r="L228" s="752"/>
      <c r="M228" s="752"/>
      <c r="N228" s="752"/>
      <c r="O228" s="752"/>
      <c r="P228" s="1117"/>
      <c r="Q228" s="1117"/>
      <c r="R228" s="1117"/>
      <c r="S228" s="752"/>
    </row>
    <row r="229" spans="1:19" ht="25.95" hidden="1" customHeight="1">
      <c r="A229" s="659"/>
      <c r="B229" s="1684" t="s">
        <v>3585</v>
      </c>
      <c r="C229" s="1685"/>
      <c r="D229" s="1686"/>
      <c r="E229" s="704"/>
      <c r="F229" s="771"/>
      <c r="G229" s="704"/>
      <c r="H229" s="779">
        <f>SUM(H103,H178,H218)</f>
        <v>162.00300000000001</v>
      </c>
      <c r="I229" s="779">
        <f t="shared" ref="I229:J229" si="98">SUM(I103,I178,I218)</f>
        <v>159.19999999999999</v>
      </c>
      <c r="J229" s="779">
        <f t="shared" si="98"/>
        <v>160.19999999999999</v>
      </c>
      <c r="K229" s="659"/>
      <c r="L229" s="755"/>
      <c r="M229" s="752"/>
      <c r="N229" s="752"/>
      <c r="O229" s="752"/>
      <c r="P229" s="1117"/>
      <c r="Q229" s="1117"/>
      <c r="R229" s="1117"/>
      <c r="S229" s="752"/>
    </row>
    <row r="230" spans="1:19" ht="20.100000000000001" customHeight="1">
      <c r="A230" s="659"/>
      <c r="B230" s="1681" t="s">
        <v>994</v>
      </c>
      <c r="C230" s="1681"/>
      <c r="D230" s="1681"/>
      <c r="E230" s="667">
        <f>SUM(E17,E71,)</f>
        <v>774.452</v>
      </c>
      <c r="F230" s="765">
        <f>H230/E230-1</f>
        <v>6.4435239369257102E-2</v>
      </c>
      <c r="G230" s="667">
        <f>SUM(G17,G71,)</f>
        <v>804.84500000000003</v>
      </c>
      <c r="H230" s="667">
        <f>SUM(H17,H71,)</f>
        <v>824.35399999999993</v>
      </c>
      <c r="I230" s="680">
        <f>SUM(I17,I71,)</f>
        <v>830.5</v>
      </c>
      <c r="J230" s="667">
        <f>SUM(J17,J71,)</f>
        <v>842.5</v>
      </c>
      <c r="K230" s="659"/>
      <c r="L230" s="752"/>
      <c r="M230" s="752"/>
      <c r="N230" s="752"/>
      <c r="O230" s="752"/>
      <c r="P230" s="1117"/>
      <c r="Q230" s="1117"/>
      <c r="R230" s="1117"/>
      <c r="S230" s="752"/>
    </row>
    <row r="231" spans="1:19" ht="27" customHeight="1">
      <c r="A231" s="659"/>
      <c r="B231" s="1681" t="s">
        <v>3762</v>
      </c>
      <c r="C231" s="1681"/>
      <c r="D231" s="1681"/>
      <c r="E231" s="667">
        <f>SUM(E166,E195,)</f>
        <v>66.822000000000003</v>
      </c>
      <c r="F231" s="765">
        <f>H231/E231-1</f>
        <v>45.192511448325391</v>
      </c>
      <c r="G231" s="667">
        <f>SUM(G166,G195,)</f>
        <v>982.476</v>
      </c>
      <c r="H231" s="667">
        <f>SUM(H166,H167,H168,H195,H197,H202,H207,H211,)</f>
        <v>3086.6759999999995</v>
      </c>
      <c r="I231" s="667">
        <f t="shared" ref="I231:J231" si="99">SUM(I166,I167,I168,I195,I197,I202,I207,I211,)</f>
        <v>1758.2350000000001</v>
      </c>
      <c r="J231" s="667">
        <f t="shared" si="99"/>
        <v>0</v>
      </c>
      <c r="K231" s="659"/>
      <c r="L231" s="752"/>
      <c r="M231" s="752"/>
      <c r="N231" s="752"/>
      <c r="O231" s="752"/>
      <c r="P231" s="1117"/>
      <c r="Q231" s="1117"/>
      <c r="R231" s="1117"/>
      <c r="S231" s="752"/>
    </row>
    <row r="232" spans="1:19" ht="20.100000000000001" customHeight="1">
      <c r="A232" s="659"/>
      <c r="B232" s="1681" t="s">
        <v>995</v>
      </c>
      <c r="C232" s="1681"/>
      <c r="D232" s="1681"/>
      <c r="E232" s="667">
        <v>0</v>
      </c>
      <c r="F232" s="765"/>
      <c r="G232" s="667">
        <v>0</v>
      </c>
      <c r="H232" s="667">
        <v>0</v>
      </c>
      <c r="I232" s="680">
        <v>0</v>
      </c>
      <c r="J232" s="667">
        <v>0</v>
      </c>
      <c r="K232" s="659"/>
      <c r="L232" s="752"/>
      <c r="M232" s="752"/>
      <c r="N232" s="752"/>
      <c r="O232" s="752"/>
      <c r="P232" s="1117"/>
      <c r="Q232" s="1117"/>
      <c r="R232" s="1117"/>
      <c r="S232" s="752"/>
    </row>
    <row r="233" spans="1:19" ht="20.100000000000001" customHeight="1">
      <c r="A233" s="659"/>
      <c r="B233" s="1681" t="s">
        <v>996</v>
      </c>
      <c r="C233" s="1681"/>
      <c r="D233" s="1681"/>
      <c r="E233" s="667">
        <v>0</v>
      </c>
      <c r="F233" s="765"/>
      <c r="G233" s="667">
        <v>0</v>
      </c>
      <c r="H233" s="667">
        <v>0</v>
      </c>
      <c r="I233" s="680">
        <v>0</v>
      </c>
      <c r="J233" s="667">
        <v>0</v>
      </c>
      <c r="K233" s="659"/>
      <c r="L233" s="752"/>
      <c r="M233" s="752"/>
      <c r="N233" s="752"/>
      <c r="O233" s="752"/>
      <c r="P233" s="1117"/>
      <c r="Q233" s="1117"/>
      <c r="R233" s="1117"/>
      <c r="S233" s="752"/>
    </row>
    <row r="234" spans="1:19" ht="36.75" customHeight="1">
      <c r="A234" s="661"/>
      <c r="B234" s="1682" t="s">
        <v>997</v>
      </c>
      <c r="C234" s="1682"/>
      <c r="D234" s="1682"/>
      <c r="E234" s="889">
        <v>0</v>
      </c>
      <c r="F234" s="765"/>
      <c r="G234" s="889">
        <v>0</v>
      </c>
      <c r="H234" s="889">
        <f>H19</f>
        <v>0.33300000000000002</v>
      </c>
      <c r="I234" s="889">
        <f t="shared" ref="I234:J234" si="100">I19</f>
        <v>0</v>
      </c>
      <c r="J234" s="889">
        <f t="shared" si="100"/>
        <v>0</v>
      </c>
      <c r="K234" s="659"/>
      <c r="L234" s="752"/>
      <c r="M234" s="752"/>
      <c r="N234" s="752"/>
      <c r="O234" s="752"/>
      <c r="P234" s="1117"/>
      <c r="Q234" s="1117"/>
      <c r="R234" s="1117"/>
      <c r="S234" s="752"/>
    </row>
    <row r="235" spans="1:19" ht="27" customHeight="1">
      <c r="A235" s="659"/>
      <c r="B235" s="1683" t="s">
        <v>1389</v>
      </c>
      <c r="C235" s="1683"/>
      <c r="D235" s="1683"/>
      <c r="E235" s="754">
        <f>E224+E234</f>
        <v>15544.962999999998</v>
      </c>
      <c r="F235" s="765">
        <f>H235/E235-1</f>
        <v>0.35785006371517269</v>
      </c>
      <c r="G235" s="754">
        <f>G224+G234</f>
        <v>15900.336000000003</v>
      </c>
      <c r="H235" s="754">
        <f>H224+H234</f>
        <v>21107.728999999999</v>
      </c>
      <c r="I235" s="754">
        <f t="shared" ref="I235:J235" si="101">I224+I234</f>
        <v>19312.551000000003</v>
      </c>
      <c r="J235" s="754">
        <f t="shared" si="101"/>
        <v>17312.03</v>
      </c>
      <c r="K235" s="659"/>
      <c r="L235" s="752"/>
      <c r="M235" s="752"/>
      <c r="N235" s="752"/>
      <c r="O235" s="752"/>
      <c r="P235" s="1117"/>
      <c r="Q235" s="1117"/>
      <c r="R235" s="1117"/>
      <c r="S235" s="752"/>
    </row>
    <row r="236" spans="1:19" ht="20.100000000000001" customHeight="1">
      <c r="A236" s="659"/>
      <c r="B236" s="1682" t="s">
        <v>2566</v>
      </c>
      <c r="C236" s="1682"/>
      <c r="D236" s="1682"/>
      <c r="E236" s="887">
        <f>SUM(E213,E208,E203)</f>
        <v>49.277999999999999</v>
      </c>
      <c r="F236" s="765">
        <f>H236/E236-1</f>
        <v>44.279658265351685</v>
      </c>
      <c r="G236" s="887">
        <f>SUM(G213,G208,G203)</f>
        <v>2078.7110000000002</v>
      </c>
      <c r="H236" s="887">
        <f>SUM(H213,H208,H203)</f>
        <v>2231.2910000000002</v>
      </c>
      <c r="I236" s="888">
        <f>SUM(I213,I208,I203)</f>
        <v>1423.2939999999999</v>
      </c>
      <c r="J236" s="754">
        <f>SUM(J213,J208,J203)</f>
        <v>0</v>
      </c>
      <c r="K236" s="659"/>
      <c r="L236" s="752"/>
      <c r="M236" s="752"/>
      <c r="N236" s="752"/>
      <c r="O236" s="752"/>
      <c r="P236" s="1117"/>
      <c r="Q236" s="1117"/>
      <c r="R236" s="1117"/>
      <c r="S236" s="752"/>
    </row>
    <row r="237" spans="1:19" ht="36.75" customHeight="1">
      <c r="A237" s="659"/>
      <c r="B237" s="1683" t="s">
        <v>998</v>
      </c>
      <c r="C237" s="1683"/>
      <c r="D237" s="1683"/>
      <c r="E237" s="887">
        <v>0</v>
      </c>
      <c r="F237" s="765">
        <v>0</v>
      </c>
      <c r="G237" s="887">
        <v>0</v>
      </c>
      <c r="H237" s="890">
        <f>H235/E235-1</f>
        <v>0.35785006371517269</v>
      </c>
      <c r="I237" s="891">
        <f>I235/H235-1</f>
        <v>-8.5048372565328823E-2</v>
      </c>
      <c r="J237" s="758">
        <f>J235/I235-1</f>
        <v>-0.10358657434742846</v>
      </c>
      <c r="K237" s="659"/>
      <c r="L237" s="752"/>
      <c r="M237" s="752"/>
      <c r="N237" s="752"/>
      <c r="O237" s="752"/>
      <c r="P237" s="1117"/>
      <c r="Q237" s="1117"/>
      <c r="R237" s="1117"/>
      <c r="S237" s="752"/>
    </row>
    <row r="238" spans="1:19">
      <c r="E238" s="461"/>
      <c r="F238" s="461"/>
    </row>
    <row r="239" spans="1:19">
      <c r="E239" s="461"/>
      <c r="F239" s="461"/>
    </row>
    <row r="240" spans="1:19" ht="29.25" customHeight="1">
      <c r="B240" s="1833"/>
      <c r="C240" s="1833"/>
      <c r="D240" s="1833"/>
      <c r="E240" s="461"/>
      <c r="F240" s="461"/>
      <c r="G240" s="471"/>
      <c r="H240" s="468"/>
      <c r="I240" s="471"/>
      <c r="J240" s="471"/>
      <c r="L240" s="471"/>
      <c r="M240" s="471"/>
      <c r="N240" s="1833"/>
      <c r="O240" s="1833"/>
    </row>
    <row r="241" spans="16:18" s="461" customFormat="1">
      <c r="P241" s="587"/>
      <c r="Q241" s="587"/>
      <c r="R241" s="587"/>
    </row>
    <row r="242" spans="16:18" s="461" customFormat="1">
      <c r="P242" s="587"/>
      <c r="Q242" s="587"/>
      <c r="R242" s="587"/>
    </row>
    <row r="243" spans="16:18" s="461" customFormat="1">
      <c r="P243" s="587"/>
      <c r="Q243" s="587"/>
      <c r="R243" s="587"/>
    </row>
    <row r="244" spans="16:18" s="461" customFormat="1">
      <c r="P244" s="587"/>
      <c r="Q244" s="587"/>
      <c r="R244" s="587"/>
    </row>
    <row r="245" spans="16:18" s="461" customFormat="1">
      <c r="P245" s="587"/>
      <c r="Q245" s="587"/>
      <c r="R245" s="587"/>
    </row>
    <row r="246" spans="16:18" s="461" customFormat="1">
      <c r="P246" s="587"/>
      <c r="Q246" s="587"/>
      <c r="R246" s="587"/>
    </row>
    <row r="247" spans="16:18" s="461" customFormat="1">
      <c r="P247" s="587"/>
      <c r="Q247" s="587"/>
      <c r="R247" s="587"/>
    </row>
    <row r="248" spans="16:18" s="461" customFormat="1">
      <c r="P248" s="587"/>
      <c r="Q248" s="587"/>
      <c r="R248" s="587"/>
    </row>
    <row r="249" spans="16:18" s="461" customFormat="1">
      <c r="P249" s="587"/>
      <c r="Q249" s="587"/>
      <c r="R249" s="587"/>
    </row>
    <row r="250" spans="16:18" s="461" customFormat="1">
      <c r="P250" s="587"/>
      <c r="Q250" s="587"/>
      <c r="R250" s="587"/>
    </row>
    <row r="251" spans="16:18" s="461" customFormat="1">
      <c r="P251" s="587"/>
      <c r="Q251" s="587"/>
      <c r="R251" s="587"/>
    </row>
    <row r="252" spans="16:18" s="461" customFormat="1">
      <c r="P252" s="587"/>
      <c r="Q252" s="587"/>
      <c r="R252" s="587"/>
    </row>
    <row r="253" spans="16:18" s="461" customFormat="1">
      <c r="P253" s="587"/>
      <c r="Q253" s="587"/>
      <c r="R253" s="587"/>
    </row>
    <row r="254" spans="16:18" s="461" customFormat="1">
      <c r="P254" s="587"/>
      <c r="Q254" s="587"/>
      <c r="R254" s="587"/>
    </row>
    <row r="255" spans="16:18" s="461" customFormat="1">
      <c r="P255" s="587"/>
      <c r="Q255" s="587"/>
      <c r="R255" s="587"/>
    </row>
    <row r="256" spans="16:18" s="461" customFormat="1">
      <c r="P256" s="587"/>
      <c r="Q256" s="587"/>
      <c r="R256" s="587"/>
    </row>
    <row r="257" spans="16:18" s="461" customFormat="1">
      <c r="P257" s="587"/>
      <c r="Q257" s="587"/>
      <c r="R257" s="587"/>
    </row>
    <row r="258" spans="16:18" s="461" customFormat="1">
      <c r="P258" s="587"/>
      <c r="Q258" s="587"/>
      <c r="R258" s="587"/>
    </row>
    <row r="259" spans="16:18" s="461" customFormat="1">
      <c r="P259" s="587"/>
      <c r="Q259" s="587"/>
      <c r="R259" s="587"/>
    </row>
    <row r="260" spans="16:18" s="461" customFormat="1">
      <c r="P260" s="587"/>
      <c r="Q260" s="587"/>
      <c r="R260" s="587"/>
    </row>
    <row r="261" spans="16:18" s="461" customFormat="1">
      <c r="P261" s="587"/>
      <c r="Q261" s="587"/>
      <c r="R261" s="587"/>
    </row>
    <row r="262" spans="16:18" s="461" customFormat="1">
      <c r="P262" s="587"/>
      <c r="Q262" s="587"/>
      <c r="R262" s="587"/>
    </row>
    <row r="263" spans="16:18" s="461" customFormat="1">
      <c r="P263" s="587"/>
      <c r="Q263" s="587"/>
      <c r="R263" s="587"/>
    </row>
    <row r="264" spans="16:18" s="461" customFormat="1">
      <c r="P264" s="587"/>
      <c r="Q264" s="587"/>
      <c r="R264" s="587"/>
    </row>
    <row r="265" spans="16:18" s="461" customFormat="1">
      <c r="P265" s="587"/>
      <c r="Q265" s="587"/>
      <c r="R265" s="587"/>
    </row>
    <row r="266" spans="16:18" s="461" customFormat="1">
      <c r="P266" s="587"/>
      <c r="Q266" s="587"/>
      <c r="R266" s="587"/>
    </row>
    <row r="267" spans="16:18" s="461" customFormat="1">
      <c r="P267" s="587"/>
      <c r="Q267" s="587"/>
      <c r="R267" s="587"/>
    </row>
    <row r="268" spans="16:18" s="461" customFormat="1">
      <c r="P268" s="587"/>
      <c r="Q268" s="587"/>
      <c r="R268" s="587"/>
    </row>
    <row r="269" spans="16:18" s="461" customFormat="1">
      <c r="P269" s="587"/>
      <c r="Q269" s="587"/>
      <c r="R269" s="587"/>
    </row>
    <row r="270" spans="16:18" s="461" customFormat="1">
      <c r="P270" s="587"/>
      <c r="Q270" s="587"/>
      <c r="R270" s="587"/>
    </row>
    <row r="271" spans="16:18" s="461" customFormat="1">
      <c r="P271" s="587"/>
      <c r="Q271" s="587"/>
      <c r="R271" s="587"/>
    </row>
    <row r="272" spans="16:18" s="461" customFormat="1">
      <c r="P272" s="587"/>
      <c r="Q272" s="587"/>
      <c r="R272" s="587"/>
    </row>
    <row r="273" spans="16:18" s="461" customFormat="1">
      <c r="P273" s="587"/>
      <c r="Q273" s="587"/>
      <c r="R273" s="587"/>
    </row>
    <row r="274" spans="16:18" s="461" customFormat="1">
      <c r="P274" s="587"/>
      <c r="Q274" s="587"/>
      <c r="R274" s="587"/>
    </row>
    <row r="275" spans="16:18" s="461" customFormat="1">
      <c r="P275" s="587"/>
      <c r="Q275" s="587"/>
      <c r="R275" s="587"/>
    </row>
    <row r="276" spans="16:18" s="461" customFormat="1">
      <c r="P276" s="587"/>
      <c r="Q276" s="587"/>
      <c r="R276" s="587"/>
    </row>
    <row r="277" spans="16:18" s="461" customFormat="1">
      <c r="P277" s="587"/>
      <c r="Q277" s="587"/>
      <c r="R277" s="587"/>
    </row>
    <row r="278" spans="16:18" s="461" customFormat="1">
      <c r="P278" s="587"/>
      <c r="Q278" s="587"/>
      <c r="R278" s="587"/>
    </row>
    <row r="279" spans="16:18" s="461" customFormat="1">
      <c r="P279" s="587"/>
      <c r="Q279" s="587"/>
      <c r="R279" s="587"/>
    </row>
    <row r="280" spans="16:18" s="461" customFormat="1">
      <c r="P280" s="587"/>
      <c r="Q280" s="587"/>
      <c r="R280" s="587"/>
    </row>
    <row r="281" spans="16:18" s="461" customFormat="1">
      <c r="P281" s="587"/>
      <c r="Q281" s="587"/>
      <c r="R281" s="587"/>
    </row>
    <row r="282" spans="16:18" s="461" customFormat="1">
      <c r="P282" s="587"/>
      <c r="Q282" s="587"/>
      <c r="R282" s="587"/>
    </row>
    <row r="283" spans="16:18" s="461" customFormat="1">
      <c r="P283" s="587"/>
      <c r="Q283" s="587"/>
      <c r="R283" s="587"/>
    </row>
    <row r="284" spans="16:18" s="461" customFormat="1">
      <c r="P284" s="587"/>
      <c r="Q284" s="587"/>
      <c r="R284" s="587"/>
    </row>
    <row r="285" spans="16:18" s="461" customFormat="1">
      <c r="P285" s="587"/>
      <c r="Q285" s="587"/>
      <c r="R285" s="587"/>
    </row>
    <row r="286" spans="16:18" s="461" customFormat="1">
      <c r="P286" s="587"/>
      <c r="Q286" s="587"/>
      <c r="R286" s="587"/>
    </row>
    <row r="287" spans="16:18" s="461" customFormat="1">
      <c r="P287" s="587"/>
      <c r="Q287" s="587"/>
      <c r="R287" s="587"/>
    </row>
    <row r="288" spans="16:18" s="461" customFormat="1">
      <c r="P288" s="587"/>
      <c r="Q288" s="587"/>
      <c r="R288" s="587"/>
    </row>
    <row r="289" spans="16:18" s="461" customFormat="1">
      <c r="P289" s="587"/>
      <c r="Q289" s="587"/>
      <c r="R289" s="587"/>
    </row>
    <row r="290" spans="16:18" s="461" customFormat="1">
      <c r="P290" s="587"/>
      <c r="Q290" s="587"/>
      <c r="R290" s="587"/>
    </row>
    <row r="291" spans="16:18" s="461" customFormat="1">
      <c r="P291" s="587"/>
      <c r="Q291" s="587"/>
      <c r="R291" s="587"/>
    </row>
    <row r="292" spans="16:18" s="461" customFormat="1">
      <c r="P292" s="587"/>
      <c r="Q292" s="587"/>
      <c r="R292" s="587"/>
    </row>
    <row r="293" spans="16:18" s="461" customFormat="1">
      <c r="P293" s="587"/>
      <c r="Q293" s="587"/>
      <c r="R293" s="587"/>
    </row>
    <row r="294" spans="16:18" s="461" customFormat="1">
      <c r="P294" s="587"/>
      <c r="Q294" s="587"/>
      <c r="R294" s="587"/>
    </row>
    <row r="295" spans="16:18" s="461" customFormat="1">
      <c r="P295" s="587"/>
      <c r="Q295" s="587"/>
      <c r="R295" s="587"/>
    </row>
    <row r="296" spans="16:18" s="461" customFormat="1">
      <c r="P296" s="587"/>
      <c r="Q296" s="587"/>
      <c r="R296" s="587"/>
    </row>
    <row r="297" spans="16:18" s="461" customFormat="1">
      <c r="P297" s="587"/>
      <c r="Q297" s="587"/>
      <c r="R297" s="587"/>
    </row>
    <row r="298" spans="16:18" s="461" customFormat="1">
      <c r="P298" s="587"/>
      <c r="Q298" s="587"/>
      <c r="R298" s="587"/>
    </row>
    <row r="299" spans="16:18" s="461" customFormat="1">
      <c r="P299" s="587"/>
      <c r="Q299" s="587"/>
      <c r="R299" s="587"/>
    </row>
    <row r="300" spans="16:18" s="461" customFormat="1">
      <c r="P300" s="587"/>
      <c r="Q300" s="587"/>
      <c r="R300" s="587"/>
    </row>
    <row r="301" spans="16:18" s="461" customFormat="1">
      <c r="P301" s="587"/>
      <c r="Q301" s="587"/>
      <c r="R301" s="587"/>
    </row>
    <row r="302" spans="16:18" s="461" customFormat="1">
      <c r="P302" s="587"/>
      <c r="Q302" s="587"/>
      <c r="R302" s="587"/>
    </row>
    <row r="303" spans="16:18" s="461" customFormat="1">
      <c r="P303" s="587"/>
      <c r="Q303" s="587"/>
      <c r="R303" s="587"/>
    </row>
    <row r="304" spans="16:18" s="461" customFormat="1">
      <c r="P304" s="587"/>
      <c r="Q304" s="587"/>
      <c r="R304" s="587"/>
    </row>
    <row r="305" spans="16:18" s="461" customFormat="1">
      <c r="P305" s="587"/>
      <c r="Q305" s="587"/>
      <c r="R305" s="587"/>
    </row>
    <row r="306" spans="16:18" s="461" customFormat="1">
      <c r="P306" s="587"/>
      <c r="Q306" s="587"/>
      <c r="R306" s="587"/>
    </row>
    <row r="307" spans="16:18" s="461" customFormat="1">
      <c r="P307" s="587"/>
      <c r="Q307" s="587"/>
      <c r="R307" s="587"/>
    </row>
    <row r="308" spans="16:18" s="461" customFormat="1">
      <c r="P308" s="587"/>
      <c r="Q308" s="587"/>
      <c r="R308" s="587"/>
    </row>
    <row r="309" spans="16:18" s="461" customFormat="1">
      <c r="P309" s="587"/>
      <c r="Q309" s="587"/>
      <c r="R309" s="587"/>
    </row>
    <row r="310" spans="16:18" s="461" customFormat="1">
      <c r="P310" s="587"/>
      <c r="Q310" s="587"/>
      <c r="R310" s="587"/>
    </row>
    <row r="311" spans="16:18" s="461" customFormat="1">
      <c r="P311" s="587"/>
      <c r="Q311" s="587"/>
      <c r="R311" s="587"/>
    </row>
    <row r="312" spans="16:18" s="461" customFormat="1">
      <c r="P312" s="587"/>
      <c r="Q312" s="587"/>
      <c r="R312" s="587"/>
    </row>
    <row r="313" spans="16:18" s="461" customFormat="1">
      <c r="P313" s="587"/>
      <c r="Q313" s="587"/>
      <c r="R313" s="587"/>
    </row>
    <row r="314" spans="16:18" s="461" customFormat="1">
      <c r="P314" s="587"/>
      <c r="Q314" s="587"/>
      <c r="R314" s="587"/>
    </row>
    <row r="315" spans="16:18" s="461" customFormat="1">
      <c r="P315" s="587"/>
      <c r="Q315" s="587"/>
      <c r="R315" s="587"/>
    </row>
    <row r="316" spans="16:18" s="461" customFormat="1">
      <c r="P316" s="587"/>
      <c r="Q316" s="587"/>
      <c r="R316" s="587"/>
    </row>
    <row r="317" spans="16:18" s="461" customFormat="1">
      <c r="P317" s="587"/>
      <c r="Q317" s="587"/>
      <c r="R317" s="587"/>
    </row>
    <row r="318" spans="16:18" s="461" customFormat="1">
      <c r="P318" s="587"/>
      <c r="Q318" s="587"/>
      <c r="R318" s="587"/>
    </row>
    <row r="319" spans="16:18" s="461" customFormat="1">
      <c r="P319" s="587"/>
      <c r="Q319" s="587"/>
      <c r="R319" s="587"/>
    </row>
    <row r="320" spans="16:18" s="461" customFormat="1">
      <c r="P320" s="587"/>
      <c r="Q320" s="587"/>
      <c r="R320" s="587"/>
    </row>
    <row r="321" spans="16:18" s="461" customFormat="1">
      <c r="P321" s="587"/>
      <c r="Q321" s="587"/>
      <c r="R321" s="587"/>
    </row>
    <row r="322" spans="16:18" s="461" customFormat="1">
      <c r="P322" s="587"/>
      <c r="Q322" s="587"/>
      <c r="R322" s="587"/>
    </row>
    <row r="323" spans="16:18" s="461" customFormat="1">
      <c r="P323" s="587"/>
      <c r="Q323" s="587"/>
      <c r="R323" s="587"/>
    </row>
    <row r="324" spans="16:18" s="461" customFormat="1">
      <c r="P324" s="587"/>
      <c r="Q324" s="587"/>
      <c r="R324" s="587"/>
    </row>
    <row r="325" spans="16:18" s="461" customFormat="1">
      <c r="P325" s="587"/>
      <c r="Q325" s="587"/>
      <c r="R325" s="587"/>
    </row>
    <row r="326" spans="16:18" s="461" customFormat="1">
      <c r="P326" s="587"/>
      <c r="Q326" s="587"/>
      <c r="R326" s="587"/>
    </row>
    <row r="327" spans="16:18" s="461" customFormat="1">
      <c r="P327" s="587"/>
      <c r="Q327" s="587"/>
      <c r="R327" s="587"/>
    </row>
    <row r="328" spans="16:18" s="461" customFormat="1">
      <c r="P328" s="587"/>
      <c r="Q328" s="587"/>
      <c r="R328" s="587"/>
    </row>
    <row r="329" spans="16:18" s="461" customFormat="1">
      <c r="P329" s="587"/>
      <c r="Q329" s="587"/>
      <c r="R329" s="587"/>
    </row>
    <row r="330" spans="16:18" s="461" customFormat="1">
      <c r="P330" s="587"/>
      <c r="Q330" s="587"/>
      <c r="R330" s="587"/>
    </row>
    <row r="331" spans="16:18" s="461" customFormat="1">
      <c r="P331" s="587"/>
      <c r="Q331" s="587"/>
      <c r="R331" s="587"/>
    </row>
    <row r="332" spans="16:18" s="461" customFormat="1">
      <c r="P332" s="587"/>
      <c r="Q332" s="587"/>
      <c r="R332" s="587"/>
    </row>
    <row r="333" spans="16:18" s="461" customFormat="1">
      <c r="P333" s="587"/>
      <c r="Q333" s="587"/>
      <c r="R333" s="587"/>
    </row>
    <row r="334" spans="16:18" s="461" customFormat="1">
      <c r="P334" s="587"/>
      <c r="Q334" s="587"/>
      <c r="R334" s="587"/>
    </row>
    <row r="335" spans="16:18" s="461" customFormat="1">
      <c r="P335" s="587"/>
      <c r="Q335" s="587"/>
      <c r="R335" s="587"/>
    </row>
    <row r="336" spans="16:18" s="461" customFormat="1">
      <c r="P336" s="587"/>
      <c r="Q336" s="587"/>
      <c r="R336" s="587"/>
    </row>
    <row r="337" spans="16:18" s="461" customFormat="1">
      <c r="P337" s="587"/>
      <c r="Q337" s="587"/>
      <c r="R337" s="587"/>
    </row>
    <row r="338" spans="16:18" s="461" customFormat="1">
      <c r="P338" s="587"/>
      <c r="Q338" s="587"/>
      <c r="R338" s="587"/>
    </row>
    <row r="339" spans="16:18" s="461" customFormat="1">
      <c r="P339" s="587"/>
      <c r="Q339" s="587"/>
      <c r="R339" s="587"/>
    </row>
    <row r="340" spans="16:18" s="461" customFormat="1">
      <c r="P340" s="587"/>
      <c r="Q340" s="587"/>
      <c r="R340" s="587"/>
    </row>
    <row r="341" spans="16:18" s="461" customFormat="1">
      <c r="P341" s="587"/>
      <c r="Q341" s="587"/>
      <c r="R341" s="587"/>
    </row>
    <row r="342" spans="16:18" s="461" customFormat="1">
      <c r="P342" s="587"/>
      <c r="Q342" s="587"/>
      <c r="R342" s="587"/>
    </row>
    <row r="343" spans="16:18" s="461" customFormat="1">
      <c r="P343" s="587"/>
      <c r="Q343" s="587"/>
      <c r="R343" s="587"/>
    </row>
    <row r="344" spans="16:18" s="461" customFormat="1">
      <c r="P344" s="587"/>
      <c r="Q344" s="587"/>
      <c r="R344" s="587"/>
    </row>
    <row r="345" spans="16:18" s="461" customFormat="1">
      <c r="P345" s="587"/>
      <c r="Q345" s="587"/>
      <c r="R345" s="587"/>
    </row>
    <row r="346" spans="16:18" s="461" customFormat="1">
      <c r="P346" s="587"/>
      <c r="Q346" s="587"/>
      <c r="R346" s="587"/>
    </row>
    <row r="347" spans="16:18" s="461" customFormat="1">
      <c r="P347" s="587"/>
      <c r="Q347" s="587"/>
      <c r="R347" s="587"/>
    </row>
    <row r="348" spans="16:18" s="461" customFormat="1">
      <c r="P348" s="587"/>
      <c r="Q348" s="587"/>
      <c r="R348" s="587"/>
    </row>
    <row r="349" spans="16:18" s="461" customFormat="1">
      <c r="P349" s="587"/>
      <c r="Q349" s="587"/>
      <c r="R349" s="587"/>
    </row>
    <row r="350" spans="16:18" s="461" customFormat="1">
      <c r="P350" s="587"/>
      <c r="Q350" s="587"/>
      <c r="R350" s="587"/>
    </row>
    <row r="351" spans="16:18" s="461" customFormat="1">
      <c r="P351" s="587"/>
      <c r="Q351" s="587"/>
      <c r="R351" s="587"/>
    </row>
    <row r="352" spans="16:18" s="461" customFormat="1">
      <c r="P352" s="587"/>
      <c r="Q352" s="587"/>
      <c r="R352" s="587"/>
    </row>
    <row r="353" spans="16:18" s="461" customFormat="1">
      <c r="P353" s="587"/>
      <c r="Q353" s="587"/>
      <c r="R353" s="587"/>
    </row>
    <row r="354" spans="16:18" s="461" customFormat="1">
      <c r="P354" s="587"/>
      <c r="Q354" s="587"/>
      <c r="R354" s="587"/>
    </row>
    <row r="355" spans="16:18" s="461" customFormat="1">
      <c r="P355" s="587"/>
      <c r="Q355" s="587"/>
      <c r="R355" s="587"/>
    </row>
    <row r="356" spans="16:18" s="461" customFormat="1">
      <c r="P356" s="587"/>
      <c r="Q356" s="587"/>
      <c r="R356" s="587"/>
    </row>
    <row r="357" spans="16:18" s="461" customFormat="1">
      <c r="P357" s="587"/>
      <c r="Q357" s="587"/>
      <c r="R357" s="587"/>
    </row>
    <row r="358" spans="16:18" s="461" customFormat="1">
      <c r="P358" s="587"/>
      <c r="Q358" s="587"/>
      <c r="R358" s="587"/>
    </row>
    <row r="359" spans="16:18" s="461" customFormat="1">
      <c r="P359" s="587"/>
      <c r="Q359" s="587"/>
      <c r="R359" s="587"/>
    </row>
    <row r="360" spans="16:18" s="461" customFormat="1">
      <c r="P360" s="587"/>
      <c r="Q360" s="587"/>
      <c r="R360" s="587"/>
    </row>
    <row r="361" spans="16:18" s="461" customFormat="1">
      <c r="P361" s="587"/>
      <c r="Q361" s="587"/>
      <c r="R361" s="587"/>
    </row>
    <row r="362" spans="16:18" s="461" customFormat="1">
      <c r="P362" s="587"/>
      <c r="Q362" s="587"/>
      <c r="R362" s="587"/>
    </row>
    <row r="363" spans="16:18" s="461" customFormat="1">
      <c r="P363" s="587"/>
      <c r="Q363" s="587"/>
      <c r="R363" s="587"/>
    </row>
    <row r="364" spans="16:18" s="461" customFormat="1">
      <c r="P364" s="587"/>
      <c r="Q364" s="587"/>
      <c r="R364" s="587"/>
    </row>
    <row r="365" spans="16:18" s="461" customFormat="1">
      <c r="P365" s="587"/>
      <c r="Q365" s="587"/>
      <c r="R365" s="587"/>
    </row>
    <row r="366" spans="16:18" s="461" customFormat="1">
      <c r="P366" s="587"/>
      <c r="Q366" s="587"/>
      <c r="R366" s="587"/>
    </row>
    <row r="367" spans="16:18" s="461" customFormat="1">
      <c r="P367" s="587"/>
      <c r="Q367" s="587"/>
      <c r="R367" s="587"/>
    </row>
    <row r="368" spans="16:18" s="461" customFormat="1">
      <c r="P368" s="587"/>
      <c r="Q368" s="587"/>
      <c r="R368" s="587"/>
    </row>
    <row r="369" spans="16:18" s="461" customFormat="1">
      <c r="P369" s="587"/>
      <c r="Q369" s="587"/>
      <c r="R369" s="587"/>
    </row>
    <row r="370" spans="16:18" s="461" customFormat="1">
      <c r="P370" s="587"/>
      <c r="Q370" s="587"/>
      <c r="R370" s="587"/>
    </row>
    <row r="371" spans="16:18" s="461" customFormat="1">
      <c r="P371" s="587"/>
      <c r="Q371" s="587"/>
      <c r="R371" s="587"/>
    </row>
    <row r="372" spans="16:18" s="461" customFormat="1">
      <c r="P372" s="587"/>
      <c r="Q372" s="587"/>
      <c r="R372" s="587"/>
    </row>
    <row r="373" spans="16:18" s="461" customFormat="1">
      <c r="P373" s="587"/>
      <c r="Q373" s="587"/>
      <c r="R373" s="587"/>
    </row>
    <row r="374" spans="16:18" s="461" customFormat="1">
      <c r="P374" s="587"/>
      <c r="Q374" s="587"/>
      <c r="R374" s="587"/>
    </row>
    <row r="375" spans="16:18" s="461" customFormat="1">
      <c r="P375" s="587"/>
      <c r="Q375" s="587"/>
      <c r="R375" s="587"/>
    </row>
    <row r="376" spans="16:18" s="461" customFormat="1">
      <c r="P376" s="587"/>
      <c r="Q376" s="587"/>
      <c r="R376" s="587"/>
    </row>
    <row r="377" spans="16:18" s="461" customFormat="1">
      <c r="P377" s="587"/>
      <c r="Q377" s="587"/>
      <c r="R377" s="587"/>
    </row>
    <row r="378" spans="16:18" s="461" customFormat="1">
      <c r="P378" s="587"/>
      <c r="Q378" s="587"/>
      <c r="R378" s="587"/>
    </row>
    <row r="379" spans="16:18" s="461" customFormat="1">
      <c r="P379" s="587"/>
      <c r="Q379" s="587"/>
      <c r="R379" s="587"/>
    </row>
    <row r="380" spans="16:18" s="461" customFormat="1">
      <c r="P380" s="587"/>
      <c r="Q380" s="587"/>
      <c r="R380" s="587"/>
    </row>
    <row r="381" spans="16:18" s="461" customFormat="1">
      <c r="P381" s="587"/>
      <c r="Q381" s="587"/>
      <c r="R381" s="587"/>
    </row>
    <row r="382" spans="16:18" s="461" customFormat="1">
      <c r="P382" s="587"/>
      <c r="Q382" s="587"/>
      <c r="R382" s="587"/>
    </row>
    <row r="383" spans="16:18" s="461" customFormat="1">
      <c r="P383" s="587"/>
      <c r="Q383" s="587"/>
      <c r="R383" s="587"/>
    </row>
    <row r="384" spans="16:18" s="461" customFormat="1">
      <c r="P384" s="587"/>
      <c r="Q384" s="587"/>
      <c r="R384" s="587"/>
    </row>
    <row r="385" spans="16:18" s="461" customFormat="1">
      <c r="P385" s="587"/>
      <c r="Q385" s="587"/>
      <c r="R385" s="587"/>
    </row>
    <row r="386" spans="16:18" s="461" customFormat="1">
      <c r="P386" s="587"/>
      <c r="Q386" s="587"/>
      <c r="R386" s="587"/>
    </row>
    <row r="387" spans="16:18" s="461" customFormat="1">
      <c r="P387" s="587"/>
      <c r="Q387" s="587"/>
      <c r="R387" s="587"/>
    </row>
    <row r="388" spans="16:18" s="461" customFormat="1">
      <c r="P388" s="587"/>
      <c r="Q388" s="587"/>
      <c r="R388" s="587"/>
    </row>
    <row r="389" spans="16:18" s="461" customFormat="1">
      <c r="P389" s="587"/>
      <c r="Q389" s="587"/>
      <c r="R389" s="587"/>
    </row>
    <row r="390" spans="16:18" s="461" customFormat="1">
      <c r="P390" s="587"/>
      <c r="Q390" s="587"/>
      <c r="R390" s="587"/>
    </row>
    <row r="391" spans="16:18" s="461" customFormat="1">
      <c r="P391" s="587"/>
      <c r="Q391" s="587"/>
      <c r="R391" s="587"/>
    </row>
    <row r="392" spans="16:18" s="461" customFormat="1">
      <c r="P392" s="587"/>
      <c r="Q392" s="587"/>
      <c r="R392" s="587"/>
    </row>
    <row r="393" spans="16:18" s="461" customFormat="1">
      <c r="P393" s="587"/>
      <c r="Q393" s="587"/>
      <c r="R393" s="587"/>
    </row>
    <row r="394" spans="16:18" s="461" customFormat="1">
      <c r="P394" s="587"/>
      <c r="Q394" s="587"/>
      <c r="R394" s="587"/>
    </row>
    <row r="395" spans="16:18" s="461" customFormat="1">
      <c r="P395" s="587"/>
      <c r="Q395" s="587"/>
      <c r="R395" s="587"/>
    </row>
    <row r="396" spans="16:18" s="461" customFormat="1">
      <c r="P396" s="587"/>
      <c r="Q396" s="587"/>
      <c r="R396" s="587"/>
    </row>
    <row r="397" spans="16:18" s="461" customFormat="1">
      <c r="P397" s="587"/>
      <c r="Q397" s="587"/>
      <c r="R397" s="587"/>
    </row>
    <row r="398" spans="16:18" s="461" customFormat="1">
      <c r="P398" s="587"/>
      <c r="Q398" s="587"/>
      <c r="R398" s="587"/>
    </row>
    <row r="399" spans="16:18" s="461" customFormat="1">
      <c r="P399" s="587"/>
      <c r="Q399" s="587"/>
      <c r="R399" s="587"/>
    </row>
    <row r="400" spans="16:18" s="461" customFormat="1">
      <c r="P400" s="587"/>
      <c r="Q400" s="587"/>
      <c r="R400" s="587"/>
    </row>
    <row r="401" spans="16:18" s="461" customFormat="1">
      <c r="P401" s="587"/>
      <c r="Q401" s="587"/>
      <c r="R401" s="587"/>
    </row>
    <row r="402" spans="16:18" s="461" customFormat="1">
      <c r="P402" s="587"/>
      <c r="Q402" s="587"/>
      <c r="R402" s="587"/>
    </row>
    <row r="403" spans="16:18" s="461" customFormat="1">
      <c r="P403" s="587"/>
      <c r="Q403" s="587"/>
      <c r="R403" s="587"/>
    </row>
    <row r="404" spans="16:18" s="461" customFormat="1">
      <c r="P404" s="587"/>
      <c r="Q404" s="587"/>
      <c r="R404" s="587"/>
    </row>
    <row r="405" spans="16:18" s="461" customFormat="1">
      <c r="P405" s="587"/>
      <c r="Q405" s="587"/>
      <c r="R405" s="587"/>
    </row>
    <row r="406" spans="16:18" s="461" customFormat="1">
      <c r="P406" s="587"/>
      <c r="Q406" s="587"/>
      <c r="R406" s="587"/>
    </row>
    <row r="407" spans="16:18" s="461" customFormat="1">
      <c r="P407" s="587"/>
      <c r="Q407" s="587"/>
      <c r="R407" s="587"/>
    </row>
    <row r="408" spans="16:18" s="461" customFormat="1">
      <c r="P408" s="587"/>
      <c r="Q408" s="587"/>
      <c r="R408" s="587"/>
    </row>
    <row r="409" spans="16:18" s="461" customFormat="1">
      <c r="P409" s="587"/>
      <c r="Q409" s="587"/>
      <c r="R409" s="587"/>
    </row>
    <row r="410" spans="16:18" s="461" customFormat="1">
      <c r="P410" s="587"/>
      <c r="Q410" s="587"/>
      <c r="R410" s="587"/>
    </row>
    <row r="411" spans="16:18" s="461" customFormat="1">
      <c r="P411" s="587"/>
      <c r="Q411" s="587"/>
      <c r="R411" s="587"/>
    </row>
    <row r="412" spans="16:18" s="461" customFormat="1">
      <c r="P412" s="587"/>
      <c r="Q412" s="587"/>
      <c r="R412" s="587"/>
    </row>
    <row r="413" spans="16:18" s="461" customFormat="1">
      <c r="P413" s="587"/>
      <c r="Q413" s="587"/>
      <c r="R413" s="587"/>
    </row>
    <row r="414" spans="16:18" s="461" customFormat="1">
      <c r="P414" s="587"/>
      <c r="Q414" s="587"/>
      <c r="R414" s="587"/>
    </row>
    <row r="415" spans="16:18" s="461" customFormat="1">
      <c r="P415" s="587"/>
      <c r="Q415" s="587"/>
      <c r="R415" s="587"/>
    </row>
    <row r="416" spans="16:18" s="461" customFormat="1">
      <c r="P416" s="587"/>
      <c r="Q416" s="587"/>
      <c r="R416" s="587"/>
    </row>
    <row r="417" spans="16:18" s="461" customFormat="1">
      <c r="P417" s="587"/>
      <c r="Q417" s="587"/>
      <c r="R417" s="587"/>
    </row>
    <row r="418" spans="16:18" s="461" customFormat="1">
      <c r="P418" s="587"/>
      <c r="Q418" s="587"/>
      <c r="R418" s="587"/>
    </row>
    <row r="419" spans="16:18" s="461" customFormat="1">
      <c r="P419" s="587"/>
      <c r="Q419" s="587"/>
      <c r="R419" s="587"/>
    </row>
    <row r="420" spans="16:18" s="461" customFormat="1">
      <c r="P420" s="587"/>
      <c r="Q420" s="587"/>
      <c r="R420" s="587"/>
    </row>
    <row r="421" spans="16:18" s="461" customFormat="1">
      <c r="P421" s="587"/>
      <c r="Q421" s="587"/>
      <c r="R421" s="587"/>
    </row>
    <row r="422" spans="16:18" s="461" customFormat="1">
      <c r="P422" s="587"/>
      <c r="Q422" s="587"/>
      <c r="R422" s="587"/>
    </row>
    <row r="423" spans="16:18" s="461" customFormat="1">
      <c r="P423" s="587"/>
      <c r="Q423" s="587"/>
      <c r="R423" s="587"/>
    </row>
    <row r="424" spans="16:18" s="461" customFormat="1">
      <c r="P424" s="587"/>
      <c r="Q424" s="587"/>
      <c r="R424" s="587"/>
    </row>
    <row r="425" spans="16:18" s="461" customFormat="1">
      <c r="P425" s="587"/>
      <c r="Q425" s="587"/>
      <c r="R425" s="587"/>
    </row>
    <row r="426" spans="16:18" s="461" customFormat="1">
      <c r="P426" s="587"/>
      <c r="Q426" s="587"/>
      <c r="R426" s="587"/>
    </row>
    <row r="427" spans="16:18" s="461" customFormat="1">
      <c r="P427" s="587"/>
      <c r="Q427" s="587"/>
      <c r="R427" s="587"/>
    </row>
    <row r="428" spans="16:18" s="461" customFormat="1">
      <c r="P428" s="587"/>
      <c r="Q428" s="587"/>
      <c r="R428" s="587"/>
    </row>
    <row r="429" spans="16:18" s="461" customFormat="1">
      <c r="P429" s="587"/>
      <c r="Q429" s="587"/>
      <c r="R429" s="587"/>
    </row>
    <row r="430" spans="16:18" s="461" customFormat="1">
      <c r="P430" s="587"/>
      <c r="Q430" s="587"/>
      <c r="R430" s="587"/>
    </row>
    <row r="431" spans="16:18" s="461" customFormat="1">
      <c r="P431" s="587"/>
      <c r="Q431" s="587"/>
      <c r="R431" s="587"/>
    </row>
    <row r="432" spans="16:18" s="461" customFormat="1">
      <c r="P432" s="587"/>
      <c r="Q432" s="587"/>
      <c r="R432" s="587"/>
    </row>
    <row r="433" spans="16:18" s="461" customFormat="1">
      <c r="P433" s="587"/>
      <c r="Q433" s="587"/>
      <c r="R433" s="587"/>
    </row>
    <row r="434" spans="16:18" s="461" customFormat="1">
      <c r="P434" s="587"/>
      <c r="Q434" s="587"/>
      <c r="R434" s="587"/>
    </row>
    <row r="435" spans="16:18" s="461" customFormat="1">
      <c r="P435" s="587"/>
      <c r="Q435" s="587"/>
      <c r="R435" s="587"/>
    </row>
    <row r="436" spans="16:18" s="461" customFormat="1">
      <c r="P436" s="587"/>
      <c r="Q436" s="587"/>
      <c r="R436" s="587"/>
    </row>
    <row r="437" spans="16:18" s="461" customFormat="1">
      <c r="P437" s="587"/>
      <c r="Q437" s="587"/>
      <c r="R437" s="587"/>
    </row>
    <row r="438" spans="16:18" s="461" customFormat="1">
      <c r="P438" s="587"/>
      <c r="Q438" s="587"/>
      <c r="R438" s="587"/>
    </row>
    <row r="439" spans="16:18" s="461" customFormat="1">
      <c r="P439" s="587"/>
      <c r="Q439" s="587"/>
      <c r="R439" s="587"/>
    </row>
    <row r="440" spans="16:18" s="461" customFormat="1">
      <c r="P440" s="587"/>
      <c r="Q440" s="587"/>
      <c r="R440" s="587"/>
    </row>
    <row r="441" spans="16:18" s="461" customFormat="1">
      <c r="P441" s="587"/>
      <c r="Q441" s="587"/>
      <c r="R441" s="587"/>
    </row>
    <row r="442" spans="16:18" s="461" customFormat="1">
      <c r="P442" s="587"/>
      <c r="Q442" s="587"/>
      <c r="R442" s="587"/>
    </row>
    <row r="443" spans="16:18" s="461" customFormat="1">
      <c r="P443" s="587"/>
      <c r="Q443" s="587"/>
      <c r="R443" s="587"/>
    </row>
    <row r="444" spans="16:18" s="461" customFormat="1">
      <c r="P444" s="587"/>
      <c r="Q444" s="587"/>
      <c r="R444" s="587"/>
    </row>
    <row r="445" spans="16:18" s="461" customFormat="1">
      <c r="P445" s="587"/>
      <c r="Q445" s="587"/>
      <c r="R445" s="587"/>
    </row>
    <row r="446" spans="16:18" s="461" customFormat="1">
      <c r="P446" s="587"/>
      <c r="Q446" s="587"/>
      <c r="R446" s="587"/>
    </row>
    <row r="447" spans="16:18" s="461" customFormat="1">
      <c r="P447" s="587"/>
      <c r="Q447" s="587"/>
      <c r="R447" s="587"/>
    </row>
    <row r="448" spans="16:18" s="461" customFormat="1">
      <c r="P448" s="587"/>
      <c r="Q448" s="587"/>
      <c r="R448" s="587"/>
    </row>
    <row r="449" spans="16:18" s="461" customFormat="1">
      <c r="P449" s="587"/>
      <c r="Q449" s="587"/>
      <c r="R449" s="587"/>
    </row>
    <row r="450" spans="16:18" s="461" customFormat="1">
      <c r="P450" s="587"/>
      <c r="Q450" s="587"/>
      <c r="R450" s="587"/>
    </row>
    <row r="451" spans="16:18" s="461" customFormat="1">
      <c r="P451" s="587"/>
      <c r="Q451" s="587"/>
      <c r="R451" s="587"/>
    </row>
    <row r="452" spans="16:18" s="461" customFormat="1">
      <c r="P452" s="587"/>
      <c r="Q452" s="587"/>
      <c r="R452" s="587"/>
    </row>
    <row r="453" spans="16:18" s="461" customFormat="1">
      <c r="P453" s="587"/>
      <c r="Q453" s="587"/>
      <c r="R453" s="587"/>
    </row>
    <row r="454" spans="16:18" s="461" customFormat="1">
      <c r="P454" s="587"/>
      <c r="Q454" s="587"/>
      <c r="R454" s="587"/>
    </row>
    <row r="455" spans="16:18" s="461" customFormat="1">
      <c r="P455" s="587"/>
      <c r="Q455" s="587"/>
      <c r="R455" s="587"/>
    </row>
    <row r="456" spans="16:18" s="461" customFormat="1">
      <c r="P456" s="587"/>
      <c r="Q456" s="587"/>
      <c r="R456" s="587"/>
    </row>
    <row r="457" spans="16:18" s="461" customFormat="1">
      <c r="P457" s="587"/>
      <c r="Q457" s="587"/>
      <c r="R457" s="587"/>
    </row>
    <row r="458" spans="16:18" s="461" customFormat="1">
      <c r="P458" s="587"/>
      <c r="Q458" s="587"/>
      <c r="R458" s="587"/>
    </row>
    <row r="459" spans="16:18" s="461" customFormat="1">
      <c r="P459" s="587"/>
      <c r="Q459" s="587"/>
      <c r="R459" s="587"/>
    </row>
    <row r="460" spans="16:18" s="461" customFormat="1">
      <c r="P460" s="587"/>
      <c r="Q460" s="587"/>
      <c r="R460" s="587"/>
    </row>
    <row r="461" spans="16:18" s="461" customFormat="1">
      <c r="P461" s="587"/>
      <c r="Q461" s="587"/>
      <c r="R461" s="587"/>
    </row>
    <row r="462" spans="16:18" s="461" customFormat="1">
      <c r="P462" s="587"/>
      <c r="Q462" s="587"/>
      <c r="R462" s="587"/>
    </row>
    <row r="463" spans="16:18" s="461" customFormat="1">
      <c r="P463" s="587"/>
      <c r="Q463" s="587"/>
      <c r="R463" s="587"/>
    </row>
    <row r="464" spans="16:18" s="461" customFormat="1">
      <c r="P464" s="587"/>
      <c r="Q464" s="587"/>
      <c r="R464" s="587"/>
    </row>
    <row r="465" spans="16:18" s="461" customFormat="1">
      <c r="P465" s="587"/>
      <c r="Q465" s="587"/>
      <c r="R465" s="587"/>
    </row>
    <row r="466" spans="16:18" s="461" customFormat="1">
      <c r="P466" s="587"/>
      <c r="Q466" s="587"/>
      <c r="R466" s="587"/>
    </row>
    <row r="467" spans="16:18" s="461" customFormat="1">
      <c r="P467" s="587"/>
      <c r="Q467" s="587"/>
      <c r="R467" s="587"/>
    </row>
    <row r="468" spans="16:18" s="461" customFormat="1">
      <c r="P468" s="587"/>
      <c r="Q468" s="587"/>
      <c r="R468" s="587"/>
    </row>
    <row r="469" spans="16:18" s="461" customFormat="1">
      <c r="P469" s="587"/>
      <c r="Q469" s="587"/>
      <c r="R469" s="587"/>
    </row>
    <row r="470" spans="16:18" s="461" customFormat="1">
      <c r="P470" s="587"/>
      <c r="Q470" s="587"/>
      <c r="R470" s="587"/>
    </row>
    <row r="471" spans="16:18" s="461" customFormat="1">
      <c r="P471" s="587"/>
      <c r="Q471" s="587"/>
      <c r="R471" s="587"/>
    </row>
    <row r="472" spans="16:18" s="461" customFormat="1">
      <c r="P472" s="587"/>
      <c r="Q472" s="587"/>
      <c r="R472" s="587"/>
    </row>
    <row r="473" spans="16:18" s="461" customFormat="1">
      <c r="P473" s="587"/>
      <c r="Q473" s="587"/>
      <c r="R473" s="587"/>
    </row>
    <row r="474" spans="16:18" s="461" customFormat="1">
      <c r="P474" s="587"/>
      <c r="Q474" s="587"/>
      <c r="R474" s="587"/>
    </row>
    <row r="475" spans="16:18" s="461" customFormat="1">
      <c r="P475" s="587"/>
      <c r="Q475" s="587"/>
      <c r="R475" s="587"/>
    </row>
    <row r="476" spans="16:18" s="461" customFormat="1">
      <c r="P476" s="587"/>
      <c r="Q476" s="587"/>
      <c r="R476" s="587"/>
    </row>
    <row r="477" spans="16:18" s="461" customFormat="1">
      <c r="P477" s="587"/>
      <c r="Q477" s="587"/>
      <c r="R477" s="587"/>
    </row>
    <row r="478" spans="16:18" s="461" customFormat="1">
      <c r="P478" s="587"/>
      <c r="Q478" s="587"/>
      <c r="R478" s="587"/>
    </row>
    <row r="479" spans="16:18" s="461" customFormat="1">
      <c r="P479" s="587"/>
      <c r="Q479" s="587"/>
      <c r="R479" s="587"/>
    </row>
    <row r="480" spans="16:18" s="461" customFormat="1">
      <c r="P480" s="587"/>
      <c r="Q480" s="587"/>
      <c r="R480" s="587"/>
    </row>
    <row r="481" spans="16:18" s="461" customFormat="1">
      <c r="P481" s="587"/>
      <c r="Q481" s="587"/>
      <c r="R481" s="587"/>
    </row>
    <row r="482" spans="16:18" s="461" customFormat="1">
      <c r="P482" s="587"/>
      <c r="Q482" s="587"/>
      <c r="R482" s="587"/>
    </row>
    <row r="483" spans="16:18" s="461" customFormat="1">
      <c r="P483" s="587"/>
      <c r="Q483" s="587"/>
      <c r="R483" s="587"/>
    </row>
    <row r="484" spans="16:18" s="461" customFormat="1">
      <c r="P484" s="587"/>
      <c r="Q484" s="587"/>
      <c r="R484" s="587"/>
    </row>
    <row r="485" spans="16:18" s="461" customFormat="1">
      <c r="P485" s="587"/>
      <c r="Q485" s="587"/>
      <c r="R485" s="587"/>
    </row>
    <row r="486" spans="16:18" s="461" customFormat="1">
      <c r="P486" s="587"/>
      <c r="Q486" s="587"/>
      <c r="R486" s="587"/>
    </row>
    <row r="487" spans="16:18" s="461" customFormat="1">
      <c r="P487" s="587"/>
      <c r="Q487" s="587"/>
      <c r="R487" s="587"/>
    </row>
    <row r="488" spans="16:18" s="461" customFormat="1">
      <c r="P488" s="587"/>
      <c r="Q488" s="587"/>
      <c r="R488" s="587"/>
    </row>
    <row r="489" spans="16:18" s="461" customFormat="1">
      <c r="P489" s="587"/>
      <c r="Q489" s="587"/>
      <c r="R489" s="587"/>
    </row>
    <row r="490" spans="16:18" s="461" customFormat="1">
      <c r="P490" s="587"/>
      <c r="Q490" s="587"/>
      <c r="R490" s="587"/>
    </row>
    <row r="491" spans="16:18" s="461" customFormat="1">
      <c r="P491" s="587"/>
      <c r="Q491" s="587"/>
      <c r="R491" s="587"/>
    </row>
    <row r="492" spans="16:18" s="461" customFormat="1">
      <c r="P492" s="587"/>
      <c r="Q492" s="587"/>
      <c r="R492" s="587"/>
    </row>
    <row r="493" spans="16:18" s="461" customFormat="1">
      <c r="P493" s="587"/>
      <c r="Q493" s="587"/>
      <c r="R493" s="587"/>
    </row>
    <row r="494" spans="16:18" s="461" customFormat="1">
      <c r="P494" s="587"/>
      <c r="Q494" s="587"/>
      <c r="R494" s="587"/>
    </row>
    <row r="495" spans="16:18" s="461" customFormat="1">
      <c r="P495" s="587"/>
      <c r="Q495" s="587"/>
      <c r="R495" s="587"/>
    </row>
    <row r="496" spans="16:18" s="461" customFormat="1">
      <c r="P496" s="587"/>
      <c r="Q496" s="587"/>
      <c r="R496" s="587"/>
    </row>
    <row r="497" spans="16:18" s="461" customFormat="1">
      <c r="P497" s="587"/>
      <c r="Q497" s="587"/>
      <c r="R497" s="587"/>
    </row>
    <row r="498" spans="16:18" s="461" customFormat="1">
      <c r="P498" s="587"/>
      <c r="Q498" s="587"/>
      <c r="R498" s="587"/>
    </row>
    <row r="499" spans="16:18" s="461" customFormat="1">
      <c r="P499" s="587"/>
      <c r="Q499" s="587"/>
      <c r="R499" s="587"/>
    </row>
    <row r="500" spans="16:18" s="461" customFormat="1">
      <c r="P500" s="587"/>
      <c r="Q500" s="587"/>
      <c r="R500" s="587"/>
    </row>
    <row r="501" spans="16:18" s="461" customFormat="1">
      <c r="P501" s="587"/>
      <c r="Q501" s="587"/>
      <c r="R501" s="587"/>
    </row>
    <row r="502" spans="16:18" s="461" customFormat="1">
      <c r="P502" s="587"/>
      <c r="Q502" s="587"/>
      <c r="R502" s="587"/>
    </row>
    <row r="503" spans="16:18" s="461" customFormat="1">
      <c r="P503" s="587"/>
      <c r="Q503" s="587"/>
      <c r="R503" s="587"/>
    </row>
    <row r="504" spans="16:18" s="461" customFormat="1">
      <c r="P504" s="587"/>
      <c r="Q504" s="587"/>
      <c r="R504" s="587"/>
    </row>
    <row r="505" spans="16:18" s="461" customFormat="1">
      <c r="P505" s="587"/>
      <c r="Q505" s="587"/>
      <c r="R505" s="587"/>
    </row>
    <row r="506" spans="16:18" s="461" customFormat="1">
      <c r="P506" s="587"/>
      <c r="Q506" s="587"/>
      <c r="R506" s="587"/>
    </row>
    <row r="507" spans="16:18" s="461" customFormat="1">
      <c r="P507" s="587"/>
      <c r="Q507" s="587"/>
      <c r="R507" s="587"/>
    </row>
    <row r="508" spans="16:18" s="461" customFormat="1">
      <c r="P508" s="587"/>
      <c r="Q508" s="587"/>
      <c r="R508" s="587"/>
    </row>
    <row r="509" spans="16:18" s="461" customFormat="1">
      <c r="P509" s="587"/>
      <c r="Q509" s="587"/>
      <c r="R509" s="587"/>
    </row>
    <row r="510" spans="16:18" s="461" customFormat="1">
      <c r="P510" s="587"/>
      <c r="Q510" s="587"/>
      <c r="R510" s="587"/>
    </row>
    <row r="511" spans="16:18" s="461" customFormat="1">
      <c r="P511" s="587"/>
      <c r="Q511" s="587"/>
      <c r="R511" s="587"/>
    </row>
    <row r="512" spans="16:18" s="461" customFormat="1">
      <c r="P512" s="587"/>
      <c r="Q512" s="587"/>
      <c r="R512" s="587"/>
    </row>
    <row r="513" spans="16:18" s="461" customFormat="1">
      <c r="P513" s="587"/>
      <c r="Q513" s="587"/>
      <c r="R513" s="587"/>
    </row>
    <row r="514" spans="16:18" s="461" customFormat="1">
      <c r="P514" s="587"/>
      <c r="Q514" s="587"/>
      <c r="R514" s="587"/>
    </row>
    <row r="515" spans="16:18" s="461" customFormat="1">
      <c r="P515" s="587"/>
      <c r="Q515" s="587"/>
      <c r="R515" s="587"/>
    </row>
    <row r="516" spans="16:18" s="461" customFormat="1">
      <c r="P516" s="587"/>
      <c r="Q516" s="587"/>
      <c r="R516" s="587"/>
    </row>
    <row r="517" spans="16:18" s="461" customFormat="1">
      <c r="P517" s="587"/>
      <c r="Q517" s="587"/>
      <c r="R517" s="587"/>
    </row>
    <row r="518" spans="16:18" s="461" customFormat="1">
      <c r="P518" s="587"/>
      <c r="Q518" s="587"/>
      <c r="R518" s="587"/>
    </row>
    <row r="519" spans="16:18" s="461" customFormat="1">
      <c r="P519" s="587"/>
      <c r="Q519" s="587"/>
      <c r="R519" s="587"/>
    </row>
    <row r="520" spans="16:18" s="461" customFormat="1">
      <c r="P520" s="587"/>
      <c r="Q520" s="587"/>
      <c r="R520" s="587"/>
    </row>
    <row r="521" spans="16:18" s="461" customFormat="1">
      <c r="P521" s="587"/>
      <c r="Q521" s="587"/>
      <c r="R521" s="587"/>
    </row>
    <row r="522" spans="16:18" s="461" customFormat="1">
      <c r="P522" s="587"/>
      <c r="Q522" s="587"/>
      <c r="R522" s="587"/>
    </row>
    <row r="523" spans="16:18" s="461" customFormat="1">
      <c r="P523" s="587"/>
      <c r="Q523" s="587"/>
      <c r="R523" s="587"/>
    </row>
    <row r="524" spans="16:18" s="461" customFormat="1">
      <c r="P524" s="587"/>
      <c r="Q524" s="587"/>
      <c r="R524" s="587"/>
    </row>
    <row r="525" spans="16:18" s="461" customFormat="1">
      <c r="P525" s="587"/>
      <c r="Q525" s="587"/>
      <c r="R525" s="587"/>
    </row>
    <row r="526" spans="16:18" s="461" customFormat="1">
      <c r="P526" s="587"/>
      <c r="Q526" s="587"/>
      <c r="R526" s="587"/>
    </row>
    <row r="527" spans="16:18" s="461" customFormat="1">
      <c r="P527" s="587"/>
      <c r="Q527" s="587"/>
      <c r="R527" s="587"/>
    </row>
    <row r="528" spans="16:18" s="461" customFormat="1">
      <c r="P528" s="587"/>
      <c r="Q528" s="587"/>
      <c r="R528" s="587"/>
    </row>
    <row r="529" spans="16:18" s="461" customFormat="1">
      <c r="P529" s="587"/>
      <c r="Q529" s="587"/>
      <c r="R529" s="587"/>
    </row>
    <row r="530" spans="16:18" s="461" customFormat="1">
      <c r="P530" s="587"/>
      <c r="Q530" s="587"/>
      <c r="R530" s="587"/>
    </row>
    <row r="531" spans="16:18" s="461" customFormat="1">
      <c r="P531" s="587"/>
      <c r="Q531" s="587"/>
      <c r="R531" s="587"/>
    </row>
    <row r="532" spans="16:18" s="461" customFormat="1">
      <c r="P532" s="587"/>
      <c r="Q532" s="587"/>
      <c r="R532" s="587"/>
    </row>
    <row r="533" spans="16:18" s="461" customFormat="1">
      <c r="P533" s="587"/>
      <c r="Q533" s="587"/>
      <c r="R533" s="587"/>
    </row>
    <row r="534" spans="16:18" s="461" customFormat="1">
      <c r="P534" s="587"/>
      <c r="Q534" s="587"/>
      <c r="R534" s="587"/>
    </row>
    <row r="535" spans="16:18" s="461" customFormat="1">
      <c r="P535" s="587"/>
      <c r="Q535" s="587"/>
      <c r="R535" s="587"/>
    </row>
    <row r="536" spans="16:18" s="461" customFormat="1">
      <c r="P536" s="587"/>
      <c r="Q536" s="587"/>
      <c r="R536" s="587"/>
    </row>
    <row r="537" spans="16:18" s="461" customFormat="1">
      <c r="P537" s="587"/>
      <c r="Q537" s="587"/>
      <c r="R537" s="587"/>
    </row>
    <row r="538" spans="16:18" s="461" customFormat="1">
      <c r="P538" s="587"/>
      <c r="Q538" s="587"/>
      <c r="R538" s="587"/>
    </row>
    <row r="539" spans="16:18" s="461" customFormat="1">
      <c r="P539" s="587"/>
      <c r="Q539" s="587"/>
      <c r="R539" s="587"/>
    </row>
    <row r="540" spans="16:18" s="461" customFormat="1">
      <c r="P540" s="587"/>
      <c r="Q540" s="587"/>
      <c r="R540" s="587"/>
    </row>
    <row r="541" spans="16:18" s="461" customFormat="1">
      <c r="P541" s="587"/>
      <c r="Q541" s="587"/>
      <c r="R541" s="587"/>
    </row>
    <row r="542" spans="16:18" s="461" customFormat="1">
      <c r="P542" s="587"/>
      <c r="Q542" s="587"/>
      <c r="R542" s="587"/>
    </row>
    <row r="543" spans="16:18" s="461" customFormat="1">
      <c r="P543" s="587"/>
      <c r="Q543" s="587"/>
      <c r="R543" s="587"/>
    </row>
    <row r="544" spans="16:18" s="461" customFormat="1">
      <c r="P544" s="587"/>
      <c r="Q544" s="587"/>
      <c r="R544" s="587"/>
    </row>
    <row r="545" spans="16:18" s="461" customFormat="1">
      <c r="P545" s="587"/>
      <c r="Q545" s="587"/>
      <c r="R545" s="587"/>
    </row>
    <row r="546" spans="16:18" s="461" customFormat="1">
      <c r="P546" s="587"/>
      <c r="Q546" s="587"/>
      <c r="R546" s="587"/>
    </row>
    <row r="547" spans="16:18" s="461" customFormat="1">
      <c r="P547" s="587"/>
      <c r="Q547" s="587"/>
      <c r="R547" s="587"/>
    </row>
    <row r="548" spans="16:18" s="461" customFormat="1">
      <c r="P548" s="587"/>
      <c r="Q548" s="587"/>
      <c r="R548" s="587"/>
    </row>
    <row r="549" spans="16:18" s="461" customFormat="1">
      <c r="P549" s="587"/>
      <c r="Q549" s="587"/>
      <c r="R549" s="587"/>
    </row>
    <row r="550" spans="16:18" s="461" customFormat="1">
      <c r="P550" s="587"/>
      <c r="Q550" s="587"/>
      <c r="R550" s="587"/>
    </row>
    <row r="551" spans="16:18" s="461" customFormat="1">
      <c r="P551" s="587"/>
      <c r="Q551" s="587"/>
      <c r="R551" s="587"/>
    </row>
    <row r="552" spans="16:18" s="461" customFormat="1">
      <c r="P552" s="587"/>
      <c r="Q552" s="587"/>
      <c r="R552" s="587"/>
    </row>
    <row r="553" spans="16:18" s="461" customFormat="1">
      <c r="P553" s="587"/>
      <c r="Q553" s="587"/>
      <c r="R553" s="587"/>
    </row>
    <row r="554" spans="16:18" s="461" customFormat="1">
      <c r="P554" s="587"/>
      <c r="Q554" s="587"/>
      <c r="R554" s="587"/>
    </row>
    <row r="555" spans="16:18" s="461" customFormat="1">
      <c r="P555" s="587"/>
      <c r="Q555" s="587"/>
      <c r="R555" s="587"/>
    </row>
    <row r="556" spans="16:18" s="461" customFormat="1">
      <c r="P556" s="587"/>
      <c r="Q556" s="587"/>
      <c r="R556" s="587"/>
    </row>
    <row r="557" spans="16:18" s="461" customFormat="1">
      <c r="P557" s="587"/>
      <c r="Q557" s="587"/>
      <c r="R557" s="587"/>
    </row>
    <row r="558" spans="16:18" s="461" customFormat="1">
      <c r="P558" s="587"/>
      <c r="Q558" s="587"/>
      <c r="R558" s="587"/>
    </row>
    <row r="559" spans="16:18" s="461" customFormat="1">
      <c r="P559" s="587"/>
      <c r="Q559" s="587"/>
      <c r="R559" s="587"/>
    </row>
    <row r="560" spans="16:18" s="461" customFormat="1">
      <c r="P560" s="587"/>
      <c r="Q560" s="587"/>
      <c r="R560" s="587"/>
    </row>
    <row r="561" spans="16:18" s="461" customFormat="1">
      <c r="P561" s="587"/>
      <c r="Q561" s="587"/>
      <c r="R561" s="587"/>
    </row>
    <row r="562" spans="16:18" s="461" customFormat="1">
      <c r="P562" s="587"/>
      <c r="Q562" s="587"/>
      <c r="R562" s="587"/>
    </row>
    <row r="563" spans="16:18" s="461" customFormat="1">
      <c r="P563" s="587"/>
      <c r="Q563" s="587"/>
      <c r="R563" s="587"/>
    </row>
    <row r="564" spans="16:18" s="461" customFormat="1">
      <c r="P564" s="587"/>
      <c r="Q564" s="587"/>
      <c r="R564" s="587"/>
    </row>
    <row r="565" spans="16:18" s="461" customFormat="1">
      <c r="P565" s="587"/>
      <c r="Q565" s="587"/>
      <c r="R565" s="587"/>
    </row>
    <row r="566" spans="16:18" s="461" customFormat="1">
      <c r="P566" s="587"/>
      <c r="Q566" s="587"/>
      <c r="R566" s="587"/>
    </row>
    <row r="567" spans="16:18" s="461" customFormat="1">
      <c r="P567" s="587"/>
      <c r="Q567" s="587"/>
      <c r="R567" s="587"/>
    </row>
    <row r="568" spans="16:18" s="461" customFormat="1">
      <c r="P568" s="587"/>
      <c r="Q568" s="587"/>
      <c r="R568" s="587"/>
    </row>
    <row r="569" spans="16:18" s="461" customFormat="1">
      <c r="P569" s="587"/>
      <c r="Q569" s="587"/>
      <c r="R569" s="587"/>
    </row>
    <row r="570" spans="16:18" s="461" customFormat="1">
      <c r="P570" s="587"/>
      <c r="Q570" s="587"/>
      <c r="R570" s="587"/>
    </row>
    <row r="571" spans="16:18" s="461" customFormat="1">
      <c r="P571" s="587"/>
      <c r="Q571" s="587"/>
      <c r="R571" s="587"/>
    </row>
    <row r="572" spans="16:18" s="461" customFormat="1">
      <c r="P572" s="587"/>
      <c r="Q572" s="587"/>
      <c r="R572" s="587"/>
    </row>
    <row r="573" spans="16:18" s="461" customFormat="1">
      <c r="P573" s="587"/>
      <c r="Q573" s="587"/>
      <c r="R573" s="587"/>
    </row>
    <row r="574" spans="16:18" s="461" customFormat="1">
      <c r="P574" s="587"/>
      <c r="Q574" s="587"/>
      <c r="R574" s="587"/>
    </row>
    <row r="575" spans="16:18" s="461" customFormat="1">
      <c r="P575" s="587"/>
      <c r="Q575" s="587"/>
      <c r="R575" s="587"/>
    </row>
    <row r="576" spans="16:18" s="461" customFormat="1">
      <c r="P576" s="587"/>
      <c r="Q576" s="587"/>
      <c r="R576" s="587"/>
    </row>
    <row r="577" spans="16:18" s="461" customFormat="1">
      <c r="P577" s="587"/>
      <c r="Q577" s="587"/>
      <c r="R577" s="587"/>
    </row>
    <row r="578" spans="16:18" s="461" customFormat="1">
      <c r="P578" s="587"/>
      <c r="Q578" s="587"/>
      <c r="R578" s="587"/>
    </row>
    <row r="579" spans="16:18" s="461" customFormat="1">
      <c r="P579" s="587"/>
      <c r="Q579" s="587"/>
      <c r="R579" s="587"/>
    </row>
    <row r="580" spans="16:18" s="461" customFormat="1">
      <c r="P580" s="587"/>
      <c r="Q580" s="587"/>
      <c r="R580" s="587"/>
    </row>
    <row r="581" spans="16:18" s="461" customFormat="1">
      <c r="P581" s="587"/>
      <c r="Q581" s="587"/>
      <c r="R581" s="587"/>
    </row>
    <row r="582" spans="16:18" s="461" customFormat="1">
      <c r="P582" s="587"/>
      <c r="Q582" s="587"/>
      <c r="R582" s="587"/>
    </row>
    <row r="583" spans="16:18" s="461" customFormat="1">
      <c r="P583" s="587"/>
      <c r="Q583" s="587"/>
      <c r="R583" s="587"/>
    </row>
    <row r="584" spans="16:18" s="461" customFormat="1">
      <c r="P584" s="587"/>
      <c r="Q584" s="587"/>
      <c r="R584" s="587"/>
    </row>
    <row r="585" spans="16:18" s="461" customFormat="1">
      <c r="P585" s="587"/>
      <c r="Q585" s="587"/>
      <c r="R585" s="587"/>
    </row>
    <row r="586" spans="16:18" s="461" customFormat="1">
      <c r="P586" s="587"/>
      <c r="Q586" s="587"/>
      <c r="R586" s="587"/>
    </row>
    <row r="587" spans="16:18" s="461" customFormat="1">
      <c r="P587" s="587"/>
      <c r="Q587" s="587"/>
      <c r="R587" s="587"/>
    </row>
    <row r="588" spans="16:18" s="461" customFormat="1">
      <c r="P588" s="587"/>
      <c r="Q588" s="587"/>
      <c r="R588" s="587"/>
    </row>
    <row r="589" spans="16:18" s="461" customFormat="1">
      <c r="P589" s="587"/>
      <c r="Q589" s="587"/>
      <c r="R589" s="587"/>
    </row>
    <row r="590" spans="16:18" s="461" customFormat="1">
      <c r="P590" s="587"/>
      <c r="Q590" s="587"/>
      <c r="R590" s="587"/>
    </row>
    <row r="591" spans="16:18" s="461" customFormat="1">
      <c r="P591" s="587"/>
      <c r="Q591" s="587"/>
      <c r="R591" s="587"/>
    </row>
    <row r="592" spans="16:18" s="461" customFormat="1">
      <c r="P592" s="587"/>
      <c r="Q592" s="587"/>
      <c r="R592" s="587"/>
    </row>
    <row r="593" spans="16:18" s="461" customFormat="1">
      <c r="P593" s="587"/>
      <c r="Q593" s="587"/>
      <c r="R593" s="587"/>
    </row>
    <row r="594" spans="16:18" s="461" customFormat="1">
      <c r="P594" s="587"/>
      <c r="Q594" s="587"/>
      <c r="R594" s="587"/>
    </row>
    <row r="595" spans="16:18" s="461" customFormat="1">
      <c r="P595" s="587"/>
      <c r="Q595" s="587"/>
      <c r="R595" s="587"/>
    </row>
    <row r="596" spans="16:18" s="461" customFormat="1">
      <c r="P596" s="587"/>
      <c r="Q596" s="587"/>
      <c r="R596" s="587"/>
    </row>
    <row r="597" spans="16:18" s="461" customFormat="1">
      <c r="P597" s="587"/>
      <c r="Q597" s="587"/>
      <c r="R597" s="587"/>
    </row>
    <row r="598" spans="16:18" s="461" customFormat="1">
      <c r="P598" s="587"/>
      <c r="Q598" s="587"/>
      <c r="R598" s="587"/>
    </row>
    <row r="599" spans="16:18" s="461" customFormat="1">
      <c r="P599" s="587"/>
      <c r="Q599" s="587"/>
      <c r="R599" s="587"/>
    </row>
    <row r="600" spans="16:18" s="461" customFormat="1">
      <c r="P600" s="587"/>
      <c r="Q600" s="587"/>
      <c r="R600" s="587"/>
    </row>
    <row r="601" spans="16:18" s="461" customFormat="1">
      <c r="P601" s="587"/>
      <c r="Q601" s="587"/>
      <c r="R601" s="587"/>
    </row>
    <row r="602" spans="16:18" s="461" customFormat="1">
      <c r="P602" s="587"/>
      <c r="Q602" s="587"/>
      <c r="R602" s="587"/>
    </row>
    <row r="603" spans="16:18" s="461" customFormat="1">
      <c r="P603" s="587"/>
      <c r="Q603" s="587"/>
      <c r="R603" s="587"/>
    </row>
    <row r="604" spans="16:18" s="461" customFormat="1">
      <c r="P604" s="587"/>
      <c r="Q604" s="587"/>
      <c r="R604" s="587"/>
    </row>
    <row r="605" spans="16:18" s="461" customFormat="1">
      <c r="P605" s="587"/>
      <c r="Q605" s="587"/>
      <c r="R605" s="587"/>
    </row>
    <row r="606" spans="16:18" s="461" customFormat="1">
      <c r="P606" s="587"/>
      <c r="Q606" s="587"/>
      <c r="R606" s="587"/>
    </row>
    <row r="607" spans="16:18" s="461" customFormat="1">
      <c r="P607" s="587"/>
      <c r="Q607" s="587"/>
      <c r="R607" s="587"/>
    </row>
    <row r="608" spans="16:18" s="461" customFormat="1">
      <c r="P608" s="587"/>
      <c r="Q608" s="587"/>
      <c r="R608" s="587"/>
    </row>
    <row r="609" spans="16:18" s="461" customFormat="1">
      <c r="P609" s="587"/>
      <c r="Q609" s="587"/>
      <c r="R609" s="587"/>
    </row>
    <row r="610" spans="16:18" s="461" customFormat="1">
      <c r="P610" s="587"/>
      <c r="Q610" s="587"/>
      <c r="R610" s="587"/>
    </row>
    <row r="611" spans="16:18" s="461" customFormat="1">
      <c r="P611" s="587"/>
      <c r="Q611" s="587"/>
      <c r="R611" s="587"/>
    </row>
    <row r="612" spans="16:18" s="461" customFormat="1">
      <c r="P612" s="587"/>
      <c r="Q612" s="587"/>
      <c r="R612" s="587"/>
    </row>
    <row r="613" spans="16:18" s="461" customFormat="1">
      <c r="P613" s="587"/>
      <c r="Q613" s="587"/>
      <c r="R613" s="587"/>
    </row>
    <row r="614" spans="16:18" s="461" customFormat="1">
      <c r="P614" s="587"/>
      <c r="Q614" s="587"/>
      <c r="R614" s="587"/>
    </row>
    <row r="615" spans="16:18" s="461" customFormat="1">
      <c r="P615" s="587"/>
      <c r="Q615" s="587"/>
      <c r="R615" s="587"/>
    </row>
    <row r="616" spans="16:18" s="461" customFormat="1">
      <c r="P616" s="587"/>
      <c r="Q616" s="587"/>
      <c r="R616" s="587"/>
    </row>
    <row r="617" spans="16:18" s="461" customFormat="1">
      <c r="P617" s="587"/>
      <c r="Q617" s="587"/>
      <c r="R617" s="587"/>
    </row>
    <row r="618" spans="16:18" s="461" customFormat="1">
      <c r="P618" s="587"/>
      <c r="Q618" s="587"/>
      <c r="R618" s="587"/>
    </row>
    <row r="619" spans="16:18" s="461" customFormat="1">
      <c r="P619" s="587"/>
      <c r="Q619" s="587"/>
      <c r="R619" s="587"/>
    </row>
    <row r="620" spans="16:18" s="461" customFormat="1">
      <c r="P620" s="587"/>
      <c r="Q620" s="587"/>
      <c r="R620" s="587"/>
    </row>
    <row r="621" spans="16:18" s="461" customFormat="1">
      <c r="P621" s="587"/>
      <c r="Q621" s="587"/>
      <c r="R621" s="587"/>
    </row>
    <row r="622" spans="16:18" s="461" customFormat="1">
      <c r="P622" s="587"/>
      <c r="Q622" s="587"/>
      <c r="R622" s="587"/>
    </row>
    <row r="623" spans="16:18" s="461" customFormat="1">
      <c r="P623" s="587"/>
      <c r="Q623" s="587"/>
      <c r="R623" s="587"/>
    </row>
    <row r="624" spans="16:18" s="461" customFormat="1">
      <c r="P624" s="587"/>
      <c r="Q624" s="587"/>
      <c r="R624" s="587"/>
    </row>
    <row r="625" spans="16:18" s="461" customFormat="1">
      <c r="P625" s="587"/>
      <c r="Q625" s="587"/>
      <c r="R625" s="587"/>
    </row>
    <row r="626" spans="16:18" s="461" customFormat="1">
      <c r="P626" s="587"/>
      <c r="Q626" s="587"/>
      <c r="R626" s="587"/>
    </row>
    <row r="627" spans="16:18" s="461" customFormat="1">
      <c r="P627" s="587"/>
      <c r="Q627" s="587"/>
      <c r="R627" s="587"/>
    </row>
    <row r="628" spans="16:18" s="461" customFormat="1">
      <c r="P628" s="587"/>
      <c r="Q628" s="587"/>
      <c r="R628" s="587"/>
    </row>
    <row r="629" spans="16:18" s="461" customFormat="1">
      <c r="P629" s="587"/>
      <c r="Q629" s="587"/>
      <c r="R629" s="587"/>
    </row>
    <row r="630" spans="16:18" s="461" customFormat="1">
      <c r="P630" s="587"/>
      <c r="Q630" s="587"/>
      <c r="R630" s="587"/>
    </row>
    <row r="631" spans="16:18" s="461" customFormat="1">
      <c r="P631" s="587"/>
      <c r="Q631" s="587"/>
      <c r="R631" s="587"/>
    </row>
    <row r="632" spans="16:18" s="461" customFormat="1">
      <c r="P632" s="587"/>
      <c r="Q632" s="587"/>
      <c r="R632" s="587"/>
    </row>
    <row r="633" spans="16:18" s="461" customFormat="1">
      <c r="P633" s="587"/>
      <c r="Q633" s="587"/>
      <c r="R633" s="587"/>
    </row>
    <row r="634" spans="16:18" s="461" customFormat="1">
      <c r="P634" s="587"/>
      <c r="Q634" s="587"/>
      <c r="R634" s="587"/>
    </row>
    <row r="635" spans="16:18" s="461" customFormat="1">
      <c r="P635" s="587"/>
      <c r="Q635" s="587"/>
      <c r="R635" s="587"/>
    </row>
    <row r="636" spans="16:18" s="461" customFormat="1">
      <c r="P636" s="587"/>
      <c r="Q636" s="587"/>
      <c r="R636" s="587"/>
    </row>
    <row r="637" spans="16:18" s="461" customFormat="1">
      <c r="P637" s="587"/>
      <c r="Q637" s="587"/>
      <c r="R637" s="587"/>
    </row>
    <row r="638" spans="16:18" s="461" customFormat="1">
      <c r="P638" s="587"/>
      <c r="Q638" s="587"/>
      <c r="R638" s="587"/>
    </row>
    <row r="639" spans="16:18" s="461" customFormat="1">
      <c r="P639" s="587"/>
      <c r="Q639" s="587"/>
      <c r="R639" s="587"/>
    </row>
    <row r="640" spans="16:18" s="461" customFormat="1">
      <c r="P640" s="587"/>
      <c r="Q640" s="587"/>
      <c r="R640" s="587"/>
    </row>
    <row r="641" spans="16:18" s="461" customFormat="1">
      <c r="P641" s="587"/>
      <c r="Q641" s="587"/>
      <c r="R641" s="587"/>
    </row>
    <row r="642" spans="16:18" s="461" customFormat="1">
      <c r="P642" s="587"/>
      <c r="Q642" s="587"/>
      <c r="R642" s="587"/>
    </row>
    <row r="643" spans="16:18" s="461" customFormat="1">
      <c r="P643" s="587"/>
      <c r="Q643" s="587"/>
      <c r="R643" s="587"/>
    </row>
    <row r="644" spans="16:18" s="461" customFormat="1">
      <c r="P644" s="587"/>
      <c r="Q644" s="587"/>
      <c r="R644" s="587"/>
    </row>
    <row r="645" spans="16:18" s="461" customFormat="1">
      <c r="P645" s="587"/>
      <c r="Q645" s="587"/>
      <c r="R645" s="587"/>
    </row>
    <row r="646" spans="16:18" s="461" customFormat="1">
      <c r="P646" s="587"/>
      <c r="Q646" s="587"/>
      <c r="R646" s="587"/>
    </row>
    <row r="647" spans="16:18" s="461" customFormat="1">
      <c r="P647" s="587"/>
      <c r="Q647" s="587"/>
      <c r="R647" s="587"/>
    </row>
    <row r="648" spans="16:18" s="461" customFormat="1">
      <c r="P648" s="587"/>
      <c r="Q648" s="587"/>
      <c r="R648" s="587"/>
    </row>
    <row r="649" spans="16:18" s="461" customFormat="1">
      <c r="P649" s="587"/>
      <c r="Q649" s="587"/>
      <c r="R649" s="587"/>
    </row>
    <row r="650" spans="16:18" s="461" customFormat="1">
      <c r="P650" s="587"/>
      <c r="Q650" s="587"/>
      <c r="R650" s="587"/>
    </row>
    <row r="651" spans="16:18" s="461" customFormat="1">
      <c r="P651" s="587"/>
      <c r="Q651" s="587"/>
      <c r="R651" s="587"/>
    </row>
    <row r="652" spans="16:18" s="461" customFormat="1">
      <c r="P652" s="587"/>
      <c r="Q652" s="587"/>
      <c r="R652" s="587"/>
    </row>
    <row r="653" spans="16:18" s="461" customFormat="1">
      <c r="P653" s="587"/>
      <c r="Q653" s="587"/>
      <c r="R653" s="587"/>
    </row>
    <row r="654" spans="16:18" s="461" customFormat="1">
      <c r="P654" s="587"/>
      <c r="Q654" s="587"/>
      <c r="R654" s="587"/>
    </row>
    <row r="655" spans="16:18" s="461" customFormat="1">
      <c r="P655" s="587"/>
      <c r="Q655" s="587"/>
      <c r="R655" s="587"/>
    </row>
    <row r="656" spans="16:18" s="461" customFormat="1">
      <c r="P656" s="587"/>
      <c r="Q656" s="587"/>
      <c r="R656" s="587"/>
    </row>
    <row r="657" spans="16:18" s="461" customFormat="1">
      <c r="P657" s="587"/>
      <c r="Q657" s="587"/>
      <c r="R657" s="587"/>
    </row>
    <row r="658" spans="16:18" s="461" customFormat="1">
      <c r="P658" s="587"/>
      <c r="Q658" s="587"/>
      <c r="R658" s="587"/>
    </row>
    <row r="659" spans="16:18" s="461" customFormat="1">
      <c r="P659" s="587"/>
      <c r="Q659" s="587"/>
      <c r="R659" s="587"/>
    </row>
    <row r="660" spans="16:18" s="461" customFormat="1">
      <c r="P660" s="587"/>
      <c r="Q660" s="587"/>
      <c r="R660" s="587"/>
    </row>
    <row r="661" spans="16:18" s="461" customFormat="1">
      <c r="P661" s="587"/>
      <c r="Q661" s="587"/>
      <c r="R661" s="587"/>
    </row>
    <row r="662" spans="16:18" s="461" customFormat="1">
      <c r="P662" s="587"/>
      <c r="Q662" s="587"/>
      <c r="R662" s="587"/>
    </row>
    <row r="663" spans="16:18" s="461" customFormat="1">
      <c r="P663" s="587"/>
      <c r="Q663" s="587"/>
      <c r="R663" s="587"/>
    </row>
    <row r="664" spans="16:18" s="461" customFormat="1">
      <c r="P664" s="587"/>
      <c r="Q664" s="587"/>
      <c r="R664" s="587"/>
    </row>
    <row r="665" spans="16:18" s="461" customFormat="1">
      <c r="P665" s="587"/>
      <c r="Q665" s="587"/>
      <c r="R665" s="587"/>
    </row>
    <row r="666" spans="16:18" s="461" customFormat="1">
      <c r="P666" s="587"/>
      <c r="Q666" s="587"/>
      <c r="R666" s="587"/>
    </row>
    <row r="667" spans="16:18" s="461" customFormat="1">
      <c r="P667" s="587"/>
      <c r="Q667" s="587"/>
      <c r="R667" s="587"/>
    </row>
    <row r="668" spans="16:18" s="461" customFormat="1">
      <c r="P668" s="587"/>
      <c r="Q668" s="587"/>
      <c r="R668" s="587"/>
    </row>
    <row r="669" spans="16:18" s="461" customFormat="1">
      <c r="P669" s="587"/>
      <c r="Q669" s="587"/>
      <c r="R669" s="587"/>
    </row>
    <row r="670" spans="16:18" s="461" customFormat="1">
      <c r="P670" s="587"/>
      <c r="Q670" s="587"/>
      <c r="R670" s="587"/>
    </row>
    <row r="671" spans="16:18" s="461" customFormat="1">
      <c r="P671" s="587"/>
      <c r="Q671" s="587"/>
      <c r="R671" s="587"/>
    </row>
    <row r="672" spans="16:18" s="461" customFormat="1">
      <c r="P672" s="587"/>
      <c r="Q672" s="587"/>
      <c r="R672" s="587"/>
    </row>
    <row r="673" spans="16:18" s="461" customFormat="1">
      <c r="P673" s="587"/>
      <c r="Q673" s="587"/>
      <c r="R673" s="587"/>
    </row>
    <row r="674" spans="16:18" s="461" customFormat="1">
      <c r="P674" s="587"/>
      <c r="Q674" s="587"/>
      <c r="R674" s="587"/>
    </row>
    <row r="675" spans="16:18" s="461" customFormat="1">
      <c r="P675" s="587"/>
      <c r="Q675" s="587"/>
      <c r="R675" s="587"/>
    </row>
    <row r="676" spans="16:18" s="461" customFormat="1">
      <c r="P676" s="587"/>
      <c r="Q676" s="587"/>
      <c r="R676" s="587"/>
    </row>
    <row r="677" spans="16:18" s="461" customFormat="1">
      <c r="P677" s="587"/>
      <c r="Q677" s="587"/>
      <c r="R677" s="587"/>
    </row>
    <row r="678" spans="16:18" s="461" customFormat="1">
      <c r="P678" s="587"/>
      <c r="Q678" s="587"/>
      <c r="R678" s="587"/>
    </row>
    <row r="679" spans="16:18" s="461" customFormat="1">
      <c r="P679" s="587"/>
      <c r="Q679" s="587"/>
      <c r="R679" s="587"/>
    </row>
    <row r="680" spans="16:18" s="461" customFormat="1">
      <c r="P680" s="587"/>
      <c r="Q680" s="587"/>
      <c r="R680" s="587"/>
    </row>
    <row r="681" spans="16:18" s="461" customFormat="1">
      <c r="P681" s="587"/>
      <c r="Q681" s="587"/>
      <c r="R681" s="587"/>
    </row>
    <row r="682" spans="16:18" s="461" customFormat="1">
      <c r="P682" s="587"/>
      <c r="Q682" s="587"/>
      <c r="R682" s="587"/>
    </row>
    <row r="683" spans="16:18" s="461" customFormat="1">
      <c r="P683" s="587"/>
      <c r="Q683" s="587"/>
      <c r="R683" s="587"/>
    </row>
    <row r="684" spans="16:18" s="461" customFormat="1">
      <c r="P684" s="587"/>
      <c r="Q684" s="587"/>
      <c r="R684" s="587"/>
    </row>
    <row r="685" spans="16:18" s="461" customFormat="1">
      <c r="P685" s="587"/>
      <c r="Q685" s="587"/>
      <c r="R685" s="587"/>
    </row>
    <row r="686" spans="16:18" s="461" customFormat="1">
      <c r="P686" s="587"/>
      <c r="Q686" s="587"/>
      <c r="R686" s="587"/>
    </row>
    <row r="687" spans="16:18" s="461" customFormat="1">
      <c r="P687" s="587"/>
      <c r="Q687" s="587"/>
      <c r="R687" s="587"/>
    </row>
    <row r="688" spans="16:18" s="461" customFormat="1">
      <c r="P688" s="587"/>
      <c r="Q688" s="587"/>
      <c r="R688" s="587"/>
    </row>
    <row r="689" spans="16:18" s="461" customFormat="1">
      <c r="P689" s="587"/>
      <c r="Q689" s="587"/>
      <c r="R689" s="587"/>
    </row>
    <row r="690" spans="16:18" s="461" customFormat="1">
      <c r="P690" s="587"/>
      <c r="Q690" s="587"/>
      <c r="R690" s="587"/>
    </row>
    <row r="691" spans="16:18" s="461" customFormat="1">
      <c r="P691" s="587"/>
      <c r="Q691" s="587"/>
      <c r="R691" s="587"/>
    </row>
    <row r="692" spans="16:18" s="461" customFormat="1">
      <c r="P692" s="587"/>
      <c r="Q692" s="587"/>
      <c r="R692" s="587"/>
    </row>
    <row r="693" spans="16:18" s="461" customFormat="1">
      <c r="P693" s="587"/>
      <c r="Q693" s="587"/>
      <c r="R693" s="587"/>
    </row>
    <row r="694" spans="16:18" s="461" customFormat="1">
      <c r="P694" s="587"/>
      <c r="Q694" s="587"/>
      <c r="R694" s="587"/>
    </row>
    <row r="695" spans="16:18" s="461" customFormat="1">
      <c r="P695" s="587"/>
      <c r="Q695" s="587"/>
      <c r="R695" s="587"/>
    </row>
    <row r="696" spans="16:18" s="461" customFormat="1">
      <c r="P696" s="587"/>
      <c r="Q696" s="587"/>
      <c r="R696" s="587"/>
    </row>
    <row r="697" spans="16:18" s="461" customFormat="1">
      <c r="P697" s="587"/>
      <c r="Q697" s="587"/>
      <c r="R697" s="587"/>
    </row>
    <row r="698" spans="16:18" s="461" customFormat="1">
      <c r="P698" s="587"/>
      <c r="Q698" s="587"/>
      <c r="R698" s="587"/>
    </row>
    <row r="699" spans="16:18" s="461" customFormat="1">
      <c r="P699" s="587"/>
      <c r="Q699" s="587"/>
      <c r="R699" s="587"/>
    </row>
    <row r="700" spans="16:18" s="461" customFormat="1">
      <c r="P700" s="587"/>
      <c r="Q700" s="587"/>
      <c r="R700" s="587"/>
    </row>
    <row r="701" spans="16:18" s="461" customFormat="1">
      <c r="P701" s="587"/>
      <c r="Q701" s="587"/>
      <c r="R701" s="587"/>
    </row>
    <row r="702" spans="16:18" s="461" customFormat="1">
      <c r="P702" s="587"/>
      <c r="Q702" s="587"/>
      <c r="R702" s="587"/>
    </row>
    <row r="703" spans="16:18" s="461" customFormat="1">
      <c r="P703" s="587"/>
      <c r="Q703" s="587"/>
      <c r="R703" s="587"/>
    </row>
    <row r="704" spans="16:18" s="461" customFormat="1">
      <c r="P704" s="587"/>
      <c r="Q704" s="587"/>
      <c r="R704" s="587"/>
    </row>
    <row r="705" spans="16:18" s="461" customFormat="1">
      <c r="P705" s="587"/>
      <c r="Q705" s="587"/>
      <c r="R705" s="587"/>
    </row>
    <row r="706" spans="16:18" s="461" customFormat="1">
      <c r="P706" s="587"/>
      <c r="Q706" s="587"/>
      <c r="R706" s="587"/>
    </row>
    <row r="707" spans="16:18" s="461" customFormat="1">
      <c r="P707" s="587"/>
      <c r="Q707" s="587"/>
      <c r="R707" s="587"/>
    </row>
    <row r="708" spans="16:18" s="461" customFormat="1">
      <c r="P708" s="587"/>
      <c r="Q708" s="587"/>
      <c r="R708" s="587"/>
    </row>
    <row r="709" spans="16:18" s="461" customFormat="1">
      <c r="P709" s="587"/>
      <c r="Q709" s="587"/>
      <c r="R709" s="587"/>
    </row>
    <row r="710" spans="16:18" s="461" customFormat="1">
      <c r="P710" s="587"/>
      <c r="Q710" s="587"/>
      <c r="R710" s="587"/>
    </row>
    <row r="711" spans="16:18" s="461" customFormat="1">
      <c r="P711" s="587"/>
      <c r="Q711" s="587"/>
      <c r="R711" s="587"/>
    </row>
    <row r="712" spans="16:18" s="461" customFormat="1">
      <c r="P712" s="587"/>
      <c r="Q712" s="587"/>
      <c r="R712" s="587"/>
    </row>
    <row r="713" spans="16:18" s="461" customFormat="1">
      <c r="P713" s="587"/>
      <c r="Q713" s="587"/>
      <c r="R713" s="587"/>
    </row>
    <row r="714" spans="16:18" s="461" customFormat="1">
      <c r="P714" s="587"/>
      <c r="Q714" s="587"/>
      <c r="R714" s="587"/>
    </row>
    <row r="715" spans="16:18" s="461" customFormat="1">
      <c r="P715" s="587"/>
      <c r="Q715" s="587"/>
      <c r="R715" s="587"/>
    </row>
    <row r="716" spans="16:18" s="461" customFormat="1">
      <c r="P716" s="587"/>
      <c r="Q716" s="587"/>
      <c r="R716" s="587"/>
    </row>
    <row r="717" spans="16:18" s="461" customFormat="1">
      <c r="P717" s="587"/>
      <c r="Q717" s="587"/>
      <c r="R717" s="587"/>
    </row>
    <row r="718" spans="16:18" s="461" customFormat="1">
      <c r="P718" s="587"/>
      <c r="Q718" s="587"/>
      <c r="R718" s="587"/>
    </row>
    <row r="719" spans="16:18" s="461" customFormat="1">
      <c r="P719" s="587"/>
      <c r="Q719" s="587"/>
      <c r="R719" s="587"/>
    </row>
    <row r="720" spans="16:18" s="461" customFormat="1">
      <c r="P720" s="587"/>
      <c r="Q720" s="587"/>
      <c r="R720" s="587"/>
    </row>
    <row r="721" spans="16:18" s="461" customFormat="1">
      <c r="P721" s="587"/>
      <c r="Q721" s="587"/>
      <c r="R721" s="587"/>
    </row>
    <row r="722" spans="16:18" s="461" customFormat="1">
      <c r="P722" s="587"/>
      <c r="Q722" s="587"/>
      <c r="R722" s="587"/>
    </row>
    <row r="723" spans="16:18" s="461" customFormat="1">
      <c r="P723" s="587"/>
      <c r="Q723" s="587"/>
      <c r="R723" s="587"/>
    </row>
    <row r="724" spans="16:18" s="461" customFormat="1">
      <c r="P724" s="587"/>
      <c r="Q724" s="587"/>
      <c r="R724" s="587"/>
    </row>
    <row r="725" spans="16:18" s="461" customFormat="1">
      <c r="P725" s="587"/>
      <c r="Q725" s="587"/>
      <c r="R725" s="587"/>
    </row>
    <row r="726" spans="16:18" s="461" customFormat="1">
      <c r="P726" s="587"/>
      <c r="Q726" s="587"/>
      <c r="R726" s="587"/>
    </row>
    <row r="727" spans="16:18" s="461" customFormat="1">
      <c r="P727" s="587"/>
      <c r="Q727" s="587"/>
      <c r="R727" s="587"/>
    </row>
    <row r="728" spans="16:18" s="461" customFormat="1">
      <c r="P728" s="587"/>
      <c r="Q728" s="587"/>
      <c r="R728" s="587"/>
    </row>
    <row r="729" spans="16:18" s="461" customFormat="1">
      <c r="P729" s="587"/>
      <c r="Q729" s="587"/>
      <c r="R729" s="587"/>
    </row>
    <row r="730" spans="16:18" s="461" customFormat="1">
      <c r="P730" s="587"/>
      <c r="Q730" s="587"/>
      <c r="R730" s="587"/>
    </row>
    <row r="731" spans="16:18" s="461" customFormat="1">
      <c r="P731" s="587"/>
      <c r="Q731" s="587"/>
      <c r="R731" s="587"/>
    </row>
    <row r="732" spans="16:18" s="461" customFormat="1">
      <c r="P732" s="587"/>
      <c r="Q732" s="587"/>
      <c r="R732" s="587"/>
    </row>
    <row r="733" spans="16:18" s="461" customFormat="1">
      <c r="P733" s="587"/>
      <c r="Q733" s="587"/>
      <c r="R733" s="587"/>
    </row>
    <row r="734" spans="16:18" s="461" customFormat="1">
      <c r="P734" s="587"/>
      <c r="Q734" s="587"/>
      <c r="R734" s="587"/>
    </row>
    <row r="735" spans="16:18" s="461" customFormat="1">
      <c r="P735" s="587"/>
      <c r="Q735" s="587"/>
      <c r="R735" s="587"/>
    </row>
    <row r="736" spans="16:18" s="461" customFormat="1">
      <c r="P736" s="587"/>
      <c r="Q736" s="587"/>
      <c r="R736" s="587"/>
    </row>
    <row r="737" spans="16:18" s="461" customFormat="1">
      <c r="P737" s="587"/>
      <c r="Q737" s="587"/>
      <c r="R737" s="587"/>
    </row>
    <row r="738" spans="16:18" s="461" customFormat="1">
      <c r="P738" s="587"/>
      <c r="Q738" s="587"/>
      <c r="R738" s="587"/>
    </row>
    <row r="739" spans="16:18" s="461" customFormat="1">
      <c r="P739" s="587"/>
      <c r="Q739" s="587"/>
      <c r="R739" s="587"/>
    </row>
    <row r="740" spans="16:18" s="461" customFormat="1">
      <c r="P740" s="587"/>
      <c r="Q740" s="587"/>
      <c r="R740" s="587"/>
    </row>
    <row r="741" spans="16:18" s="461" customFormat="1">
      <c r="P741" s="587"/>
      <c r="Q741" s="587"/>
      <c r="R741" s="587"/>
    </row>
    <row r="742" spans="16:18" s="461" customFormat="1">
      <c r="P742" s="587"/>
      <c r="Q742" s="587"/>
      <c r="R742" s="587"/>
    </row>
    <row r="743" spans="16:18" s="461" customFormat="1">
      <c r="P743" s="587"/>
      <c r="Q743" s="587"/>
      <c r="R743" s="587"/>
    </row>
    <row r="744" spans="16:18" s="461" customFormat="1">
      <c r="P744" s="587"/>
      <c r="Q744" s="587"/>
      <c r="R744" s="587"/>
    </row>
    <row r="745" spans="16:18" s="461" customFormat="1">
      <c r="P745" s="587"/>
      <c r="Q745" s="587"/>
      <c r="R745" s="587"/>
    </row>
    <row r="746" spans="16:18" s="461" customFormat="1">
      <c r="P746" s="587"/>
      <c r="Q746" s="587"/>
      <c r="R746" s="587"/>
    </row>
    <row r="747" spans="16:18" s="461" customFormat="1">
      <c r="P747" s="587"/>
      <c r="Q747" s="587"/>
      <c r="R747" s="587"/>
    </row>
    <row r="748" spans="16:18" s="461" customFormat="1">
      <c r="P748" s="587"/>
      <c r="Q748" s="587"/>
      <c r="R748" s="587"/>
    </row>
    <row r="749" spans="16:18" s="461" customFormat="1">
      <c r="P749" s="587"/>
      <c r="Q749" s="587"/>
      <c r="R749" s="587"/>
    </row>
    <row r="750" spans="16:18" s="461" customFormat="1">
      <c r="P750" s="587"/>
      <c r="Q750" s="587"/>
      <c r="R750" s="587"/>
    </row>
    <row r="751" spans="16:18" s="461" customFormat="1">
      <c r="P751" s="587"/>
      <c r="Q751" s="587"/>
      <c r="R751" s="587"/>
    </row>
    <row r="752" spans="16:18" s="461" customFormat="1">
      <c r="P752" s="587"/>
      <c r="Q752" s="587"/>
      <c r="R752" s="587"/>
    </row>
    <row r="753" spans="16:18" s="461" customFormat="1">
      <c r="P753" s="587"/>
      <c r="Q753" s="587"/>
      <c r="R753" s="587"/>
    </row>
    <row r="754" spans="16:18" s="461" customFormat="1">
      <c r="P754" s="587"/>
      <c r="Q754" s="587"/>
      <c r="R754" s="587"/>
    </row>
    <row r="755" spans="16:18" s="461" customFormat="1">
      <c r="P755" s="587"/>
      <c r="Q755" s="587"/>
      <c r="R755" s="587"/>
    </row>
    <row r="756" spans="16:18" s="461" customFormat="1">
      <c r="P756" s="587"/>
      <c r="Q756" s="587"/>
      <c r="R756" s="587"/>
    </row>
    <row r="757" spans="16:18" s="461" customFormat="1">
      <c r="P757" s="587"/>
      <c r="Q757" s="587"/>
      <c r="R757" s="587"/>
    </row>
    <row r="758" spans="16:18" s="461" customFormat="1">
      <c r="P758" s="587"/>
      <c r="Q758" s="587"/>
      <c r="R758" s="587"/>
    </row>
    <row r="759" spans="16:18" s="461" customFormat="1">
      <c r="P759" s="587"/>
      <c r="Q759" s="587"/>
      <c r="R759" s="587"/>
    </row>
    <row r="760" spans="16:18" s="461" customFormat="1">
      <c r="P760" s="587"/>
      <c r="Q760" s="587"/>
      <c r="R760" s="587"/>
    </row>
    <row r="761" spans="16:18" s="461" customFormat="1">
      <c r="P761" s="587"/>
      <c r="Q761" s="587"/>
      <c r="R761" s="587"/>
    </row>
    <row r="762" spans="16:18" s="461" customFormat="1">
      <c r="P762" s="587"/>
      <c r="Q762" s="587"/>
      <c r="R762" s="587"/>
    </row>
    <row r="763" spans="16:18" s="461" customFormat="1">
      <c r="P763" s="587"/>
      <c r="Q763" s="587"/>
      <c r="R763" s="587"/>
    </row>
    <row r="764" spans="16:18" s="461" customFormat="1">
      <c r="P764" s="587"/>
      <c r="Q764" s="587"/>
      <c r="R764" s="587"/>
    </row>
    <row r="765" spans="16:18" s="461" customFormat="1">
      <c r="P765" s="587"/>
      <c r="Q765" s="587"/>
      <c r="R765" s="587"/>
    </row>
    <row r="766" spans="16:18" s="461" customFormat="1">
      <c r="P766" s="587"/>
      <c r="Q766" s="587"/>
      <c r="R766" s="587"/>
    </row>
    <row r="767" spans="16:18" s="461" customFormat="1">
      <c r="P767" s="587"/>
      <c r="Q767" s="587"/>
      <c r="R767" s="587"/>
    </row>
    <row r="768" spans="16:18" s="461" customFormat="1">
      <c r="P768" s="587"/>
      <c r="Q768" s="587"/>
      <c r="R768" s="587"/>
    </row>
    <row r="769" spans="16:18" s="461" customFormat="1">
      <c r="P769" s="587"/>
      <c r="Q769" s="587"/>
      <c r="R769" s="587"/>
    </row>
    <row r="770" spans="16:18" s="461" customFormat="1">
      <c r="P770" s="587"/>
      <c r="Q770" s="587"/>
      <c r="R770" s="587"/>
    </row>
    <row r="771" spans="16:18" s="461" customFormat="1">
      <c r="P771" s="587"/>
      <c r="Q771" s="587"/>
      <c r="R771" s="587"/>
    </row>
    <row r="772" spans="16:18" s="461" customFormat="1">
      <c r="P772" s="587"/>
      <c r="Q772" s="587"/>
      <c r="R772" s="587"/>
    </row>
    <row r="773" spans="16:18" s="461" customFormat="1">
      <c r="P773" s="587"/>
      <c r="Q773" s="587"/>
      <c r="R773" s="587"/>
    </row>
    <row r="774" spans="16:18" s="461" customFormat="1">
      <c r="P774" s="587"/>
      <c r="Q774" s="587"/>
      <c r="R774" s="587"/>
    </row>
    <row r="775" spans="16:18" s="461" customFormat="1">
      <c r="P775" s="587"/>
      <c r="Q775" s="587"/>
      <c r="R775" s="587"/>
    </row>
    <row r="776" spans="16:18" s="461" customFormat="1">
      <c r="P776" s="587"/>
      <c r="Q776" s="587"/>
      <c r="R776" s="587"/>
    </row>
    <row r="777" spans="16:18" s="461" customFormat="1">
      <c r="P777" s="587"/>
      <c r="Q777" s="587"/>
      <c r="R777" s="587"/>
    </row>
    <row r="778" spans="16:18" s="461" customFormat="1">
      <c r="P778" s="587"/>
      <c r="Q778" s="587"/>
      <c r="R778" s="587"/>
    </row>
    <row r="779" spans="16:18" s="461" customFormat="1">
      <c r="P779" s="587"/>
      <c r="Q779" s="587"/>
      <c r="R779" s="587"/>
    </row>
    <row r="780" spans="16:18" s="461" customFormat="1">
      <c r="P780" s="587"/>
      <c r="Q780" s="587"/>
      <c r="R780" s="587"/>
    </row>
    <row r="781" spans="16:18" s="461" customFormat="1">
      <c r="P781" s="587"/>
      <c r="Q781" s="587"/>
      <c r="R781" s="587"/>
    </row>
    <row r="782" spans="16:18" s="461" customFormat="1">
      <c r="P782" s="587"/>
      <c r="Q782" s="587"/>
      <c r="R782" s="587"/>
    </row>
    <row r="783" spans="16:18" s="461" customFormat="1">
      <c r="P783" s="587"/>
      <c r="Q783" s="587"/>
      <c r="R783" s="587"/>
    </row>
    <row r="784" spans="16:18" s="461" customFormat="1">
      <c r="P784" s="587"/>
      <c r="Q784" s="587"/>
      <c r="R784" s="587"/>
    </row>
    <row r="785" spans="16:18" s="461" customFormat="1">
      <c r="P785" s="587"/>
      <c r="Q785" s="587"/>
      <c r="R785" s="587"/>
    </row>
    <row r="786" spans="16:18" s="461" customFormat="1">
      <c r="P786" s="587"/>
      <c r="Q786" s="587"/>
      <c r="R786" s="587"/>
    </row>
    <row r="787" spans="16:18" s="461" customFormat="1">
      <c r="P787" s="587"/>
      <c r="Q787" s="587"/>
      <c r="R787" s="587"/>
    </row>
    <row r="788" spans="16:18" s="461" customFormat="1">
      <c r="P788" s="587"/>
      <c r="Q788" s="587"/>
      <c r="R788" s="587"/>
    </row>
    <row r="789" spans="16:18" s="461" customFormat="1">
      <c r="P789" s="587"/>
      <c r="Q789" s="587"/>
      <c r="R789" s="587"/>
    </row>
    <row r="790" spans="16:18" s="461" customFormat="1">
      <c r="P790" s="587"/>
      <c r="Q790" s="587"/>
      <c r="R790" s="587"/>
    </row>
    <row r="791" spans="16:18" s="461" customFormat="1">
      <c r="P791" s="587"/>
      <c r="Q791" s="587"/>
      <c r="R791" s="587"/>
    </row>
    <row r="792" spans="16:18" s="461" customFormat="1">
      <c r="P792" s="587"/>
      <c r="Q792" s="587"/>
      <c r="R792" s="587"/>
    </row>
    <row r="793" spans="16:18" s="461" customFormat="1">
      <c r="P793" s="587"/>
      <c r="Q793" s="587"/>
      <c r="R793" s="587"/>
    </row>
    <row r="794" spans="16:18" s="461" customFormat="1">
      <c r="P794" s="587"/>
      <c r="Q794" s="587"/>
      <c r="R794" s="587"/>
    </row>
    <row r="795" spans="16:18" s="461" customFormat="1">
      <c r="P795" s="587"/>
      <c r="Q795" s="587"/>
      <c r="R795" s="587"/>
    </row>
    <row r="796" spans="16:18" s="461" customFormat="1">
      <c r="P796" s="587"/>
      <c r="Q796" s="587"/>
      <c r="R796" s="587"/>
    </row>
    <row r="797" spans="16:18" s="461" customFormat="1">
      <c r="P797" s="587"/>
      <c r="Q797" s="587"/>
      <c r="R797" s="587"/>
    </row>
    <row r="798" spans="16:18" s="461" customFormat="1">
      <c r="P798" s="587"/>
      <c r="Q798" s="587"/>
      <c r="R798" s="587"/>
    </row>
    <row r="799" spans="16:18" s="461" customFormat="1">
      <c r="P799" s="587"/>
      <c r="Q799" s="587"/>
      <c r="R799" s="587"/>
    </row>
    <row r="800" spans="16:18" s="461" customFormat="1">
      <c r="P800" s="587"/>
      <c r="Q800" s="587"/>
      <c r="R800" s="587"/>
    </row>
    <row r="801" spans="16:18" s="461" customFormat="1">
      <c r="P801" s="587"/>
      <c r="Q801" s="587"/>
      <c r="R801" s="587"/>
    </row>
    <row r="802" spans="16:18" s="461" customFormat="1">
      <c r="P802" s="587"/>
      <c r="Q802" s="587"/>
      <c r="R802" s="587"/>
    </row>
    <row r="803" spans="16:18" s="461" customFormat="1">
      <c r="P803" s="587"/>
      <c r="Q803" s="587"/>
      <c r="R803" s="587"/>
    </row>
    <row r="804" spans="16:18" s="461" customFormat="1">
      <c r="P804" s="587"/>
      <c r="Q804" s="587"/>
      <c r="R804" s="587"/>
    </row>
    <row r="805" spans="16:18" s="461" customFormat="1">
      <c r="P805" s="587"/>
      <c r="Q805" s="587"/>
      <c r="R805" s="587"/>
    </row>
    <row r="806" spans="16:18" s="461" customFormat="1">
      <c r="P806" s="587"/>
      <c r="Q806" s="587"/>
      <c r="R806" s="587"/>
    </row>
    <row r="807" spans="16:18" s="461" customFormat="1">
      <c r="P807" s="587"/>
      <c r="Q807" s="587"/>
      <c r="R807" s="587"/>
    </row>
    <row r="808" spans="16:18" s="461" customFormat="1">
      <c r="P808" s="587"/>
      <c r="Q808" s="587"/>
      <c r="R808" s="587"/>
    </row>
    <row r="809" spans="16:18" s="461" customFormat="1">
      <c r="P809" s="587"/>
      <c r="Q809" s="587"/>
      <c r="R809" s="587"/>
    </row>
    <row r="810" spans="16:18" s="461" customFormat="1">
      <c r="P810" s="587"/>
      <c r="Q810" s="587"/>
      <c r="R810" s="587"/>
    </row>
    <row r="811" spans="16:18" s="461" customFormat="1">
      <c r="P811" s="587"/>
      <c r="Q811" s="587"/>
      <c r="R811" s="587"/>
    </row>
    <row r="812" spans="16:18" s="461" customFormat="1">
      <c r="P812" s="587"/>
      <c r="Q812" s="587"/>
      <c r="R812" s="587"/>
    </row>
    <row r="813" spans="16:18" s="461" customFormat="1">
      <c r="P813" s="587"/>
      <c r="Q813" s="587"/>
      <c r="R813" s="587"/>
    </row>
    <row r="814" spans="16:18" s="461" customFormat="1">
      <c r="P814" s="587"/>
      <c r="Q814" s="587"/>
      <c r="R814" s="587"/>
    </row>
    <row r="815" spans="16:18" s="461" customFormat="1">
      <c r="P815" s="587"/>
      <c r="Q815" s="587"/>
      <c r="R815" s="587"/>
    </row>
    <row r="816" spans="16:18" s="461" customFormat="1">
      <c r="P816" s="587"/>
      <c r="Q816" s="587"/>
      <c r="R816" s="587"/>
    </row>
    <row r="817" spans="16:18" s="461" customFormat="1">
      <c r="P817" s="587"/>
      <c r="Q817" s="587"/>
      <c r="R817" s="587"/>
    </row>
    <row r="818" spans="16:18" s="461" customFormat="1">
      <c r="P818" s="587"/>
      <c r="Q818" s="587"/>
      <c r="R818" s="587"/>
    </row>
    <row r="819" spans="16:18" s="461" customFormat="1">
      <c r="P819" s="587"/>
      <c r="Q819" s="587"/>
      <c r="R819" s="587"/>
    </row>
    <row r="820" spans="16:18" s="461" customFormat="1">
      <c r="P820" s="587"/>
      <c r="Q820" s="587"/>
      <c r="R820" s="587"/>
    </row>
    <row r="821" spans="16:18" s="461" customFormat="1">
      <c r="P821" s="587"/>
      <c r="Q821" s="587"/>
      <c r="R821" s="587"/>
    </row>
    <row r="822" spans="16:18" s="461" customFormat="1">
      <c r="P822" s="587"/>
      <c r="Q822" s="587"/>
      <c r="R822" s="587"/>
    </row>
    <row r="823" spans="16:18" s="461" customFormat="1">
      <c r="P823" s="587"/>
      <c r="Q823" s="587"/>
      <c r="R823" s="587"/>
    </row>
    <row r="824" spans="16:18" s="461" customFormat="1">
      <c r="P824" s="587"/>
      <c r="Q824" s="587"/>
      <c r="R824" s="587"/>
    </row>
    <row r="825" spans="16:18" s="461" customFormat="1">
      <c r="P825" s="587"/>
      <c r="Q825" s="587"/>
      <c r="R825" s="587"/>
    </row>
    <row r="826" spans="16:18" s="461" customFormat="1">
      <c r="P826" s="587"/>
      <c r="Q826" s="587"/>
      <c r="R826" s="587"/>
    </row>
    <row r="827" spans="16:18" s="461" customFormat="1">
      <c r="P827" s="587"/>
      <c r="Q827" s="587"/>
      <c r="R827" s="587"/>
    </row>
    <row r="828" spans="16:18" s="461" customFormat="1">
      <c r="P828" s="587"/>
      <c r="Q828" s="587"/>
      <c r="R828" s="587"/>
    </row>
    <row r="829" spans="16:18" s="461" customFormat="1">
      <c r="P829" s="587"/>
      <c r="Q829" s="587"/>
      <c r="R829" s="587"/>
    </row>
    <row r="830" spans="16:18" s="461" customFormat="1">
      <c r="P830" s="587"/>
      <c r="Q830" s="587"/>
      <c r="R830" s="587"/>
    </row>
    <row r="831" spans="16:18" s="461" customFormat="1">
      <c r="P831" s="587"/>
      <c r="Q831" s="587"/>
      <c r="R831" s="587"/>
    </row>
    <row r="832" spans="16:18" s="461" customFormat="1">
      <c r="P832" s="587"/>
      <c r="Q832" s="587"/>
      <c r="R832" s="587"/>
    </row>
    <row r="833" spans="16:18" s="461" customFormat="1">
      <c r="P833" s="587"/>
      <c r="Q833" s="587"/>
      <c r="R833" s="587"/>
    </row>
    <row r="834" spans="16:18" s="461" customFormat="1">
      <c r="P834" s="587"/>
      <c r="Q834" s="587"/>
      <c r="R834" s="587"/>
    </row>
    <row r="835" spans="16:18" s="461" customFormat="1">
      <c r="P835" s="587"/>
      <c r="Q835" s="587"/>
      <c r="R835" s="587"/>
    </row>
    <row r="836" spans="16:18" s="461" customFormat="1">
      <c r="P836" s="587"/>
      <c r="Q836" s="587"/>
      <c r="R836" s="587"/>
    </row>
    <row r="837" spans="16:18" s="461" customFormat="1">
      <c r="P837" s="587"/>
      <c r="Q837" s="587"/>
      <c r="R837" s="587"/>
    </row>
    <row r="838" spans="16:18" s="461" customFormat="1">
      <c r="P838" s="587"/>
      <c r="Q838" s="587"/>
      <c r="R838" s="587"/>
    </row>
    <row r="839" spans="16:18" s="461" customFormat="1">
      <c r="P839" s="587"/>
      <c r="Q839" s="587"/>
      <c r="R839" s="587"/>
    </row>
    <row r="840" spans="16:18" s="461" customFormat="1">
      <c r="P840" s="587"/>
      <c r="Q840" s="587"/>
      <c r="R840" s="587"/>
    </row>
    <row r="841" spans="16:18" s="461" customFormat="1">
      <c r="P841" s="587"/>
      <c r="Q841" s="587"/>
      <c r="R841" s="587"/>
    </row>
    <row r="842" spans="16:18" s="461" customFormat="1">
      <c r="P842" s="587"/>
      <c r="Q842" s="587"/>
      <c r="R842" s="587"/>
    </row>
    <row r="843" spans="16:18" s="461" customFormat="1">
      <c r="P843" s="587"/>
      <c r="Q843" s="587"/>
      <c r="R843" s="587"/>
    </row>
    <row r="844" spans="16:18" s="461" customFormat="1">
      <c r="P844" s="587"/>
      <c r="Q844" s="587"/>
      <c r="R844" s="587"/>
    </row>
    <row r="845" spans="16:18" s="461" customFormat="1">
      <c r="P845" s="587"/>
      <c r="Q845" s="587"/>
      <c r="R845" s="587"/>
    </row>
    <row r="846" spans="16:18" s="461" customFormat="1">
      <c r="P846" s="587"/>
      <c r="Q846" s="587"/>
      <c r="R846" s="587"/>
    </row>
    <row r="847" spans="16:18" s="461" customFormat="1">
      <c r="P847" s="587"/>
      <c r="Q847" s="587"/>
      <c r="R847" s="587"/>
    </row>
    <row r="848" spans="16:18" s="461" customFormat="1">
      <c r="P848" s="587"/>
      <c r="Q848" s="587"/>
      <c r="R848" s="587"/>
    </row>
    <row r="849" spans="16:18" s="461" customFormat="1">
      <c r="P849" s="587"/>
      <c r="Q849" s="587"/>
      <c r="R849" s="587"/>
    </row>
    <row r="850" spans="16:18" s="461" customFormat="1">
      <c r="P850" s="587"/>
      <c r="Q850" s="587"/>
      <c r="R850" s="587"/>
    </row>
    <row r="851" spans="16:18" s="461" customFormat="1">
      <c r="P851" s="587"/>
      <c r="Q851" s="587"/>
      <c r="R851" s="587"/>
    </row>
    <row r="852" spans="16:18" s="461" customFormat="1">
      <c r="P852" s="587"/>
      <c r="Q852" s="587"/>
      <c r="R852" s="587"/>
    </row>
    <row r="853" spans="16:18" s="461" customFormat="1">
      <c r="P853" s="587"/>
      <c r="Q853" s="587"/>
      <c r="R853" s="587"/>
    </row>
    <row r="854" spans="16:18" s="461" customFormat="1">
      <c r="P854" s="587"/>
      <c r="Q854" s="587"/>
      <c r="R854" s="587"/>
    </row>
    <row r="855" spans="16:18" s="461" customFormat="1">
      <c r="P855" s="587"/>
      <c r="Q855" s="587"/>
      <c r="R855" s="587"/>
    </row>
    <row r="856" spans="16:18" s="461" customFormat="1">
      <c r="P856" s="587"/>
      <c r="Q856" s="587"/>
      <c r="R856" s="587"/>
    </row>
    <row r="857" spans="16:18" s="461" customFormat="1">
      <c r="P857" s="587"/>
      <c r="Q857" s="587"/>
      <c r="R857" s="587"/>
    </row>
    <row r="858" spans="16:18" s="461" customFormat="1">
      <c r="P858" s="587"/>
      <c r="Q858" s="587"/>
      <c r="R858" s="587"/>
    </row>
    <row r="859" spans="16:18" s="461" customFormat="1">
      <c r="P859" s="587"/>
      <c r="Q859" s="587"/>
      <c r="R859" s="587"/>
    </row>
    <row r="860" spans="16:18" s="461" customFormat="1">
      <c r="P860" s="587"/>
      <c r="Q860" s="587"/>
      <c r="R860" s="587"/>
    </row>
    <row r="861" spans="16:18" s="461" customFormat="1">
      <c r="P861" s="587"/>
      <c r="Q861" s="587"/>
      <c r="R861" s="587"/>
    </row>
    <row r="862" spans="16:18" s="461" customFormat="1">
      <c r="P862" s="587"/>
      <c r="Q862" s="587"/>
      <c r="R862" s="587"/>
    </row>
    <row r="863" spans="16:18" s="461" customFormat="1">
      <c r="P863" s="587"/>
      <c r="Q863" s="587"/>
      <c r="R863" s="587"/>
    </row>
    <row r="864" spans="16:18" s="461" customFormat="1">
      <c r="P864" s="587"/>
      <c r="Q864" s="587"/>
      <c r="R864" s="587"/>
    </row>
    <row r="865" spans="16:18" s="461" customFormat="1">
      <c r="P865" s="587"/>
      <c r="Q865" s="587"/>
      <c r="R865" s="587"/>
    </row>
    <row r="866" spans="16:18" s="461" customFormat="1">
      <c r="P866" s="587"/>
      <c r="Q866" s="587"/>
      <c r="R866" s="587"/>
    </row>
    <row r="867" spans="16:18" s="461" customFormat="1">
      <c r="P867" s="587"/>
      <c r="Q867" s="587"/>
      <c r="R867" s="587"/>
    </row>
    <row r="868" spans="16:18" s="461" customFormat="1">
      <c r="P868" s="587"/>
      <c r="Q868" s="587"/>
      <c r="R868" s="587"/>
    </row>
    <row r="869" spans="16:18" s="461" customFormat="1">
      <c r="P869" s="587"/>
      <c r="Q869" s="587"/>
      <c r="R869" s="587"/>
    </row>
    <row r="870" spans="16:18" s="461" customFormat="1">
      <c r="P870" s="587"/>
      <c r="Q870" s="587"/>
      <c r="R870" s="587"/>
    </row>
    <row r="871" spans="16:18" s="461" customFormat="1">
      <c r="P871" s="587"/>
      <c r="Q871" s="587"/>
      <c r="R871" s="587"/>
    </row>
    <row r="872" spans="16:18" s="461" customFormat="1">
      <c r="P872" s="587"/>
      <c r="Q872" s="587"/>
      <c r="R872" s="587"/>
    </row>
    <row r="873" spans="16:18" s="461" customFormat="1">
      <c r="P873" s="587"/>
      <c r="Q873" s="587"/>
      <c r="R873" s="587"/>
    </row>
    <row r="874" spans="16:18" s="461" customFormat="1">
      <c r="P874" s="587"/>
      <c r="Q874" s="587"/>
      <c r="R874" s="587"/>
    </row>
    <row r="875" spans="16:18" s="461" customFormat="1">
      <c r="P875" s="587"/>
      <c r="Q875" s="587"/>
      <c r="R875" s="587"/>
    </row>
    <row r="876" spans="16:18" s="461" customFormat="1">
      <c r="P876" s="587"/>
      <c r="Q876" s="587"/>
      <c r="R876" s="587"/>
    </row>
    <row r="877" spans="16:18" s="461" customFormat="1">
      <c r="P877" s="587"/>
      <c r="Q877" s="587"/>
      <c r="R877" s="587"/>
    </row>
    <row r="878" spans="16:18" s="461" customFormat="1">
      <c r="P878" s="587"/>
      <c r="Q878" s="587"/>
      <c r="R878" s="587"/>
    </row>
    <row r="879" spans="16:18" s="461" customFormat="1">
      <c r="P879" s="587"/>
      <c r="Q879" s="587"/>
      <c r="R879" s="587"/>
    </row>
    <row r="880" spans="16:18" s="461" customFormat="1">
      <c r="P880" s="587"/>
      <c r="Q880" s="587"/>
      <c r="R880" s="587"/>
    </row>
    <row r="881" spans="16:18" s="461" customFormat="1">
      <c r="P881" s="587"/>
      <c r="Q881" s="587"/>
      <c r="R881" s="587"/>
    </row>
    <row r="882" spans="16:18" s="461" customFormat="1">
      <c r="P882" s="587"/>
      <c r="Q882" s="587"/>
      <c r="R882" s="587"/>
    </row>
    <row r="883" spans="16:18" s="461" customFormat="1">
      <c r="P883" s="587"/>
      <c r="Q883" s="587"/>
      <c r="R883" s="587"/>
    </row>
    <row r="884" spans="16:18" s="461" customFormat="1">
      <c r="P884" s="587"/>
      <c r="Q884" s="587"/>
      <c r="R884" s="587"/>
    </row>
    <row r="885" spans="16:18" s="461" customFormat="1">
      <c r="P885" s="587"/>
      <c r="Q885" s="587"/>
      <c r="R885" s="587"/>
    </row>
    <row r="886" spans="16:18" s="461" customFormat="1">
      <c r="P886" s="587"/>
      <c r="Q886" s="587"/>
      <c r="R886" s="587"/>
    </row>
    <row r="887" spans="16:18" s="461" customFormat="1">
      <c r="P887" s="587"/>
      <c r="Q887" s="587"/>
      <c r="R887" s="587"/>
    </row>
    <row r="888" spans="16:18" s="461" customFormat="1">
      <c r="P888" s="587"/>
      <c r="Q888" s="587"/>
      <c r="R888" s="587"/>
    </row>
    <row r="889" spans="16:18" s="461" customFormat="1">
      <c r="P889" s="587"/>
      <c r="Q889" s="587"/>
      <c r="R889" s="587"/>
    </row>
    <row r="890" spans="16:18" s="461" customFormat="1">
      <c r="P890" s="587"/>
      <c r="Q890" s="587"/>
      <c r="R890" s="587"/>
    </row>
    <row r="891" spans="16:18" s="461" customFormat="1">
      <c r="P891" s="587"/>
      <c r="Q891" s="587"/>
      <c r="R891" s="587"/>
    </row>
    <row r="892" spans="16:18" s="461" customFormat="1">
      <c r="P892" s="587"/>
      <c r="Q892" s="587"/>
      <c r="R892" s="587"/>
    </row>
    <row r="893" spans="16:18" s="461" customFormat="1">
      <c r="P893" s="587"/>
      <c r="Q893" s="587"/>
      <c r="R893" s="587"/>
    </row>
    <row r="894" spans="16:18" s="461" customFormat="1">
      <c r="P894" s="587"/>
      <c r="Q894" s="587"/>
      <c r="R894" s="587"/>
    </row>
    <row r="895" spans="16:18" s="461" customFormat="1">
      <c r="P895" s="587"/>
      <c r="Q895" s="587"/>
      <c r="R895" s="587"/>
    </row>
    <row r="896" spans="16:18" s="461" customFormat="1">
      <c r="P896" s="587"/>
      <c r="Q896" s="587"/>
      <c r="R896" s="587"/>
    </row>
    <row r="897" spans="16:18" s="461" customFormat="1">
      <c r="P897" s="587"/>
      <c r="Q897" s="587"/>
      <c r="R897" s="587"/>
    </row>
    <row r="898" spans="16:18" s="461" customFormat="1">
      <c r="P898" s="587"/>
      <c r="Q898" s="587"/>
      <c r="R898" s="587"/>
    </row>
    <row r="899" spans="16:18" s="461" customFormat="1">
      <c r="P899" s="587"/>
      <c r="Q899" s="587"/>
      <c r="R899" s="587"/>
    </row>
    <row r="900" spans="16:18" s="461" customFormat="1">
      <c r="P900" s="587"/>
      <c r="Q900" s="587"/>
      <c r="R900" s="587"/>
    </row>
    <row r="901" spans="16:18" s="461" customFormat="1">
      <c r="P901" s="587"/>
      <c r="Q901" s="587"/>
      <c r="R901" s="587"/>
    </row>
    <row r="902" spans="16:18" s="461" customFormat="1">
      <c r="P902" s="587"/>
      <c r="Q902" s="587"/>
      <c r="R902" s="587"/>
    </row>
    <row r="903" spans="16:18" s="461" customFormat="1">
      <c r="P903" s="587"/>
      <c r="Q903" s="587"/>
      <c r="R903" s="587"/>
    </row>
    <row r="904" spans="16:18" s="461" customFormat="1">
      <c r="P904" s="587"/>
      <c r="Q904" s="587"/>
      <c r="R904" s="587"/>
    </row>
    <row r="905" spans="16:18" s="461" customFormat="1">
      <c r="P905" s="587"/>
      <c r="Q905" s="587"/>
      <c r="R905" s="587"/>
    </row>
    <row r="906" spans="16:18" s="461" customFormat="1">
      <c r="P906" s="587"/>
      <c r="Q906" s="587"/>
      <c r="R906" s="587"/>
    </row>
    <row r="907" spans="16:18" s="461" customFormat="1">
      <c r="P907" s="587"/>
      <c r="Q907" s="587"/>
      <c r="R907" s="587"/>
    </row>
    <row r="908" spans="16:18" s="461" customFormat="1">
      <c r="P908" s="587"/>
      <c r="Q908" s="587"/>
      <c r="R908" s="587"/>
    </row>
    <row r="909" spans="16:18" s="461" customFormat="1">
      <c r="P909" s="587"/>
      <c r="Q909" s="587"/>
      <c r="R909" s="587"/>
    </row>
    <row r="910" spans="16:18" s="461" customFormat="1">
      <c r="P910" s="587"/>
      <c r="Q910" s="587"/>
      <c r="R910" s="587"/>
    </row>
    <row r="911" spans="16:18" s="461" customFormat="1">
      <c r="P911" s="587"/>
      <c r="Q911" s="587"/>
      <c r="R911" s="587"/>
    </row>
    <row r="912" spans="16:18" s="461" customFormat="1">
      <c r="P912" s="587"/>
      <c r="Q912" s="587"/>
      <c r="R912" s="587"/>
    </row>
    <row r="913" spans="16:18" s="461" customFormat="1">
      <c r="P913" s="587"/>
      <c r="Q913" s="587"/>
      <c r="R913" s="587"/>
    </row>
    <row r="914" spans="16:18" s="461" customFormat="1">
      <c r="P914" s="587"/>
      <c r="Q914" s="587"/>
      <c r="R914" s="587"/>
    </row>
    <row r="915" spans="16:18" s="461" customFormat="1">
      <c r="P915" s="587"/>
      <c r="Q915" s="587"/>
      <c r="R915" s="587"/>
    </row>
    <row r="916" spans="16:18" s="461" customFormat="1">
      <c r="P916" s="587"/>
      <c r="Q916" s="587"/>
      <c r="R916" s="587"/>
    </row>
    <row r="917" spans="16:18" s="461" customFormat="1">
      <c r="P917" s="587"/>
      <c r="Q917" s="587"/>
      <c r="R917" s="587"/>
    </row>
    <row r="918" spans="16:18" s="461" customFormat="1">
      <c r="P918" s="587"/>
      <c r="Q918" s="587"/>
      <c r="R918" s="587"/>
    </row>
    <row r="919" spans="16:18" s="461" customFormat="1">
      <c r="P919" s="587"/>
      <c r="Q919" s="587"/>
      <c r="R919" s="587"/>
    </row>
    <row r="920" spans="16:18" s="461" customFormat="1">
      <c r="P920" s="587"/>
      <c r="Q920" s="587"/>
      <c r="R920" s="587"/>
    </row>
    <row r="921" spans="16:18" s="461" customFormat="1">
      <c r="P921" s="587"/>
      <c r="Q921" s="587"/>
      <c r="R921" s="587"/>
    </row>
    <row r="922" spans="16:18" s="461" customFormat="1">
      <c r="P922" s="587"/>
      <c r="Q922" s="587"/>
      <c r="R922" s="587"/>
    </row>
    <row r="923" spans="16:18" s="461" customFormat="1">
      <c r="P923" s="587"/>
      <c r="Q923" s="587"/>
      <c r="R923" s="587"/>
    </row>
    <row r="924" spans="16:18" s="461" customFormat="1">
      <c r="P924" s="587"/>
      <c r="Q924" s="587"/>
      <c r="R924" s="587"/>
    </row>
    <row r="925" spans="16:18" s="461" customFormat="1">
      <c r="P925" s="587"/>
      <c r="Q925" s="587"/>
      <c r="R925" s="587"/>
    </row>
    <row r="926" spans="16:18" s="461" customFormat="1">
      <c r="P926" s="587"/>
      <c r="Q926" s="587"/>
      <c r="R926" s="587"/>
    </row>
    <row r="927" spans="16:18" s="461" customFormat="1">
      <c r="P927" s="587"/>
      <c r="Q927" s="587"/>
      <c r="R927" s="587"/>
    </row>
    <row r="928" spans="16:18" s="461" customFormat="1">
      <c r="P928" s="587"/>
      <c r="Q928" s="587"/>
      <c r="R928" s="587"/>
    </row>
    <row r="929" spans="16:18" s="461" customFormat="1">
      <c r="P929" s="587"/>
      <c r="Q929" s="587"/>
      <c r="R929" s="587"/>
    </row>
    <row r="930" spans="16:18" s="461" customFormat="1">
      <c r="P930" s="587"/>
      <c r="Q930" s="587"/>
      <c r="R930" s="587"/>
    </row>
    <row r="931" spans="16:18" s="461" customFormat="1">
      <c r="P931" s="587"/>
      <c r="Q931" s="587"/>
      <c r="R931" s="587"/>
    </row>
    <row r="932" spans="16:18" s="461" customFormat="1">
      <c r="P932" s="587"/>
      <c r="Q932" s="587"/>
      <c r="R932" s="587"/>
    </row>
    <row r="933" spans="16:18" s="461" customFormat="1">
      <c r="P933" s="587"/>
      <c r="Q933" s="587"/>
      <c r="R933" s="587"/>
    </row>
    <row r="934" spans="16:18" s="461" customFormat="1">
      <c r="P934" s="587"/>
      <c r="Q934" s="587"/>
      <c r="R934" s="587"/>
    </row>
    <row r="935" spans="16:18" s="461" customFormat="1">
      <c r="P935" s="587"/>
      <c r="Q935" s="587"/>
      <c r="R935" s="587"/>
    </row>
    <row r="936" spans="16:18" s="461" customFormat="1">
      <c r="P936" s="587"/>
      <c r="Q936" s="587"/>
      <c r="R936" s="587"/>
    </row>
    <row r="937" spans="16:18" s="461" customFormat="1">
      <c r="P937" s="587"/>
      <c r="Q937" s="587"/>
      <c r="R937" s="587"/>
    </row>
    <row r="938" spans="16:18" s="461" customFormat="1">
      <c r="P938" s="587"/>
      <c r="Q938" s="587"/>
      <c r="R938" s="587"/>
    </row>
    <row r="939" spans="16:18" s="461" customFormat="1">
      <c r="P939" s="587"/>
      <c r="Q939" s="587"/>
      <c r="R939" s="587"/>
    </row>
    <row r="940" spans="16:18" s="461" customFormat="1">
      <c r="P940" s="587"/>
      <c r="Q940" s="587"/>
      <c r="R940" s="587"/>
    </row>
    <row r="941" spans="16:18" s="461" customFormat="1">
      <c r="P941" s="587"/>
      <c r="Q941" s="587"/>
      <c r="R941" s="587"/>
    </row>
    <row r="942" spans="16:18" s="461" customFormat="1">
      <c r="P942" s="587"/>
      <c r="Q942" s="587"/>
      <c r="R942" s="587"/>
    </row>
    <row r="943" spans="16:18" s="461" customFormat="1">
      <c r="P943" s="587"/>
      <c r="Q943" s="587"/>
      <c r="R943" s="587"/>
    </row>
    <row r="944" spans="16:18" s="461" customFormat="1">
      <c r="P944" s="587"/>
      <c r="Q944" s="587"/>
      <c r="R944" s="587"/>
    </row>
    <row r="945" spans="16:18" s="461" customFormat="1">
      <c r="P945" s="587"/>
      <c r="Q945" s="587"/>
      <c r="R945" s="587"/>
    </row>
    <row r="946" spans="16:18" s="461" customFormat="1">
      <c r="P946" s="587"/>
      <c r="Q946" s="587"/>
      <c r="R946" s="587"/>
    </row>
    <row r="947" spans="16:18" s="461" customFormat="1">
      <c r="P947" s="587"/>
      <c r="Q947" s="587"/>
      <c r="R947" s="587"/>
    </row>
    <row r="948" spans="16:18" s="461" customFormat="1">
      <c r="P948" s="587"/>
      <c r="Q948" s="587"/>
      <c r="R948" s="587"/>
    </row>
    <row r="949" spans="16:18" s="461" customFormat="1">
      <c r="P949" s="587"/>
      <c r="Q949" s="587"/>
      <c r="R949" s="587"/>
    </row>
    <row r="950" spans="16:18" s="461" customFormat="1">
      <c r="P950" s="587"/>
      <c r="Q950" s="587"/>
      <c r="R950" s="587"/>
    </row>
    <row r="951" spans="16:18" s="461" customFormat="1">
      <c r="P951" s="587"/>
      <c r="Q951" s="587"/>
      <c r="R951" s="587"/>
    </row>
    <row r="952" spans="16:18" s="461" customFormat="1">
      <c r="P952" s="587"/>
      <c r="Q952" s="587"/>
      <c r="R952" s="587"/>
    </row>
    <row r="953" spans="16:18" s="461" customFormat="1">
      <c r="P953" s="587"/>
      <c r="Q953" s="587"/>
      <c r="R953" s="587"/>
    </row>
    <row r="954" spans="16:18" s="461" customFormat="1">
      <c r="P954" s="587"/>
      <c r="Q954" s="587"/>
      <c r="R954" s="587"/>
    </row>
    <row r="955" spans="16:18" s="461" customFormat="1">
      <c r="P955" s="587"/>
      <c r="Q955" s="587"/>
      <c r="R955" s="587"/>
    </row>
    <row r="956" spans="16:18" s="461" customFormat="1">
      <c r="P956" s="587"/>
      <c r="Q956" s="587"/>
      <c r="R956" s="587"/>
    </row>
    <row r="957" spans="16:18" s="461" customFormat="1">
      <c r="P957" s="587"/>
      <c r="Q957" s="587"/>
      <c r="R957" s="587"/>
    </row>
    <row r="958" spans="16:18" s="461" customFormat="1">
      <c r="P958" s="587"/>
      <c r="Q958" s="587"/>
      <c r="R958" s="587"/>
    </row>
    <row r="959" spans="16:18" s="461" customFormat="1">
      <c r="P959" s="587"/>
      <c r="Q959" s="587"/>
      <c r="R959" s="587"/>
    </row>
    <row r="960" spans="16:18" s="461" customFormat="1">
      <c r="P960" s="587"/>
      <c r="Q960" s="587"/>
      <c r="R960" s="587"/>
    </row>
    <row r="961" spans="16:18" s="461" customFormat="1">
      <c r="P961" s="587"/>
      <c r="Q961" s="587"/>
      <c r="R961" s="587"/>
    </row>
    <row r="962" spans="16:18" s="461" customFormat="1">
      <c r="P962" s="587"/>
      <c r="Q962" s="587"/>
      <c r="R962" s="587"/>
    </row>
    <row r="963" spans="16:18" s="461" customFormat="1">
      <c r="P963" s="587"/>
      <c r="Q963" s="587"/>
      <c r="R963" s="587"/>
    </row>
    <row r="964" spans="16:18" s="461" customFormat="1">
      <c r="P964" s="587"/>
      <c r="Q964" s="587"/>
      <c r="R964" s="587"/>
    </row>
    <row r="965" spans="16:18" s="461" customFormat="1">
      <c r="P965" s="587"/>
      <c r="Q965" s="587"/>
      <c r="R965" s="587"/>
    </row>
    <row r="966" spans="16:18" s="461" customFormat="1">
      <c r="P966" s="587"/>
      <c r="Q966" s="587"/>
      <c r="R966" s="587"/>
    </row>
    <row r="967" spans="16:18" s="461" customFormat="1">
      <c r="P967" s="587"/>
      <c r="Q967" s="587"/>
      <c r="R967" s="587"/>
    </row>
    <row r="968" spans="16:18" s="461" customFormat="1">
      <c r="P968" s="587"/>
      <c r="Q968" s="587"/>
      <c r="R968" s="587"/>
    </row>
    <row r="969" spans="16:18" s="461" customFormat="1">
      <c r="P969" s="587"/>
      <c r="Q969" s="587"/>
      <c r="R969" s="587"/>
    </row>
    <row r="970" spans="16:18" s="461" customFormat="1">
      <c r="P970" s="587"/>
      <c r="Q970" s="587"/>
      <c r="R970" s="587"/>
    </row>
    <row r="971" spans="16:18" s="461" customFormat="1">
      <c r="P971" s="587"/>
      <c r="Q971" s="587"/>
      <c r="R971" s="587"/>
    </row>
    <row r="972" spans="16:18" s="461" customFormat="1">
      <c r="P972" s="587"/>
      <c r="Q972" s="587"/>
      <c r="R972" s="587"/>
    </row>
    <row r="973" spans="16:18" s="461" customFormat="1">
      <c r="P973" s="587"/>
      <c r="Q973" s="587"/>
      <c r="R973" s="587"/>
    </row>
    <row r="974" spans="16:18" s="461" customFormat="1">
      <c r="P974" s="587"/>
      <c r="Q974" s="587"/>
      <c r="R974" s="587"/>
    </row>
    <row r="975" spans="16:18" s="461" customFormat="1">
      <c r="P975" s="587"/>
      <c r="Q975" s="587"/>
      <c r="R975" s="587"/>
    </row>
    <row r="976" spans="16:18" s="461" customFormat="1">
      <c r="P976" s="587"/>
      <c r="Q976" s="587"/>
      <c r="R976" s="587"/>
    </row>
    <row r="977" spans="16:18" s="461" customFormat="1">
      <c r="P977" s="587"/>
      <c r="Q977" s="587"/>
      <c r="R977" s="587"/>
    </row>
    <row r="978" spans="16:18" s="461" customFormat="1">
      <c r="P978" s="587"/>
      <c r="Q978" s="587"/>
      <c r="R978" s="587"/>
    </row>
    <row r="979" spans="16:18" s="461" customFormat="1">
      <c r="P979" s="587"/>
      <c r="Q979" s="587"/>
      <c r="R979" s="587"/>
    </row>
    <row r="980" spans="16:18" s="461" customFormat="1">
      <c r="P980" s="587"/>
      <c r="Q980" s="587"/>
      <c r="R980" s="587"/>
    </row>
    <row r="981" spans="16:18" s="461" customFormat="1">
      <c r="P981" s="587"/>
      <c r="Q981" s="587"/>
      <c r="R981" s="587"/>
    </row>
    <row r="982" spans="16:18" s="461" customFormat="1">
      <c r="P982" s="587"/>
      <c r="Q982" s="587"/>
      <c r="R982" s="587"/>
    </row>
    <row r="983" spans="16:18" s="461" customFormat="1">
      <c r="P983" s="587"/>
      <c r="Q983" s="587"/>
      <c r="R983" s="587"/>
    </row>
    <row r="984" spans="16:18" s="461" customFormat="1">
      <c r="P984" s="587"/>
      <c r="Q984" s="587"/>
      <c r="R984" s="587"/>
    </row>
    <row r="985" spans="16:18" s="461" customFormat="1">
      <c r="P985" s="587"/>
      <c r="Q985" s="587"/>
      <c r="R985" s="587"/>
    </row>
    <row r="986" spans="16:18" s="461" customFormat="1">
      <c r="P986" s="587"/>
      <c r="Q986" s="587"/>
      <c r="R986" s="587"/>
    </row>
    <row r="987" spans="16:18" s="461" customFormat="1">
      <c r="P987" s="587"/>
      <c r="Q987" s="587"/>
      <c r="R987" s="587"/>
    </row>
    <row r="988" spans="16:18" s="461" customFormat="1">
      <c r="P988" s="587"/>
      <c r="Q988" s="587"/>
      <c r="R988" s="587"/>
    </row>
    <row r="989" spans="16:18" s="461" customFormat="1">
      <c r="P989" s="587"/>
      <c r="Q989" s="587"/>
      <c r="R989" s="587"/>
    </row>
    <row r="990" spans="16:18" s="461" customFormat="1">
      <c r="P990" s="587"/>
      <c r="Q990" s="587"/>
      <c r="R990" s="587"/>
    </row>
    <row r="991" spans="16:18" s="461" customFormat="1">
      <c r="P991" s="587"/>
      <c r="Q991" s="587"/>
      <c r="R991" s="587"/>
    </row>
    <row r="992" spans="16:18" s="461" customFormat="1">
      <c r="P992" s="587"/>
      <c r="Q992" s="587"/>
      <c r="R992" s="587"/>
    </row>
    <row r="993" spans="16:18" s="461" customFormat="1">
      <c r="P993" s="587"/>
      <c r="Q993" s="587"/>
      <c r="R993" s="587"/>
    </row>
    <row r="994" spans="16:18" s="461" customFormat="1">
      <c r="P994" s="587"/>
      <c r="Q994" s="587"/>
      <c r="R994" s="587"/>
    </row>
    <row r="995" spans="16:18" s="461" customFormat="1">
      <c r="P995" s="587"/>
      <c r="Q995" s="587"/>
      <c r="R995" s="587"/>
    </row>
    <row r="996" spans="16:18" s="461" customFormat="1">
      <c r="P996" s="587"/>
      <c r="Q996" s="587"/>
      <c r="R996" s="587"/>
    </row>
    <row r="997" spans="16:18" s="461" customFormat="1">
      <c r="P997" s="587"/>
      <c r="Q997" s="587"/>
      <c r="R997" s="587"/>
    </row>
    <row r="998" spans="16:18" s="461" customFormat="1">
      <c r="P998" s="587"/>
      <c r="Q998" s="587"/>
      <c r="R998" s="587"/>
    </row>
    <row r="999" spans="16:18" s="461" customFormat="1">
      <c r="P999" s="587"/>
      <c r="Q999" s="587"/>
      <c r="R999" s="587"/>
    </row>
    <row r="1000" spans="16:18" s="461" customFormat="1">
      <c r="P1000" s="587"/>
      <c r="Q1000" s="587"/>
      <c r="R1000" s="587"/>
    </row>
    <row r="1001" spans="16:18" s="461" customFormat="1">
      <c r="P1001" s="587"/>
      <c r="Q1001" s="587"/>
      <c r="R1001" s="587"/>
    </row>
    <row r="1002" spans="16:18" s="461" customFormat="1">
      <c r="P1002" s="587"/>
      <c r="Q1002" s="587"/>
      <c r="R1002" s="587"/>
    </row>
    <row r="1003" spans="16:18" s="461" customFormat="1">
      <c r="P1003" s="587"/>
      <c r="Q1003" s="587"/>
      <c r="R1003" s="587"/>
    </row>
    <row r="1004" spans="16:18" s="461" customFormat="1">
      <c r="P1004" s="587"/>
      <c r="Q1004" s="587"/>
      <c r="R1004" s="587"/>
    </row>
    <row r="1005" spans="16:18" s="461" customFormat="1">
      <c r="P1005" s="587"/>
      <c r="Q1005" s="587"/>
      <c r="R1005" s="587"/>
    </row>
    <row r="1006" spans="16:18" s="461" customFormat="1">
      <c r="P1006" s="587"/>
      <c r="Q1006" s="587"/>
      <c r="R1006" s="587"/>
    </row>
    <row r="1007" spans="16:18" s="461" customFormat="1">
      <c r="P1007" s="587"/>
      <c r="Q1007" s="587"/>
      <c r="R1007" s="587"/>
    </row>
    <row r="1008" spans="16:18" s="461" customFormat="1">
      <c r="P1008" s="587"/>
      <c r="Q1008" s="587"/>
      <c r="R1008" s="587"/>
    </row>
    <row r="1009" spans="16:18" s="461" customFormat="1">
      <c r="P1009" s="587"/>
      <c r="Q1009" s="587"/>
      <c r="R1009" s="587"/>
    </row>
    <row r="1010" spans="16:18" s="461" customFormat="1">
      <c r="P1010" s="587"/>
      <c r="Q1010" s="587"/>
      <c r="R1010" s="587"/>
    </row>
    <row r="1011" spans="16:18" s="461" customFormat="1">
      <c r="P1011" s="587"/>
      <c r="Q1011" s="587"/>
      <c r="R1011" s="587"/>
    </row>
    <row r="1012" spans="16:18" s="461" customFormat="1">
      <c r="P1012" s="587"/>
      <c r="Q1012" s="587"/>
      <c r="R1012" s="587"/>
    </row>
    <row r="1013" spans="16:18" s="461" customFormat="1">
      <c r="P1013" s="587"/>
      <c r="Q1013" s="587"/>
      <c r="R1013" s="587"/>
    </row>
    <row r="1014" spans="16:18" s="461" customFormat="1">
      <c r="P1014" s="587"/>
      <c r="Q1014" s="587"/>
      <c r="R1014" s="587"/>
    </row>
    <row r="1015" spans="16:18" s="461" customFormat="1">
      <c r="P1015" s="587"/>
      <c r="Q1015" s="587"/>
      <c r="R1015" s="587"/>
    </row>
    <row r="1016" spans="16:18" s="461" customFormat="1">
      <c r="P1016" s="587"/>
      <c r="Q1016" s="587"/>
      <c r="R1016" s="587"/>
    </row>
    <row r="1017" spans="16:18" s="461" customFormat="1">
      <c r="P1017" s="587"/>
      <c r="Q1017" s="587"/>
      <c r="R1017" s="587"/>
    </row>
    <row r="1018" spans="16:18" s="461" customFormat="1">
      <c r="P1018" s="587"/>
      <c r="Q1018" s="587"/>
      <c r="R1018" s="587"/>
    </row>
    <row r="1019" spans="16:18" s="461" customFormat="1">
      <c r="P1019" s="587"/>
      <c r="Q1019" s="587"/>
      <c r="R1019" s="587"/>
    </row>
    <row r="1020" spans="16:18" s="461" customFormat="1">
      <c r="P1020" s="587"/>
      <c r="Q1020" s="587"/>
      <c r="R1020" s="587"/>
    </row>
    <row r="1021" spans="16:18" s="461" customFormat="1">
      <c r="P1021" s="587"/>
      <c r="Q1021" s="587"/>
      <c r="R1021" s="587"/>
    </row>
    <row r="1022" spans="16:18" s="461" customFormat="1">
      <c r="P1022" s="587"/>
      <c r="Q1022" s="587"/>
      <c r="R1022" s="587"/>
    </row>
    <row r="1023" spans="16:18" s="461" customFormat="1">
      <c r="P1023" s="587"/>
      <c r="Q1023" s="587"/>
      <c r="R1023" s="587"/>
    </row>
    <row r="1024" spans="16:18" s="461" customFormat="1">
      <c r="P1024" s="587"/>
      <c r="Q1024" s="587"/>
      <c r="R1024" s="587"/>
    </row>
    <row r="1025" spans="16:18" s="461" customFormat="1">
      <c r="P1025" s="587"/>
      <c r="Q1025" s="587"/>
      <c r="R1025" s="587"/>
    </row>
    <row r="1026" spans="16:18" s="461" customFormat="1">
      <c r="P1026" s="587"/>
      <c r="Q1026" s="587"/>
      <c r="R1026" s="587"/>
    </row>
    <row r="1027" spans="16:18" s="461" customFormat="1">
      <c r="P1027" s="587"/>
      <c r="Q1027" s="587"/>
      <c r="R1027" s="587"/>
    </row>
    <row r="1028" spans="16:18" s="461" customFormat="1">
      <c r="P1028" s="587"/>
      <c r="Q1028" s="587"/>
      <c r="R1028" s="587"/>
    </row>
    <row r="1029" spans="16:18" s="461" customFormat="1">
      <c r="P1029" s="587"/>
      <c r="Q1029" s="587"/>
      <c r="R1029" s="587"/>
    </row>
    <row r="1030" spans="16:18" s="461" customFormat="1">
      <c r="P1030" s="587"/>
      <c r="Q1030" s="587"/>
      <c r="R1030" s="587"/>
    </row>
    <row r="1031" spans="16:18" s="461" customFormat="1">
      <c r="P1031" s="587"/>
      <c r="Q1031" s="587"/>
      <c r="R1031" s="587"/>
    </row>
    <row r="1032" spans="16:18" s="461" customFormat="1">
      <c r="P1032" s="587"/>
      <c r="Q1032" s="587"/>
      <c r="R1032" s="587"/>
    </row>
    <row r="1033" spans="16:18" s="461" customFormat="1">
      <c r="P1033" s="587"/>
      <c r="Q1033" s="587"/>
      <c r="R1033" s="587"/>
    </row>
    <row r="1034" spans="16:18" s="461" customFormat="1">
      <c r="P1034" s="587"/>
      <c r="Q1034" s="587"/>
      <c r="R1034" s="587"/>
    </row>
    <row r="1035" spans="16:18" s="461" customFormat="1">
      <c r="P1035" s="587"/>
      <c r="Q1035" s="587"/>
      <c r="R1035" s="587"/>
    </row>
    <row r="1036" spans="16:18" s="461" customFormat="1">
      <c r="P1036" s="587"/>
      <c r="Q1036" s="587"/>
      <c r="R1036" s="587"/>
    </row>
    <row r="1037" spans="16:18" s="461" customFormat="1">
      <c r="P1037" s="587"/>
      <c r="Q1037" s="587"/>
      <c r="R1037" s="587"/>
    </row>
    <row r="1038" spans="16:18" s="461" customFormat="1">
      <c r="P1038" s="587"/>
      <c r="Q1038" s="587"/>
      <c r="R1038" s="587"/>
    </row>
    <row r="1039" spans="16:18" s="461" customFormat="1">
      <c r="P1039" s="587"/>
      <c r="Q1039" s="587"/>
      <c r="R1039" s="587"/>
    </row>
    <row r="1040" spans="16:18" s="461" customFormat="1">
      <c r="P1040" s="587"/>
      <c r="Q1040" s="587"/>
      <c r="R1040" s="587"/>
    </row>
    <row r="1041" spans="16:18" s="461" customFormat="1">
      <c r="P1041" s="587"/>
      <c r="Q1041" s="587"/>
      <c r="R1041" s="587"/>
    </row>
    <row r="1042" spans="16:18" s="461" customFormat="1">
      <c r="P1042" s="587"/>
      <c r="Q1042" s="587"/>
      <c r="R1042" s="587"/>
    </row>
    <row r="1043" spans="16:18" s="461" customFormat="1">
      <c r="P1043" s="587"/>
      <c r="Q1043" s="587"/>
      <c r="R1043" s="587"/>
    </row>
    <row r="1044" spans="16:18" s="461" customFormat="1">
      <c r="P1044" s="587"/>
      <c r="Q1044" s="587"/>
      <c r="R1044" s="587"/>
    </row>
    <row r="1045" spans="16:18" s="461" customFormat="1">
      <c r="P1045" s="587"/>
      <c r="Q1045" s="587"/>
      <c r="R1045" s="587"/>
    </row>
    <row r="1046" spans="16:18" s="461" customFormat="1">
      <c r="P1046" s="587"/>
      <c r="Q1046" s="587"/>
      <c r="R1046" s="587"/>
    </row>
    <row r="1047" spans="16:18" s="461" customFormat="1">
      <c r="P1047" s="587"/>
      <c r="Q1047" s="587"/>
      <c r="R1047" s="587"/>
    </row>
    <row r="1048" spans="16:18" s="461" customFormat="1">
      <c r="P1048" s="587"/>
      <c r="Q1048" s="587"/>
      <c r="R1048" s="587"/>
    </row>
    <row r="1049" spans="16:18" s="461" customFormat="1">
      <c r="P1049" s="587"/>
      <c r="Q1049" s="587"/>
      <c r="R1049" s="587"/>
    </row>
    <row r="1050" spans="16:18" s="461" customFormat="1">
      <c r="P1050" s="587"/>
      <c r="Q1050" s="587"/>
      <c r="R1050" s="587"/>
    </row>
    <row r="1051" spans="16:18" s="461" customFormat="1">
      <c r="P1051" s="587"/>
      <c r="Q1051" s="587"/>
      <c r="R1051" s="587"/>
    </row>
    <row r="1052" spans="16:18" s="461" customFormat="1">
      <c r="P1052" s="587"/>
      <c r="Q1052" s="587"/>
      <c r="R1052" s="587"/>
    </row>
    <row r="1053" spans="16:18" s="461" customFormat="1">
      <c r="P1053" s="587"/>
      <c r="Q1053" s="587"/>
      <c r="R1053" s="587"/>
    </row>
    <row r="1054" spans="16:18" s="461" customFormat="1">
      <c r="P1054" s="587"/>
      <c r="Q1054" s="587"/>
      <c r="R1054" s="587"/>
    </row>
    <row r="1055" spans="16:18" s="461" customFormat="1">
      <c r="P1055" s="587"/>
      <c r="Q1055" s="587"/>
      <c r="R1055" s="587"/>
    </row>
    <row r="1056" spans="16:18" s="461" customFormat="1">
      <c r="P1056" s="587"/>
      <c r="Q1056" s="587"/>
      <c r="R1056" s="587"/>
    </row>
    <row r="1057" spans="16:18" s="461" customFormat="1">
      <c r="P1057" s="587"/>
      <c r="Q1057" s="587"/>
      <c r="R1057" s="587"/>
    </row>
    <row r="1058" spans="16:18" s="461" customFormat="1">
      <c r="P1058" s="587"/>
      <c r="Q1058" s="587"/>
      <c r="R1058" s="587"/>
    </row>
    <row r="1059" spans="16:18" s="461" customFormat="1">
      <c r="P1059" s="587"/>
      <c r="Q1059" s="587"/>
      <c r="R1059" s="587"/>
    </row>
    <row r="1060" spans="16:18" s="461" customFormat="1">
      <c r="P1060" s="587"/>
      <c r="Q1060" s="587"/>
      <c r="R1060" s="587"/>
    </row>
    <row r="1061" spans="16:18" s="461" customFormat="1">
      <c r="P1061" s="587"/>
      <c r="Q1061" s="587"/>
      <c r="R1061" s="587"/>
    </row>
    <row r="1062" spans="16:18" s="461" customFormat="1">
      <c r="P1062" s="587"/>
      <c r="Q1062" s="587"/>
      <c r="R1062" s="587"/>
    </row>
    <row r="1063" spans="16:18" s="461" customFormat="1">
      <c r="P1063" s="587"/>
      <c r="Q1063" s="587"/>
      <c r="R1063" s="587"/>
    </row>
    <row r="1064" spans="16:18" s="461" customFormat="1">
      <c r="P1064" s="587"/>
      <c r="Q1064" s="587"/>
      <c r="R1064" s="587"/>
    </row>
    <row r="1065" spans="16:18" s="461" customFormat="1">
      <c r="P1065" s="587"/>
      <c r="Q1065" s="587"/>
      <c r="R1065" s="587"/>
    </row>
    <row r="1066" spans="16:18" s="461" customFormat="1">
      <c r="P1066" s="587"/>
      <c r="Q1066" s="587"/>
      <c r="R1066" s="587"/>
    </row>
    <row r="1067" spans="16:18" s="461" customFormat="1">
      <c r="P1067" s="587"/>
      <c r="Q1067" s="587"/>
      <c r="R1067" s="587"/>
    </row>
    <row r="1068" spans="16:18" s="461" customFormat="1">
      <c r="P1068" s="587"/>
      <c r="Q1068" s="587"/>
      <c r="R1068" s="587"/>
    </row>
    <row r="1069" spans="16:18" s="461" customFormat="1">
      <c r="P1069" s="587"/>
      <c r="Q1069" s="587"/>
      <c r="R1069" s="587"/>
    </row>
    <row r="1070" spans="16:18" s="461" customFormat="1">
      <c r="P1070" s="587"/>
      <c r="Q1070" s="587"/>
      <c r="R1070" s="587"/>
    </row>
    <row r="1071" spans="16:18" s="461" customFormat="1">
      <c r="P1071" s="587"/>
      <c r="Q1071" s="587"/>
      <c r="R1071" s="587"/>
    </row>
    <row r="1072" spans="16:18" s="461" customFormat="1">
      <c r="P1072" s="587"/>
      <c r="Q1072" s="587"/>
      <c r="R1072" s="587"/>
    </row>
    <row r="1073" spans="16:18" s="461" customFormat="1">
      <c r="P1073" s="587"/>
      <c r="Q1073" s="587"/>
      <c r="R1073" s="587"/>
    </row>
    <row r="1074" spans="16:18" s="461" customFormat="1">
      <c r="P1074" s="587"/>
      <c r="Q1074" s="587"/>
      <c r="R1074" s="587"/>
    </row>
    <row r="1075" spans="16:18" s="461" customFormat="1">
      <c r="P1075" s="587"/>
      <c r="Q1075" s="587"/>
      <c r="R1075" s="587"/>
    </row>
    <row r="1076" spans="16:18" s="461" customFormat="1">
      <c r="P1076" s="587"/>
      <c r="Q1076" s="587"/>
      <c r="R1076" s="587"/>
    </row>
    <row r="1077" spans="16:18" s="461" customFormat="1">
      <c r="P1077" s="587"/>
      <c r="Q1077" s="587"/>
      <c r="R1077" s="587"/>
    </row>
    <row r="1078" spans="16:18" s="461" customFormat="1">
      <c r="P1078" s="587"/>
      <c r="Q1078" s="587"/>
      <c r="R1078" s="587"/>
    </row>
    <row r="1079" spans="16:18" s="461" customFormat="1">
      <c r="P1079" s="587"/>
      <c r="Q1079" s="587"/>
      <c r="R1079" s="587"/>
    </row>
    <row r="1080" spans="16:18" s="461" customFormat="1">
      <c r="P1080" s="587"/>
      <c r="Q1080" s="587"/>
      <c r="R1080" s="587"/>
    </row>
    <row r="1081" spans="16:18" s="461" customFormat="1">
      <c r="P1081" s="587"/>
      <c r="Q1081" s="587"/>
      <c r="R1081" s="587"/>
    </row>
    <row r="1082" spans="16:18" s="461" customFormat="1">
      <c r="P1082" s="587"/>
      <c r="Q1082" s="587"/>
      <c r="R1082" s="587"/>
    </row>
    <row r="1083" spans="16:18" s="461" customFormat="1">
      <c r="P1083" s="587"/>
      <c r="Q1083" s="587"/>
      <c r="R1083" s="587"/>
    </row>
    <row r="1084" spans="16:18" s="461" customFormat="1">
      <c r="P1084" s="587"/>
      <c r="Q1084" s="587"/>
      <c r="R1084" s="587"/>
    </row>
    <row r="1085" spans="16:18" s="461" customFormat="1">
      <c r="P1085" s="587"/>
      <c r="Q1085" s="587"/>
      <c r="R1085" s="587"/>
    </row>
    <row r="1086" spans="16:18" s="461" customFormat="1">
      <c r="P1086" s="587"/>
      <c r="Q1086" s="587"/>
      <c r="R1086" s="587"/>
    </row>
    <row r="1087" spans="16:18" s="461" customFormat="1">
      <c r="P1087" s="587"/>
      <c r="Q1087" s="587"/>
      <c r="R1087" s="587"/>
    </row>
    <row r="1088" spans="16:18" s="461" customFormat="1">
      <c r="P1088" s="587"/>
      <c r="Q1088" s="587"/>
      <c r="R1088" s="587"/>
    </row>
    <row r="1089" spans="16:18" s="461" customFormat="1">
      <c r="P1089" s="587"/>
      <c r="Q1089" s="587"/>
      <c r="R1089" s="587"/>
    </row>
    <row r="1090" spans="16:18" s="461" customFormat="1">
      <c r="P1090" s="587"/>
      <c r="Q1090" s="587"/>
      <c r="R1090" s="587"/>
    </row>
    <row r="1091" spans="16:18" s="461" customFormat="1">
      <c r="P1091" s="587"/>
      <c r="Q1091" s="587"/>
      <c r="R1091" s="587"/>
    </row>
    <row r="1092" spans="16:18" s="461" customFormat="1">
      <c r="P1092" s="587"/>
      <c r="Q1092" s="587"/>
      <c r="R1092" s="587"/>
    </row>
    <row r="1093" spans="16:18" s="461" customFormat="1">
      <c r="P1093" s="587"/>
      <c r="Q1093" s="587"/>
      <c r="R1093" s="587"/>
    </row>
    <row r="1094" spans="16:18" s="461" customFormat="1">
      <c r="P1094" s="587"/>
      <c r="Q1094" s="587"/>
      <c r="R1094" s="587"/>
    </row>
    <row r="1095" spans="16:18" s="461" customFormat="1">
      <c r="P1095" s="587"/>
      <c r="Q1095" s="587"/>
      <c r="R1095" s="587"/>
    </row>
    <row r="1096" spans="16:18" s="461" customFormat="1">
      <c r="P1096" s="587"/>
      <c r="Q1096" s="587"/>
      <c r="R1096" s="587"/>
    </row>
    <row r="1097" spans="16:18" s="461" customFormat="1">
      <c r="P1097" s="587"/>
      <c r="Q1097" s="587"/>
      <c r="R1097" s="587"/>
    </row>
    <row r="1098" spans="16:18" s="461" customFormat="1">
      <c r="P1098" s="587"/>
      <c r="Q1098" s="587"/>
      <c r="R1098" s="587"/>
    </row>
    <row r="1099" spans="16:18" s="461" customFormat="1">
      <c r="P1099" s="587"/>
      <c r="Q1099" s="587"/>
      <c r="R1099" s="587"/>
    </row>
    <row r="1100" spans="16:18" s="461" customFormat="1">
      <c r="P1100" s="587"/>
      <c r="Q1100" s="587"/>
      <c r="R1100" s="587"/>
    </row>
    <row r="1101" spans="16:18" s="461" customFormat="1">
      <c r="P1101" s="587"/>
      <c r="Q1101" s="587"/>
      <c r="R1101" s="587"/>
    </row>
    <row r="1102" spans="16:18" s="461" customFormat="1">
      <c r="P1102" s="587"/>
      <c r="Q1102" s="587"/>
      <c r="R1102" s="587"/>
    </row>
    <row r="1103" spans="16:18" s="461" customFormat="1">
      <c r="P1103" s="587"/>
      <c r="Q1103" s="587"/>
      <c r="R1103" s="587"/>
    </row>
    <row r="1104" spans="16:18" s="461" customFormat="1">
      <c r="P1104" s="587"/>
      <c r="Q1104" s="587"/>
      <c r="R1104" s="587"/>
    </row>
    <row r="1105" spans="16:18" s="461" customFormat="1">
      <c r="P1105" s="587"/>
      <c r="Q1105" s="587"/>
      <c r="R1105" s="587"/>
    </row>
    <row r="1106" spans="16:18" s="461" customFormat="1">
      <c r="P1106" s="587"/>
      <c r="Q1106" s="587"/>
      <c r="R1106" s="587"/>
    </row>
    <row r="1107" spans="16:18" s="461" customFormat="1">
      <c r="P1107" s="587"/>
      <c r="Q1107" s="587"/>
      <c r="R1107" s="587"/>
    </row>
    <row r="1108" spans="16:18" s="461" customFormat="1">
      <c r="P1108" s="587"/>
      <c r="Q1108" s="587"/>
      <c r="R1108" s="587"/>
    </row>
    <row r="1109" spans="16:18" s="461" customFormat="1">
      <c r="P1109" s="587"/>
      <c r="Q1109" s="587"/>
      <c r="R1109" s="587"/>
    </row>
    <row r="1110" spans="16:18" s="461" customFormat="1">
      <c r="P1110" s="587"/>
      <c r="Q1110" s="587"/>
      <c r="R1110" s="587"/>
    </row>
    <row r="1111" spans="16:18" s="461" customFormat="1">
      <c r="P1111" s="587"/>
      <c r="Q1111" s="587"/>
      <c r="R1111" s="587"/>
    </row>
    <row r="1112" spans="16:18" s="461" customFormat="1">
      <c r="P1112" s="587"/>
      <c r="Q1112" s="587"/>
      <c r="R1112" s="587"/>
    </row>
    <row r="1113" spans="16:18" s="461" customFormat="1">
      <c r="P1113" s="587"/>
      <c r="Q1113" s="587"/>
      <c r="R1113" s="587"/>
    </row>
    <row r="1114" spans="16:18" s="461" customFormat="1">
      <c r="P1114" s="587"/>
      <c r="Q1114" s="587"/>
      <c r="R1114" s="587"/>
    </row>
    <row r="1115" spans="16:18" s="461" customFormat="1">
      <c r="P1115" s="587"/>
      <c r="Q1115" s="587"/>
      <c r="R1115" s="587"/>
    </row>
    <row r="1116" spans="16:18" s="461" customFormat="1">
      <c r="P1116" s="587"/>
      <c r="Q1116" s="587"/>
      <c r="R1116" s="587"/>
    </row>
    <row r="1117" spans="16:18" s="461" customFormat="1">
      <c r="P1117" s="587"/>
      <c r="Q1117" s="587"/>
      <c r="R1117" s="587"/>
    </row>
    <row r="1118" spans="16:18" s="461" customFormat="1">
      <c r="P1118" s="587"/>
      <c r="Q1118" s="587"/>
      <c r="R1118" s="587"/>
    </row>
    <row r="1119" spans="16:18" s="461" customFormat="1">
      <c r="P1119" s="587"/>
      <c r="Q1119" s="587"/>
      <c r="R1119" s="587"/>
    </row>
    <row r="1120" spans="16:18" s="461" customFormat="1">
      <c r="P1120" s="587"/>
      <c r="Q1120" s="587"/>
      <c r="R1120" s="587"/>
    </row>
    <row r="1121" spans="16:18" s="461" customFormat="1">
      <c r="P1121" s="587"/>
      <c r="Q1121" s="587"/>
      <c r="R1121" s="587"/>
    </row>
    <row r="1122" spans="16:18" s="461" customFormat="1">
      <c r="P1122" s="587"/>
      <c r="Q1122" s="587"/>
      <c r="R1122" s="587"/>
    </row>
    <row r="1123" spans="16:18" s="461" customFormat="1">
      <c r="P1123" s="587"/>
      <c r="Q1123" s="587"/>
      <c r="R1123" s="587"/>
    </row>
    <row r="1124" spans="16:18" s="461" customFormat="1">
      <c r="P1124" s="587"/>
      <c r="Q1124" s="587"/>
      <c r="R1124" s="587"/>
    </row>
    <row r="1125" spans="16:18" s="461" customFormat="1">
      <c r="P1125" s="587"/>
      <c r="Q1125" s="587"/>
      <c r="R1125" s="587"/>
    </row>
    <row r="1126" spans="16:18" s="461" customFormat="1">
      <c r="P1126" s="587"/>
      <c r="Q1126" s="587"/>
      <c r="R1126" s="587"/>
    </row>
    <row r="1127" spans="16:18" s="461" customFormat="1">
      <c r="P1127" s="587"/>
      <c r="Q1127" s="587"/>
      <c r="R1127" s="587"/>
    </row>
    <row r="1128" spans="16:18" s="461" customFormat="1">
      <c r="P1128" s="587"/>
      <c r="Q1128" s="587"/>
      <c r="R1128" s="587"/>
    </row>
    <row r="1129" spans="16:18" s="461" customFormat="1">
      <c r="P1129" s="587"/>
      <c r="Q1129" s="587"/>
      <c r="R1129" s="587"/>
    </row>
    <row r="1130" spans="16:18" s="461" customFormat="1">
      <c r="P1130" s="587"/>
      <c r="Q1130" s="587"/>
      <c r="R1130" s="587"/>
    </row>
    <row r="1131" spans="16:18" s="461" customFormat="1">
      <c r="P1131" s="587"/>
      <c r="Q1131" s="587"/>
      <c r="R1131" s="587"/>
    </row>
    <row r="1132" spans="16:18" s="461" customFormat="1">
      <c r="P1132" s="587"/>
      <c r="Q1132" s="587"/>
      <c r="R1132" s="587"/>
    </row>
    <row r="1133" spans="16:18" s="461" customFormat="1">
      <c r="P1133" s="587"/>
      <c r="Q1133" s="587"/>
      <c r="R1133" s="587"/>
    </row>
    <row r="1134" spans="16:18" s="461" customFormat="1">
      <c r="P1134" s="587"/>
      <c r="Q1134" s="587"/>
      <c r="R1134" s="587"/>
    </row>
    <row r="1135" spans="16:18" s="461" customFormat="1">
      <c r="P1135" s="587"/>
      <c r="Q1135" s="587"/>
      <c r="R1135" s="587"/>
    </row>
    <row r="1136" spans="16:18" s="461" customFormat="1">
      <c r="P1136" s="587"/>
      <c r="Q1136" s="587"/>
      <c r="R1136" s="587"/>
    </row>
    <row r="1137" spans="16:18" s="461" customFormat="1">
      <c r="P1137" s="587"/>
      <c r="Q1137" s="587"/>
      <c r="R1137" s="587"/>
    </row>
    <row r="1138" spans="16:18" s="461" customFormat="1">
      <c r="P1138" s="587"/>
      <c r="Q1138" s="587"/>
      <c r="R1138" s="587"/>
    </row>
    <row r="1139" spans="16:18" s="461" customFormat="1">
      <c r="P1139" s="587"/>
      <c r="Q1139" s="587"/>
      <c r="R1139" s="587"/>
    </row>
    <row r="1140" spans="16:18" s="461" customFormat="1">
      <c r="P1140" s="587"/>
      <c r="Q1140" s="587"/>
      <c r="R1140" s="587"/>
    </row>
    <row r="1141" spans="16:18" s="461" customFormat="1">
      <c r="P1141" s="587"/>
      <c r="Q1141" s="587"/>
      <c r="R1141" s="587"/>
    </row>
    <row r="1142" spans="16:18" s="461" customFormat="1">
      <c r="P1142" s="587"/>
      <c r="Q1142" s="587"/>
      <c r="R1142" s="587"/>
    </row>
    <row r="1143" spans="16:18" s="461" customFormat="1">
      <c r="P1143" s="587"/>
      <c r="Q1143" s="587"/>
      <c r="R1143" s="587"/>
    </row>
    <row r="1144" spans="16:18" s="461" customFormat="1">
      <c r="P1144" s="587"/>
      <c r="Q1144" s="587"/>
      <c r="R1144" s="587"/>
    </row>
    <row r="1145" spans="16:18" s="461" customFormat="1">
      <c r="P1145" s="587"/>
      <c r="Q1145" s="587"/>
      <c r="R1145" s="587"/>
    </row>
    <row r="1146" spans="16:18" s="461" customFormat="1">
      <c r="P1146" s="587"/>
      <c r="Q1146" s="587"/>
      <c r="R1146" s="587"/>
    </row>
    <row r="1147" spans="16:18" s="461" customFormat="1">
      <c r="P1147" s="587"/>
      <c r="Q1147" s="587"/>
      <c r="R1147" s="587"/>
    </row>
    <row r="1148" spans="16:18" s="461" customFormat="1">
      <c r="P1148" s="587"/>
      <c r="Q1148" s="587"/>
      <c r="R1148" s="587"/>
    </row>
    <row r="1149" spans="16:18" s="461" customFormat="1">
      <c r="P1149" s="587"/>
      <c r="Q1149" s="587"/>
      <c r="R1149" s="587"/>
    </row>
    <row r="1150" spans="16:18" s="461" customFormat="1">
      <c r="P1150" s="587"/>
      <c r="Q1150" s="587"/>
      <c r="R1150" s="587"/>
    </row>
    <row r="1151" spans="16:18" s="461" customFormat="1">
      <c r="P1151" s="587"/>
      <c r="Q1151" s="587"/>
      <c r="R1151" s="587"/>
    </row>
    <row r="1152" spans="16:18" s="461" customFormat="1">
      <c r="P1152" s="587"/>
      <c r="Q1152" s="587"/>
      <c r="R1152" s="587"/>
    </row>
    <row r="1153" spans="16:18" s="461" customFormat="1">
      <c r="P1153" s="587"/>
      <c r="Q1153" s="587"/>
      <c r="R1153" s="587"/>
    </row>
    <row r="1154" spans="16:18" s="461" customFormat="1">
      <c r="P1154" s="587"/>
      <c r="Q1154" s="587"/>
      <c r="R1154" s="587"/>
    </row>
    <row r="1155" spans="16:18" s="461" customFormat="1">
      <c r="P1155" s="587"/>
      <c r="Q1155" s="587"/>
      <c r="R1155" s="587"/>
    </row>
    <row r="1156" spans="16:18" s="461" customFormat="1">
      <c r="P1156" s="587"/>
      <c r="Q1156" s="587"/>
      <c r="R1156" s="587"/>
    </row>
    <row r="1157" spans="16:18" s="461" customFormat="1">
      <c r="P1157" s="587"/>
      <c r="Q1157" s="587"/>
      <c r="R1157" s="587"/>
    </row>
    <row r="1158" spans="16:18" s="461" customFormat="1">
      <c r="P1158" s="587"/>
      <c r="Q1158" s="587"/>
      <c r="R1158" s="587"/>
    </row>
    <row r="1159" spans="16:18" s="461" customFormat="1">
      <c r="P1159" s="587"/>
      <c r="Q1159" s="587"/>
      <c r="R1159" s="587"/>
    </row>
    <row r="1160" spans="16:18" s="461" customFormat="1">
      <c r="P1160" s="587"/>
      <c r="Q1160" s="587"/>
      <c r="R1160" s="587"/>
    </row>
    <row r="1161" spans="16:18" s="461" customFormat="1">
      <c r="P1161" s="587"/>
      <c r="Q1161" s="587"/>
      <c r="R1161" s="587"/>
    </row>
    <row r="1162" spans="16:18" s="461" customFormat="1">
      <c r="P1162" s="587"/>
      <c r="Q1162" s="587"/>
      <c r="R1162" s="587"/>
    </row>
    <row r="1163" spans="16:18" s="461" customFormat="1">
      <c r="P1163" s="587"/>
      <c r="Q1163" s="587"/>
      <c r="R1163" s="587"/>
    </row>
    <row r="1164" spans="16:18" s="461" customFormat="1">
      <c r="P1164" s="587"/>
      <c r="Q1164" s="587"/>
      <c r="R1164" s="587"/>
    </row>
    <row r="1165" spans="16:18" s="461" customFormat="1">
      <c r="P1165" s="587"/>
      <c r="Q1165" s="587"/>
      <c r="R1165" s="587"/>
    </row>
    <row r="1166" spans="16:18" s="461" customFormat="1">
      <c r="P1166" s="587"/>
      <c r="Q1166" s="587"/>
      <c r="R1166" s="587"/>
    </row>
    <row r="1167" spans="16:18" s="461" customFormat="1">
      <c r="P1167" s="587"/>
      <c r="Q1167" s="587"/>
      <c r="R1167" s="587"/>
    </row>
    <row r="1168" spans="16:18" s="461" customFormat="1">
      <c r="P1168" s="587"/>
      <c r="Q1168" s="587"/>
      <c r="R1168" s="587"/>
    </row>
    <row r="1169" spans="16:18" s="461" customFormat="1">
      <c r="P1169" s="587"/>
      <c r="Q1169" s="587"/>
      <c r="R1169" s="587"/>
    </row>
    <row r="1170" spans="16:18" s="461" customFormat="1">
      <c r="P1170" s="587"/>
      <c r="Q1170" s="587"/>
      <c r="R1170" s="587"/>
    </row>
    <row r="1171" spans="16:18" s="461" customFormat="1">
      <c r="P1171" s="587"/>
      <c r="Q1171" s="587"/>
      <c r="R1171" s="587"/>
    </row>
    <row r="1172" spans="16:18" s="461" customFormat="1">
      <c r="P1172" s="587"/>
      <c r="Q1172" s="587"/>
      <c r="R1172" s="587"/>
    </row>
    <row r="1173" spans="16:18" s="461" customFormat="1">
      <c r="P1173" s="587"/>
      <c r="Q1173" s="587"/>
      <c r="R1173" s="587"/>
    </row>
    <row r="1174" spans="16:18" s="461" customFormat="1">
      <c r="P1174" s="587"/>
      <c r="Q1174" s="587"/>
      <c r="R1174" s="587"/>
    </row>
    <row r="1175" spans="16:18" s="461" customFormat="1">
      <c r="P1175" s="587"/>
      <c r="Q1175" s="587"/>
      <c r="R1175" s="587"/>
    </row>
    <row r="1176" spans="16:18" s="461" customFormat="1">
      <c r="P1176" s="587"/>
      <c r="Q1176" s="587"/>
      <c r="R1176" s="587"/>
    </row>
    <row r="1177" spans="16:18" s="461" customFormat="1">
      <c r="P1177" s="587"/>
      <c r="Q1177" s="587"/>
      <c r="R1177" s="587"/>
    </row>
    <row r="1178" spans="16:18" s="461" customFormat="1">
      <c r="P1178" s="587"/>
      <c r="Q1178" s="587"/>
      <c r="R1178" s="587"/>
    </row>
    <row r="1179" spans="16:18" s="461" customFormat="1">
      <c r="P1179" s="587"/>
      <c r="Q1179" s="587"/>
      <c r="R1179" s="587"/>
    </row>
    <row r="1180" spans="16:18" s="461" customFormat="1">
      <c r="P1180" s="587"/>
      <c r="Q1180" s="587"/>
      <c r="R1180" s="587"/>
    </row>
    <row r="1181" spans="16:18" s="461" customFormat="1">
      <c r="P1181" s="587"/>
      <c r="Q1181" s="587"/>
      <c r="R1181" s="587"/>
    </row>
    <row r="1182" spans="16:18" s="461" customFormat="1">
      <c r="P1182" s="587"/>
      <c r="Q1182" s="587"/>
      <c r="R1182" s="587"/>
    </row>
    <row r="1183" spans="16:18" s="461" customFormat="1">
      <c r="P1183" s="587"/>
      <c r="Q1183" s="587"/>
      <c r="R1183" s="587"/>
    </row>
    <row r="1184" spans="16:18" s="461" customFormat="1">
      <c r="P1184" s="587"/>
      <c r="Q1184" s="587"/>
      <c r="R1184" s="587"/>
    </row>
    <row r="1185" spans="16:18" s="461" customFormat="1">
      <c r="P1185" s="587"/>
      <c r="Q1185" s="587"/>
      <c r="R1185" s="587"/>
    </row>
    <row r="1186" spans="16:18" s="461" customFormat="1">
      <c r="P1186" s="587"/>
      <c r="Q1186" s="587"/>
      <c r="R1186" s="587"/>
    </row>
    <row r="1187" spans="16:18" s="461" customFormat="1">
      <c r="P1187" s="587"/>
      <c r="Q1187" s="587"/>
      <c r="R1187" s="587"/>
    </row>
    <row r="1188" spans="16:18" s="461" customFormat="1">
      <c r="P1188" s="587"/>
      <c r="Q1188" s="587"/>
      <c r="R1188" s="587"/>
    </row>
    <row r="1189" spans="16:18" s="461" customFormat="1">
      <c r="P1189" s="587"/>
      <c r="Q1189" s="587"/>
      <c r="R1189" s="587"/>
    </row>
    <row r="1190" spans="16:18" s="461" customFormat="1">
      <c r="P1190" s="587"/>
      <c r="Q1190" s="587"/>
      <c r="R1190" s="587"/>
    </row>
    <row r="1191" spans="16:18" s="461" customFormat="1">
      <c r="P1191" s="587"/>
      <c r="Q1191" s="587"/>
      <c r="R1191" s="587"/>
    </row>
    <row r="1192" spans="16:18" s="461" customFormat="1">
      <c r="P1192" s="587"/>
      <c r="Q1192" s="587"/>
      <c r="R1192" s="587"/>
    </row>
    <row r="1193" spans="16:18" s="461" customFormat="1">
      <c r="P1193" s="587"/>
      <c r="Q1193" s="587"/>
      <c r="R1193" s="587"/>
    </row>
    <row r="1194" spans="16:18" s="461" customFormat="1">
      <c r="P1194" s="587"/>
      <c r="Q1194" s="587"/>
      <c r="R1194" s="587"/>
    </row>
    <row r="1195" spans="16:18" s="461" customFormat="1">
      <c r="P1195" s="587"/>
      <c r="Q1195" s="587"/>
      <c r="R1195" s="587"/>
    </row>
    <row r="1196" spans="16:18" s="461" customFormat="1">
      <c r="P1196" s="587"/>
      <c r="Q1196" s="587"/>
      <c r="R1196" s="587"/>
    </row>
    <row r="1197" spans="16:18" s="461" customFormat="1">
      <c r="P1197" s="587"/>
      <c r="Q1197" s="587"/>
      <c r="R1197" s="587"/>
    </row>
    <row r="1198" spans="16:18" s="461" customFormat="1">
      <c r="P1198" s="587"/>
      <c r="Q1198" s="587"/>
      <c r="R1198" s="587"/>
    </row>
    <row r="1199" spans="16:18" s="461" customFormat="1">
      <c r="P1199" s="587"/>
      <c r="Q1199" s="587"/>
      <c r="R1199" s="587"/>
    </row>
    <row r="1200" spans="16:18" s="461" customFormat="1">
      <c r="P1200" s="587"/>
      <c r="Q1200" s="587"/>
      <c r="R1200" s="587"/>
    </row>
    <row r="1201" spans="16:18" s="461" customFormat="1">
      <c r="P1201" s="587"/>
      <c r="Q1201" s="587"/>
      <c r="R1201" s="587"/>
    </row>
    <row r="1202" spans="16:18" s="461" customFormat="1">
      <c r="P1202" s="587"/>
      <c r="Q1202" s="587"/>
      <c r="R1202" s="587"/>
    </row>
    <row r="1203" spans="16:18" s="461" customFormat="1">
      <c r="P1203" s="587"/>
      <c r="Q1203" s="587"/>
      <c r="R1203" s="587"/>
    </row>
    <row r="1204" spans="16:18" s="461" customFormat="1">
      <c r="P1204" s="587"/>
      <c r="Q1204" s="587"/>
      <c r="R1204" s="587"/>
    </row>
    <row r="1205" spans="16:18" s="461" customFormat="1">
      <c r="P1205" s="587"/>
      <c r="Q1205" s="587"/>
      <c r="R1205" s="587"/>
    </row>
    <row r="1206" spans="16:18" s="461" customFormat="1">
      <c r="P1206" s="587"/>
      <c r="Q1206" s="587"/>
      <c r="R1206" s="587"/>
    </row>
    <row r="1207" spans="16:18" s="461" customFormat="1">
      <c r="P1207" s="587"/>
      <c r="Q1207" s="587"/>
      <c r="R1207" s="587"/>
    </row>
    <row r="1208" spans="16:18" s="461" customFormat="1">
      <c r="P1208" s="587"/>
      <c r="Q1208" s="587"/>
      <c r="R1208" s="587"/>
    </row>
    <row r="1209" spans="16:18" s="461" customFormat="1">
      <c r="P1209" s="587"/>
      <c r="Q1209" s="587"/>
      <c r="R1209" s="587"/>
    </row>
    <row r="1210" spans="16:18" s="461" customFormat="1">
      <c r="P1210" s="587"/>
      <c r="Q1210" s="587"/>
      <c r="R1210" s="587"/>
    </row>
    <row r="1211" spans="16:18" s="461" customFormat="1">
      <c r="P1211" s="587"/>
      <c r="Q1211" s="587"/>
      <c r="R1211" s="587"/>
    </row>
    <row r="1212" spans="16:18" s="461" customFormat="1">
      <c r="P1212" s="587"/>
      <c r="Q1212" s="587"/>
      <c r="R1212" s="587"/>
    </row>
    <row r="1213" spans="16:18" s="461" customFormat="1">
      <c r="P1213" s="587"/>
      <c r="Q1213" s="587"/>
      <c r="R1213" s="587"/>
    </row>
    <row r="1214" spans="16:18" s="461" customFormat="1">
      <c r="P1214" s="587"/>
      <c r="Q1214" s="587"/>
      <c r="R1214" s="587"/>
    </row>
    <row r="1215" spans="16:18" s="461" customFormat="1">
      <c r="P1215" s="587"/>
      <c r="Q1215" s="587"/>
      <c r="R1215" s="587"/>
    </row>
    <row r="1216" spans="16:18" s="461" customFormat="1">
      <c r="P1216" s="587"/>
      <c r="Q1216" s="587"/>
      <c r="R1216" s="587"/>
    </row>
    <row r="1217" spans="16:18" s="461" customFormat="1">
      <c r="P1217" s="587"/>
      <c r="Q1217" s="587"/>
      <c r="R1217" s="587"/>
    </row>
    <row r="1218" spans="16:18" s="461" customFormat="1">
      <c r="P1218" s="587"/>
      <c r="Q1218" s="587"/>
      <c r="R1218" s="587"/>
    </row>
    <row r="1219" spans="16:18" s="461" customFormat="1">
      <c r="P1219" s="587"/>
      <c r="Q1219" s="587"/>
      <c r="R1219" s="587"/>
    </row>
    <row r="1220" spans="16:18" s="461" customFormat="1">
      <c r="P1220" s="587"/>
      <c r="Q1220" s="587"/>
      <c r="R1220" s="587"/>
    </row>
    <row r="1221" spans="16:18" s="461" customFormat="1">
      <c r="P1221" s="587"/>
      <c r="Q1221" s="587"/>
      <c r="R1221" s="587"/>
    </row>
    <row r="1222" spans="16:18" s="461" customFormat="1">
      <c r="P1222" s="587"/>
      <c r="Q1222" s="587"/>
      <c r="R1222" s="587"/>
    </row>
    <row r="1223" spans="16:18" s="461" customFormat="1">
      <c r="P1223" s="587"/>
      <c r="Q1223" s="587"/>
      <c r="R1223" s="587"/>
    </row>
    <row r="1224" spans="16:18" s="461" customFormat="1">
      <c r="P1224" s="587"/>
      <c r="Q1224" s="587"/>
      <c r="R1224" s="587"/>
    </row>
    <row r="1225" spans="16:18" s="461" customFormat="1">
      <c r="P1225" s="587"/>
      <c r="Q1225" s="587"/>
      <c r="R1225" s="587"/>
    </row>
    <row r="1226" spans="16:18" s="461" customFormat="1">
      <c r="P1226" s="587"/>
      <c r="Q1226" s="587"/>
      <c r="R1226" s="587"/>
    </row>
    <row r="1227" spans="16:18" s="461" customFormat="1">
      <c r="P1227" s="587"/>
      <c r="Q1227" s="587"/>
      <c r="R1227" s="587"/>
    </row>
    <row r="1228" spans="16:18" s="461" customFormat="1">
      <c r="P1228" s="587"/>
      <c r="Q1228" s="587"/>
      <c r="R1228" s="587"/>
    </row>
    <row r="1229" spans="16:18" s="461" customFormat="1">
      <c r="P1229" s="587"/>
      <c r="Q1229" s="587"/>
      <c r="R1229" s="587"/>
    </row>
    <row r="1230" spans="16:18" s="461" customFormat="1">
      <c r="P1230" s="587"/>
      <c r="Q1230" s="587"/>
      <c r="R1230" s="587"/>
    </row>
    <row r="1231" spans="16:18" s="461" customFormat="1">
      <c r="P1231" s="587"/>
      <c r="Q1231" s="587"/>
      <c r="R1231" s="587"/>
    </row>
    <row r="1232" spans="16:18" s="461" customFormat="1">
      <c r="P1232" s="587"/>
      <c r="Q1232" s="587"/>
      <c r="R1232" s="587"/>
    </row>
    <row r="1233" spans="16:18" s="461" customFormat="1">
      <c r="P1233" s="587"/>
      <c r="Q1233" s="587"/>
      <c r="R1233" s="587"/>
    </row>
    <row r="1234" spans="16:18" s="461" customFormat="1">
      <c r="P1234" s="587"/>
      <c r="Q1234" s="587"/>
      <c r="R1234" s="587"/>
    </row>
    <row r="1235" spans="16:18" s="461" customFormat="1">
      <c r="P1235" s="587"/>
      <c r="Q1235" s="587"/>
      <c r="R1235" s="587"/>
    </row>
    <row r="1236" spans="16:18" s="461" customFormat="1">
      <c r="P1236" s="587"/>
      <c r="Q1236" s="587"/>
      <c r="R1236" s="587"/>
    </row>
    <row r="1237" spans="16:18" s="461" customFormat="1">
      <c r="P1237" s="587"/>
      <c r="Q1237" s="587"/>
      <c r="R1237" s="587"/>
    </row>
    <row r="1238" spans="16:18" s="461" customFormat="1">
      <c r="P1238" s="587"/>
      <c r="Q1238" s="587"/>
      <c r="R1238" s="587"/>
    </row>
    <row r="1239" spans="16:18" s="461" customFormat="1">
      <c r="P1239" s="587"/>
      <c r="Q1239" s="587"/>
      <c r="R1239" s="587"/>
    </row>
    <row r="1240" spans="16:18" s="461" customFormat="1">
      <c r="P1240" s="587"/>
      <c r="Q1240" s="587"/>
      <c r="R1240" s="587"/>
    </row>
    <row r="1241" spans="16:18" s="461" customFormat="1">
      <c r="P1241" s="587"/>
      <c r="Q1241" s="587"/>
      <c r="R1241" s="587"/>
    </row>
    <row r="1242" spans="16:18" s="461" customFormat="1">
      <c r="P1242" s="587"/>
      <c r="Q1242" s="587"/>
      <c r="R1242" s="587"/>
    </row>
    <row r="1243" spans="16:18" s="461" customFormat="1">
      <c r="P1243" s="587"/>
      <c r="Q1243" s="587"/>
      <c r="R1243" s="587"/>
    </row>
    <row r="1244" spans="16:18" s="461" customFormat="1">
      <c r="P1244" s="587"/>
      <c r="Q1244" s="587"/>
      <c r="R1244" s="587"/>
    </row>
    <row r="1245" spans="16:18" s="461" customFormat="1">
      <c r="P1245" s="587"/>
      <c r="Q1245" s="587"/>
      <c r="R1245" s="587"/>
    </row>
    <row r="1246" spans="16:18" s="461" customFormat="1">
      <c r="P1246" s="587"/>
      <c r="Q1246" s="587"/>
      <c r="R1246" s="587"/>
    </row>
    <row r="1247" spans="16:18" s="461" customFormat="1">
      <c r="P1247" s="587"/>
      <c r="Q1247" s="587"/>
      <c r="R1247" s="587"/>
    </row>
    <row r="1248" spans="16:18" s="461" customFormat="1">
      <c r="P1248" s="587"/>
      <c r="Q1248" s="587"/>
      <c r="R1248" s="587"/>
    </row>
    <row r="1249" spans="16:18" s="461" customFormat="1">
      <c r="P1249" s="587"/>
      <c r="Q1249" s="587"/>
      <c r="R1249" s="587"/>
    </row>
    <row r="1250" spans="16:18" s="461" customFormat="1">
      <c r="P1250" s="587"/>
      <c r="Q1250" s="587"/>
      <c r="R1250" s="587"/>
    </row>
    <row r="1251" spans="16:18" s="461" customFormat="1">
      <c r="P1251" s="587"/>
      <c r="Q1251" s="587"/>
      <c r="R1251" s="587"/>
    </row>
    <row r="1252" spans="16:18" s="461" customFormat="1">
      <c r="P1252" s="587"/>
      <c r="Q1252" s="587"/>
      <c r="R1252" s="587"/>
    </row>
    <row r="1253" spans="16:18" s="461" customFormat="1">
      <c r="P1253" s="587"/>
      <c r="Q1253" s="587"/>
      <c r="R1253" s="587"/>
    </row>
    <row r="1254" spans="16:18" s="461" customFormat="1">
      <c r="P1254" s="587"/>
      <c r="Q1254" s="587"/>
      <c r="R1254" s="587"/>
    </row>
    <row r="1255" spans="16:18" s="461" customFormat="1">
      <c r="P1255" s="587"/>
      <c r="Q1255" s="587"/>
      <c r="R1255" s="587"/>
    </row>
    <row r="1256" spans="16:18" s="461" customFormat="1">
      <c r="P1256" s="587"/>
      <c r="Q1256" s="587"/>
      <c r="R1256" s="587"/>
    </row>
    <row r="1257" spans="16:18" s="461" customFormat="1">
      <c r="P1257" s="587"/>
      <c r="Q1257" s="587"/>
      <c r="R1257" s="587"/>
    </row>
    <row r="1258" spans="16:18" s="461" customFormat="1">
      <c r="P1258" s="587"/>
      <c r="Q1258" s="587"/>
      <c r="R1258" s="587"/>
    </row>
    <row r="1259" spans="16:18" s="461" customFormat="1">
      <c r="P1259" s="587"/>
      <c r="Q1259" s="587"/>
      <c r="R1259" s="587"/>
    </row>
    <row r="1260" spans="16:18" s="461" customFormat="1">
      <c r="P1260" s="587"/>
      <c r="Q1260" s="587"/>
      <c r="R1260" s="587"/>
    </row>
    <row r="1261" spans="16:18" s="461" customFormat="1">
      <c r="P1261" s="587"/>
      <c r="Q1261" s="587"/>
      <c r="R1261" s="587"/>
    </row>
    <row r="1262" spans="16:18" s="461" customFormat="1">
      <c r="P1262" s="587"/>
      <c r="Q1262" s="587"/>
      <c r="R1262" s="587"/>
    </row>
    <row r="1263" spans="16:18" s="461" customFormat="1">
      <c r="P1263" s="587"/>
      <c r="Q1263" s="587"/>
      <c r="R1263" s="587"/>
    </row>
    <row r="1264" spans="16:18" s="461" customFormat="1">
      <c r="P1264" s="587"/>
      <c r="Q1264" s="587"/>
      <c r="R1264" s="587"/>
    </row>
    <row r="1265" spans="16:18" s="461" customFormat="1">
      <c r="P1265" s="587"/>
      <c r="Q1265" s="587"/>
      <c r="R1265" s="587"/>
    </row>
    <row r="1266" spans="16:18" s="461" customFormat="1">
      <c r="P1266" s="587"/>
      <c r="Q1266" s="587"/>
      <c r="R1266" s="587"/>
    </row>
    <row r="1267" spans="16:18" s="461" customFormat="1">
      <c r="P1267" s="587"/>
      <c r="Q1267" s="587"/>
      <c r="R1267" s="587"/>
    </row>
    <row r="1268" spans="16:18" s="461" customFormat="1">
      <c r="P1268" s="587"/>
      <c r="Q1268" s="587"/>
      <c r="R1268" s="587"/>
    </row>
    <row r="1269" spans="16:18" s="461" customFormat="1">
      <c r="P1269" s="587"/>
      <c r="Q1269" s="587"/>
      <c r="R1269" s="587"/>
    </row>
    <row r="1270" spans="16:18" s="461" customFormat="1">
      <c r="P1270" s="587"/>
      <c r="Q1270" s="587"/>
      <c r="R1270" s="587"/>
    </row>
    <row r="1271" spans="16:18" s="461" customFormat="1">
      <c r="P1271" s="587"/>
      <c r="Q1271" s="587"/>
      <c r="R1271" s="587"/>
    </row>
    <row r="1272" spans="16:18" s="461" customFormat="1">
      <c r="P1272" s="587"/>
      <c r="Q1272" s="587"/>
      <c r="R1272" s="587"/>
    </row>
    <row r="1273" spans="16:18" s="461" customFormat="1">
      <c r="P1273" s="587"/>
      <c r="Q1273" s="587"/>
      <c r="R1273" s="587"/>
    </row>
    <row r="1274" spans="16:18" s="461" customFormat="1">
      <c r="P1274" s="587"/>
      <c r="Q1274" s="587"/>
      <c r="R1274" s="587"/>
    </row>
    <row r="1275" spans="16:18" s="461" customFormat="1">
      <c r="P1275" s="587"/>
      <c r="Q1275" s="587"/>
      <c r="R1275" s="587"/>
    </row>
    <row r="1276" spans="16:18" s="461" customFormat="1">
      <c r="P1276" s="587"/>
      <c r="Q1276" s="587"/>
      <c r="R1276" s="587"/>
    </row>
    <row r="1277" spans="16:18" s="461" customFormat="1">
      <c r="P1277" s="587"/>
      <c r="Q1277" s="587"/>
      <c r="R1277" s="587"/>
    </row>
  </sheetData>
  <sheetProtection algorithmName="SHA-512" hashValue="sq35hC0UzcpYh7XBXfALYwCECj2K6Vtxm7gzvAh1eW/ugmLgPT37ThxCJoXZKELBwNylL7yozOOiN6o0Z2XUlg==" saltValue="lAOaxrSMr54dVb9H9a8mrA==" spinCount="100000" sheet="1" objects="1" scenarios="1"/>
  <mergeCells count="461">
    <mergeCell ref="S15:S150"/>
    <mergeCell ref="K216:K219"/>
    <mergeCell ref="A8:S8"/>
    <mergeCell ref="S151:S153"/>
    <mergeCell ref="S215:S219"/>
    <mergeCell ref="C218:C219"/>
    <mergeCell ref="L218:L219"/>
    <mergeCell ref="N218:N219"/>
    <mergeCell ref="O218:O219"/>
    <mergeCell ref="P218:P219"/>
    <mergeCell ref="Q218:Q219"/>
    <mergeCell ref="R218:R219"/>
    <mergeCell ref="O213:O214"/>
    <mergeCell ref="P213:P214"/>
    <mergeCell ref="Q213:Q214"/>
    <mergeCell ref="R213:R214"/>
    <mergeCell ref="D213:D214"/>
    <mergeCell ref="E213:E214"/>
    <mergeCell ref="F213:F214"/>
    <mergeCell ref="G213:G214"/>
    <mergeCell ref="H213:H214"/>
    <mergeCell ref="I213:I214"/>
    <mergeCell ref="J213:J214"/>
    <mergeCell ref="L211:L214"/>
    <mergeCell ref="Q209:Q210"/>
    <mergeCell ref="R209:R210"/>
    <mergeCell ref="D208:D210"/>
    <mergeCell ref="E208:E210"/>
    <mergeCell ref="F208:F210"/>
    <mergeCell ref="G208:G210"/>
    <mergeCell ref="H208:H210"/>
    <mergeCell ref="I208:I210"/>
    <mergeCell ref="J208:J210"/>
    <mergeCell ref="L206:L210"/>
    <mergeCell ref="E203:E205"/>
    <mergeCell ref="F203:F205"/>
    <mergeCell ref="G203:G205"/>
    <mergeCell ref="H203:H205"/>
    <mergeCell ref="I203:I205"/>
    <mergeCell ref="J203:J205"/>
    <mergeCell ref="O209:O210"/>
    <mergeCell ref="P209:P210"/>
    <mergeCell ref="B170:B171"/>
    <mergeCell ref="N187:N189"/>
    <mergeCell ref="N184:N186"/>
    <mergeCell ref="O192:O193"/>
    <mergeCell ref="N190:N191"/>
    <mergeCell ref="O190:O191"/>
    <mergeCell ref="N192:N193"/>
    <mergeCell ref="O184:O186"/>
    <mergeCell ref="N177:N179"/>
    <mergeCell ref="O177:O179"/>
    <mergeCell ref="L187:L189"/>
    <mergeCell ref="L190:L191"/>
    <mergeCell ref="L192:L193"/>
    <mergeCell ref="L195:L198"/>
    <mergeCell ref="L199:L200"/>
    <mergeCell ref="L201:L205"/>
    <mergeCell ref="A170:A171"/>
    <mergeCell ref="C170:C171"/>
    <mergeCell ref="A172:A173"/>
    <mergeCell ref="B172:B173"/>
    <mergeCell ref="C172:C173"/>
    <mergeCell ref="A174:A176"/>
    <mergeCell ref="B174:B176"/>
    <mergeCell ref="H13:H14"/>
    <mergeCell ref="B4:O4"/>
    <mergeCell ref="B5:O5"/>
    <mergeCell ref="O29:O32"/>
    <mergeCell ref="O33:O36"/>
    <mergeCell ref="O37:O40"/>
    <mergeCell ref="O41:O44"/>
    <mergeCell ref="O45:O48"/>
    <mergeCell ref="L29:L32"/>
    <mergeCell ref="N33:N36"/>
    <mergeCell ref="O16:O20"/>
    <mergeCell ref="L21:L23"/>
    <mergeCell ref="N21:N23"/>
    <mergeCell ref="L25:L27"/>
    <mergeCell ref="N165:N169"/>
    <mergeCell ref="B165:B169"/>
    <mergeCell ref="C165:C169"/>
    <mergeCell ref="A16:A20"/>
    <mergeCell ref="B16:B20"/>
    <mergeCell ref="N49:N52"/>
    <mergeCell ref="O21:O23"/>
    <mergeCell ref="P21:P23"/>
    <mergeCell ref="Q21:Q23"/>
    <mergeCell ref="R21:R23"/>
    <mergeCell ref="N25:N27"/>
    <mergeCell ref="O25:O27"/>
    <mergeCell ref="P25:P27"/>
    <mergeCell ref="Q25:Q27"/>
    <mergeCell ref="R25:R27"/>
    <mergeCell ref="C49:C52"/>
    <mergeCell ref="C16:C20"/>
    <mergeCell ref="C21:C24"/>
    <mergeCell ref="C25:C28"/>
    <mergeCell ref="B21:B24"/>
    <mergeCell ref="C29:C32"/>
    <mergeCell ref="L16:L20"/>
    <mergeCell ref="N16:N20"/>
    <mergeCell ref="L33:L36"/>
    <mergeCell ref="N29:N32"/>
    <mergeCell ref="B33:B36"/>
    <mergeCell ref="B41:B44"/>
    <mergeCell ref="B240:D240"/>
    <mergeCell ref="N240:O240"/>
    <mergeCell ref="C76:C81"/>
    <mergeCell ref="C82:C87"/>
    <mergeCell ref="C88:C93"/>
    <mergeCell ref="C94:C99"/>
    <mergeCell ref="C100:C105"/>
    <mergeCell ref="C106:C111"/>
    <mergeCell ref="C112:C117"/>
    <mergeCell ref="C118:C123"/>
    <mergeCell ref="C124:C129"/>
    <mergeCell ref="C130:C135"/>
    <mergeCell ref="C136:C141"/>
    <mergeCell ref="A223:D223"/>
    <mergeCell ref="B124:B129"/>
    <mergeCell ref="B237:D237"/>
    <mergeCell ref="B233:D233"/>
    <mergeCell ref="B234:D234"/>
    <mergeCell ref="B230:D230"/>
    <mergeCell ref="B231:D231"/>
    <mergeCell ref="B232:D232"/>
    <mergeCell ref="L112:L117"/>
    <mergeCell ref="L149:L150"/>
    <mergeCell ref="B226:D226"/>
    <mergeCell ref="B224:D224"/>
    <mergeCell ref="A195:A198"/>
    <mergeCell ref="A216:A217"/>
    <mergeCell ref="B216:B217"/>
    <mergeCell ref="B195:B198"/>
    <mergeCell ref="C195:C198"/>
    <mergeCell ref="A177:A179"/>
    <mergeCell ref="A187:A189"/>
    <mergeCell ref="C177:C179"/>
    <mergeCell ref="B187:B189"/>
    <mergeCell ref="C187:C189"/>
    <mergeCell ref="D203:D205"/>
    <mergeCell ref="A184:A186"/>
    <mergeCell ref="B184:B186"/>
    <mergeCell ref="B190:B191"/>
    <mergeCell ref="C192:C193"/>
    <mergeCell ref="C190:C191"/>
    <mergeCell ref="A190:A191"/>
    <mergeCell ref="A192:A193"/>
    <mergeCell ref="B192:B193"/>
    <mergeCell ref="B177:B179"/>
    <mergeCell ref="C184:C186"/>
    <mergeCell ref="A218:A219"/>
    <mergeCell ref="B218:B219"/>
    <mergeCell ref="B235:D235"/>
    <mergeCell ref="B236:D236"/>
    <mergeCell ref="B112:B117"/>
    <mergeCell ref="B225:D225"/>
    <mergeCell ref="A211:A214"/>
    <mergeCell ref="C211:C214"/>
    <mergeCell ref="C216:C217"/>
    <mergeCell ref="A206:A210"/>
    <mergeCell ref="R199:R200"/>
    <mergeCell ref="A201:A205"/>
    <mergeCell ref="B201:B205"/>
    <mergeCell ref="B199:B200"/>
    <mergeCell ref="N199:N200"/>
    <mergeCell ref="O199:O200"/>
    <mergeCell ref="P199:P200"/>
    <mergeCell ref="Q199:Q200"/>
    <mergeCell ref="N216:N217"/>
    <mergeCell ref="B206:B210"/>
    <mergeCell ref="N206:N210"/>
    <mergeCell ref="A199:A200"/>
    <mergeCell ref="C206:C210"/>
    <mergeCell ref="C199:C200"/>
    <mergeCell ref="C201:C205"/>
    <mergeCell ref="N118:N123"/>
    <mergeCell ref="O165:O169"/>
    <mergeCell ref="K184:K186"/>
    <mergeCell ref="B76:B81"/>
    <mergeCell ref="B82:B87"/>
    <mergeCell ref="B88:B93"/>
    <mergeCell ref="B100:B105"/>
    <mergeCell ref="B142:B147"/>
    <mergeCell ref="B136:B141"/>
    <mergeCell ref="B156:B157"/>
    <mergeCell ref="N130:N135"/>
    <mergeCell ref="N124:N129"/>
    <mergeCell ref="C152:C153"/>
    <mergeCell ref="L136:L141"/>
    <mergeCell ref="N106:N111"/>
    <mergeCell ref="O118:O123"/>
    <mergeCell ref="B148:B150"/>
    <mergeCell ref="L165:L169"/>
    <mergeCell ref="L177:L179"/>
    <mergeCell ref="L184:L186"/>
    <mergeCell ref="Q152:Q153"/>
    <mergeCell ref="N160:N162"/>
    <mergeCell ref="O160:O162"/>
    <mergeCell ref="N149:N150"/>
    <mergeCell ref="P149:P150"/>
    <mergeCell ref="O149:O150"/>
    <mergeCell ref="P124:P129"/>
    <mergeCell ref="C142:C147"/>
    <mergeCell ref="C149:C150"/>
    <mergeCell ref="Q149:Q150"/>
    <mergeCell ref="C160:C162"/>
    <mergeCell ref="C156:C157"/>
    <mergeCell ref="O124:O129"/>
    <mergeCell ref="O142:O147"/>
    <mergeCell ref="L130:L135"/>
    <mergeCell ref="L124:L129"/>
    <mergeCell ref="A160:A162"/>
    <mergeCell ref="B160:B162"/>
    <mergeCell ref="O156:O157"/>
    <mergeCell ref="A156:A157"/>
    <mergeCell ref="N156:N157"/>
    <mergeCell ref="K156:K157"/>
    <mergeCell ref="L152:L153"/>
    <mergeCell ref="L156:L157"/>
    <mergeCell ref="L160:L162"/>
    <mergeCell ref="K160:K162"/>
    <mergeCell ref="P100:P105"/>
    <mergeCell ref="A152:A153"/>
    <mergeCell ref="B152:B153"/>
    <mergeCell ref="N152:N153"/>
    <mergeCell ref="O152:O153"/>
    <mergeCell ref="P152:P153"/>
    <mergeCell ref="L88:L93"/>
    <mergeCell ref="N88:N93"/>
    <mergeCell ref="P88:P93"/>
    <mergeCell ref="L94:L99"/>
    <mergeCell ref="N94:N99"/>
    <mergeCell ref="P118:P123"/>
    <mergeCell ref="L100:L105"/>
    <mergeCell ref="L106:L111"/>
    <mergeCell ref="L118:L123"/>
    <mergeCell ref="C45:C48"/>
    <mergeCell ref="B62:B65"/>
    <mergeCell ref="N41:N44"/>
    <mergeCell ref="N82:N86"/>
    <mergeCell ref="O106:O111"/>
    <mergeCell ref="N76:N80"/>
    <mergeCell ref="O76:O80"/>
    <mergeCell ref="N100:N105"/>
    <mergeCell ref="B70:B75"/>
    <mergeCell ref="L70:L75"/>
    <mergeCell ref="A165:A169"/>
    <mergeCell ref="B25:B28"/>
    <mergeCell ref="B29:B32"/>
    <mergeCell ref="B37:B40"/>
    <mergeCell ref="B45:B48"/>
    <mergeCell ref="B53:B57"/>
    <mergeCell ref="C33:C36"/>
    <mergeCell ref="L37:L40"/>
    <mergeCell ref="N37:N40"/>
    <mergeCell ref="N62:N65"/>
    <mergeCell ref="C58:C61"/>
    <mergeCell ref="B66:B69"/>
    <mergeCell ref="C66:C69"/>
    <mergeCell ref="B94:B99"/>
    <mergeCell ref="B106:B111"/>
    <mergeCell ref="C53:C57"/>
    <mergeCell ref="L82:L86"/>
    <mergeCell ref="N136:N141"/>
    <mergeCell ref="A70:A75"/>
    <mergeCell ref="L53:L57"/>
    <mergeCell ref="A21:A69"/>
    <mergeCell ref="C37:C40"/>
    <mergeCell ref="A76:A150"/>
    <mergeCell ref="L66:L69"/>
    <mergeCell ref="P94:P99"/>
    <mergeCell ref="L76:L80"/>
    <mergeCell ref="L62:L65"/>
    <mergeCell ref="P76:P80"/>
    <mergeCell ref="O82:O86"/>
    <mergeCell ref="P82:P86"/>
    <mergeCell ref="C13:C14"/>
    <mergeCell ref="B211:B214"/>
    <mergeCell ref="N211:N214"/>
    <mergeCell ref="O66:O69"/>
    <mergeCell ref="O70:O75"/>
    <mergeCell ref="O49:O52"/>
    <mergeCell ref="O53:O57"/>
    <mergeCell ref="O58:O61"/>
    <mergeCell ref="O62:O65"/>
    <mergeCell ref="N66:N69"/>
    <mergeCell ref="L49:L52"/>
    <mergeCell ref="B49:B52"/>
    <mergeCell ref="B58:B61"/>
    <mergeCell ref="B118:B123"/>
    <mergeCell ref="B130:B135"/>
    <mergeCell ref="C62:C65"/>
    <mergeCell ref="C70:C75"/>
    <mergeCell ref="C41:C44"/>
    <mergeCell ref="Q190:Q191"/>
    <mergeCell ref="P192:P193"/>
    <mergeCell ref="Q192:Q193"/>
    <mergeCell ref="D13:D14"/>
    <mergeCell ref="E13:E14"/>
    <mergeCell ref="F13:F14"/>
    <mergeCell ref="G13:G14"/>
    <mergeCell ref="N112:N117"/>
    <mergeCell ref="P112:P117"/>
    <mergeCell ref="Q112:Q117"/>
    <mergeCell ref="O112:O117"/>
    <mergeCell ref="I13:I14"/>
    <mergeCell ref="J13:J14"/>
    <mergeCell ref="N45:N48"/>
    <mergeCell ref="Q53:Q57"/>
    <mergeCell ref="L58:L61"/>
    <mergeCell ref="N58:N61"/>
    <mergeCell ref="P58:P61"/>
    <mergeCell ref="Q58:Q61"/>
    <mergeCell ref="N70:N75"/>
    <mergeCell ref="O88:O93"/>
    <mergeCell ref="O94:O99"/>
    <mergeCell ref="O100:O105"/>
    <mergeCell ref="L41:L44"/>
    <mergeCell ref="R152:R153"/>
    <mergeCell ref="R156:R157"/>
    <mergeCell ref="O187:O189"/>
    <mergeCell ref="S199:S200"/>
    <mergeCell ref="S192:S193"/>
    <mergeCell ref="R192:R193"/>
    <mergeCell ref="R160:R162"/>
    <mergeCell ref="S177:S179"/>
    <mergeCell ref="Q187:Q189"/>
    <mergeCell ref="R187:R189"/>
    <mergeCell ref="P156:P157"/>
    <mergeCell ref="Q156:Q157"/>
    <mergeCell ref="P160:P162"/>
    <mergeCell ref="Q160:Q162"/>
    <mergeCell ref="P165:P169"/>
    <mergeCell ref="R177:R179"/>
    <mergeCell ref="P177:P179"/>
    <mergeCell ref="Q177:Q179"/>
    <mergeCell ref="R195:R198"/>
    <mergeCell ref="Q165:Q169"/>
    <mergeCell ref="R165:R169"/>
    <mergeCell ref="P187:P189"/>
    <mergeCell ref="S195:S198"/>
    <mergeCell ref="R190:R191"/>
    <mergeCell ref="L142:L147"/>
    <mergeCell ref="N142:N147"/>
    <mergeCell ref="P142:P147"/>
    <mergeCell ref="Q142:Q147"/>
    <mergeCell ref="R142:R147"/>
    <mergeCell ref="O13:O14"/>
    <mergeCell ref="P13:R13"/>
    <mergeCell ref="P130:P135"/>
    <mergeCell ref="Q130:Q135"/>
    <mergeCell ref="R130:R135"/>
    <mergeCell ref="P136:P141"/>
    <mergeCell ref="Q136:Q141"/>
    <mergeCell ref="R136:R141"/>
    <mergeCell ref="O130:O135"/>
    <mergeCell ref="O136:O141"/>
    <mergeCell ref="Q124:Q129"/>
    <mergeCell ref="R124:R129"/>
    <mergeCell ref="Q45:Q48"/>
    <mergeCell ref="R45:R48"/>
    <mergeCell ref="P37:P40"/>
    <mergeCell ref="P45:P48"/>
    <mergeCell ref="P70:P75"/>
    <mergeCell ref="L45:L48"/>
    <mergeCell ref="P66:P69"/>
    <mergeCell ref="Q76:Q80"/>
    <mergeCell ref="R76:R80"/>
    <mergeCell ref="Q82:Q86"/>
    <mergeCell ref="R82:R86"/>
    <mergeCell ref="Q62:Q65"/>
    <mergeCell ref="R62:R65"/>
    <mergeCell ref="P53:P57"/>
    <mergeCell ref="L13:L14"/>
    <mergeCell ref="N13:N14"/>
    <mergeCell ref="N53:N57"/>
    <mergeCell ref="P16:P20"/>
    <mergeCell ref="P29:P32"/>
    <mergeCell ref="Q29:Q32"/>
    <mergeCell ref="R29:R32"/>
    <mergeCell ref="P33:P36"/>
    <mergeCell ref="Q33:Q36"/>
    <mergeCell ref="R33:R36"/>
    <mergeCell ref="Q37:Q40"/>
    <mergeCell ref="R37:R40"/>
    <mergeCell ref="Q16:Q20"/>
    <mergeCell ref="R16:R20"/>
    <mergeCell ref="Q41:Q44"/>
    <mergeCell ref="R66:R69"/>
    <mergeCell ref="Q118:Q123"/>
    <mergeCell ref="R118:R123"/>
    <mergeCell ref="P49:P52"/>
    <mergeCell ref="Q49:Q52"/>
    <mergeCell ref="R49:R52"/>
    <mergeCell ref="R106:R111"/>
    <mergeCell ref="R112:R117"/>
    <mergeCell ref="R53:R57"/>
    <mergeCell ref="R58:R61"/>
    <mergeCell ref="Q66:Q69"/>
    <mergeCell ref="Q70:Q75"/>
    <mergeCell ref="R70:R75"/>
    <mergeCell ref="Q88:Q93"/>
    <mergeCell ref="R88:R93"/>
    <mergeCell ref="Q94:Q99"/>
    <mergeCell ref="R94:R99"/>
    <mergeCell ref="Q100:Q105"/>
    <mergeCell ref="R100:R105"/>
    <mergeCell ref="R41:R44"/>
    <mergeCell ref="P106:P111"/>
    <mergeCell ref="P41:P44"/>
    <mergeCell ref="Q106:Q111"/>
    <mergeCell ref="S211:S214"/>
    <mergeCell ref="L216:L217"/>
    <mergeCell ref="P190:P191"/>
    <mergeCell ref="K165:K169"/>
    <mergeCell ref="S165:S169"/>
    <mergeCell ref="N12:Q12"/>
    <mergeCell ref="A13:A14"/>
    <mergeCell ref="B13:B14"/>
    <mergeCell ref="K16:K75"/>
    <mergeCell ref="M13:M217"/>
    <mergeCell ref="K13:K14"/>
    <mergeCell ref="K195:K198"/>
    <mergeCell ref="K199:K200"/>
    <mergeCell ref="K201:K205"/>
    <mergeCell ref="N201:N205"/>
    <mergeCell ref="K206:K210"/>
    <mergeCell ref="K211:K214"/>
    <mergeCell ref="K152:K153"/>
    <mergeCell ref="K177:K179"/>
    <mergeCell ref="S13:S14"/>
    <mergeCell ref="P62:P65"/>
    <mergeCell ref="B181:B182"/>
    <mergeCell ref="R149:R150"/>
    <mergeCell ref="S160:S162"/>
    <mergeCell ref="A2:S2"/>
    <mergeCell ref="A10:L10"/>
    <mergeCell ref="B229:D229"/>
    <mergeCell ref="B227:D227"/>
    <mergeCell ref="B228:D228"/>
    <mergeCell ref="S184:S186"/>
    <mergeCell ref="S187:S189"/>
    <mergeCell ref="K187:K189"/>
    <mergeCell ref="K190:K191"/>
    <mergeCell ref="S190:S191"/>
    <mergeCell ref="K192:K193"/>
    <mergeCell ref="P195:P198"/>
    <mergeCell ref="Q195:Q198"/>
    <mergeCell ref="O195:O198"/>
    <mergeCell ref="Q184:Q186"/>
    <mergeCell ref="R184:R186"/>
    <mergeCell ref="P184:P186"/>
    <mergeCell ref="N195:N198"/>
    <mergeCell ref="O216:O217"/>
    <mergeCell ref="P216:P217"/>
    <mergeCell ref="Q216:Q217"/>
    <mergeCell ref="R216:R217"/>
    <mergeCell ref="S201:S205"/>
    <mergeCell ref="S206:S210"/>
  </mergeCells>
  <phoneticPr fontId="17" type="noConversion"/>
  <conditionalFormatting sqref="I13:J13">
    <cfRule type="dataBar" priority="16">
      <dataBar>
        <cfvo type="min"/>
        <cfvo type="max"/>
        <color rgb="FF638EC6"/>
      </dataBar>
      <extLst>
        <ext xmlns:x14="http://schemas.microsoft.com/office/spreadsheetml/2009/9/main" uri="{B025F937-C7B1-47D3-B67F-A62EFF666E3E}">
          <x14:id>{E92BB977-6C28-457E-9863-F2BDD86BDC4D}</x14:id>
        </ext>
      </extLst>
    </cfRule>
  </conditionalFormatting>
  <conditionalFormatting sqref="I14:J14">
    <cfRule type="dataBar" priority="17">
      <dataBar>
        <cfvo type="min"/>
        <cfvo type="max"/>
        <color rgb="FF638EC6"/>
      </dataBar>
      <extLst>
        <ext xmlns:x14="http://schemas.microsoft.com/office/spreadsheetml/2009/9/main" uri="{B025F937-C7B1-47D3-B67F-A62EFF666E3E}">
          <x14:id>{C8F59F70-AC7A-41E3-A977-EA01C1B7A55E}</x14:id>
        </ext>
      </extLst>
    </cfRule>
  </conditionalFormatting>
  <conditionalFormatting sqref="L13:M13 E13:G13 G14 H13:H14">
    <cfRule type="dataBar" priority="11">
      <dataBar>
        <cfvo type="min"/>
        <cfvo type="max"/>
        <color rgb="FF638EC6"/>
      </dataBar>
      <extLst>
        <ext xmlns:x14="http://schemas.microsoft.com/office/spreadsheetml/2009/9/main" uri="{B025F937-C7B1-47D3-B67F-A62EFF666E3E}">
          <x14:id>{654189B1-5C4A-46ED-92D1-B4850105B7BD}</x14:id>
        </ext>
      </extLst>
    </cfRule>
  </conditionalFormatting>
  <pageMargins left="0.7" right="0.7" top="0.75" bottom="0.75" header="0.3" footer="0.3"/>
  <pageSetup paperSize="8" scale="55" fitToHeight="0" orientation="landscape" r:id="rId1"/>
  <extLst>
    <ext xmlns:x14="http://schemas.microsoft.com/office/spreadsheetml/2009/9/main" uri="{78C0D931-6437-407d-A8EE-F0AAD7539E65}">
      <x14:conditionalFormattings>
        <x14:conditionalFormatting xmlns:xm="http://schemas.microsoft.com/office/excel/2006/main">
          <x14:cfRule type="dataBar" id="{E92BB977-6C28-457E-9863-F2BDD86BDC4D}">
            <x14:dataBar minLength="0" maxLength="100" border="1" negativeBarBorderColorSameAsPositive="0">
              <x14:cfvo type="autoMin"/>
              <x14:cfvo type="autoMax"/>
              <x14:borderColor rgb="FF638EC6"/>
              <x14:negativeFillColor rgb="FFFF0000"/>
              <x14:negativeBorderColor rgb="FFFF0000"/>
              <x14:axisColor rgb="FF000000"/>
            </x14:dataBar>
          </x14:cfRule>
          <xm:sqref>I13:J13</xm:sqref>
        </x14:conditionalFormatting>
        <x14:conditionalFormatting xmlns:xm="http://schemas.microsoft.com/office/excel/2006/main">
          <x14:cfRule type="dataBar" id="{C8F59F70-AC7A-41E3-A977-EA01C1B7A55E}">
            <x14:dataBar minLength="0" maxLength="100" border="1" negativeBarBorderColorSameAsPositive="0">
              <x14:cfvo type="autoMin"/>
              <x14:cfvo type="autoMax"/>
              <x14:borderColor rgb="FF638EC6"/>
              <x14:negativeFillColor rgb="FFFF0000"/>
              <x14:negativeBorderColor rgb="FFFF0000"/>
              <x14:axisColor rgb="FF000000"/>
            </x14:dataBar>
          </x14:cfRule>
          <xm:sqref>I14:J14</xm:sqref>
        </x14:conditionalFormatting>
        <x14:conditionalFormatting xmlns:xm="http://schemas.microsoft.com/office/excel/2006/main">
          <x14:cfRule type="dataBar" id="{654189B1-5C4A-46ED-92D1-B4850105B7BD}">
            <x14:dataBar minLength="0" maxLength="100" border="1" negativeBarBorderColorSameAsPositive="0">
              <x14:cfvo type="autoMin"/>
              <x14:cfvo type="autoMax"/>
              <x14:borderColor rgb="FF638EC6"/>
              <x14:negativeFillColor rgb="FFFF0000"/>
              <x14:negativeBorderColor rgb="FFFF0000"/>
              <x14:axisColor rgb="FF000000"/>
            </x14:dataBar>
          </x14:cfRule>
          <xm:sqref>L13:M13 E13:G13 G14 H13:H14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7E3DF-58E4-4084-942B-E33220C0A008}">
  <sheetPr>
    <pageSetUpPr fitToPage="1"/>
  </sheetPr>
  <dimension ref="A2:O55"/>
  <sheetViews>
    <sheetView workbookViewId="0">
      <selection activeCell="B48" sqref="B48"/>
    </sheetView>
  </sheetViews>
  <sheetFormatPr defaultRowHeight="13.2"/>
  <cols>
    <col min="1" max="1" width="7.33203125" customWidth="1"/>
    <col min="2" max="2" width="35.33203125" customWidth="1"/>
    <col min="3" max="3" width="15.33203125" customWidth="1"/>
    <col min="4" max="4" width="18.33203125" customWidth="1"/>
    <col min="5" max="5" width="15.44140625" customWidth="1"/>
    <col min="6" max="6" width="15.109375" customWidth="1"/>
    <col min="7" max="7" width="13.88671875" customWidth="1"/>
    <col min="8" max="8" width="32.109375" customWidth="1"/>
  </cols>
  <sheetData>
    <row r="2" spans="1:15" ht="33" customHeight="1">
      <c r="A2" s="1870" t="s">
        <v>3677</v>
      </c>
      <c r="B2" s="1870"/>
      <c r="C2" s="1870"/>
      <c r="D2" s="1870"/>
      <c r="E2" s="1870"/>
      <c r="F2" s="1870"/>
      <c r="G2" s="1870"/>
      <c r="H2" s="1870"/>
      <c r="I2" s="927"/>
      <c r="J2" s="927"/>
      <c r="K2" s="927"/>
      <c r="L2" s="927"/>
      <c r="M2" s="927"/>
      <c r="N2" s="927"/>
      <c r="O2" s="927"/>
    </row>
    <row r="3" spans="1:15" ht="26.25" customHeight="1"/>
    <row r="4" spans="1:15" ht="63" customHeight="1">
      <c r="A4" s="930" t="s">
        <v>988</v>
      </c>
      <c r="B4" s="930" t="s">
        <v>2359</v>
      </c>
      <c r="C4" s="930" t="s">
        <v>2360</v>
      </c>
      <c r="D4" s="930" t="s">
        <v>3435</v>
      </c>
      <c r="E4" s="930">
        <v>2024</v>
      </c>
      <c r="F4" s="930">
        <v>2025</v>
      </c>
      <c r="G4" s="930">
        <v>2026</v>
      </c>
      <c r="H4" s="930" t="s">
        <v>2361</v>
      </c>
    </row>
    <row r="5" spans="1:15">
      <c r="A5" s="931" t="s">
        <v>1005</v>
      </c>
      <c r="B5" s="931" t="s">
        <v>2362</v>
      </c>
      <c r="C5" s="931"/>
      <c r="D5" s="931"/>
      <c r="E5" s="931"/>
      <c r="F5" s="931"/>
      <c r="G5" s="931"/>
      <c r="H5" s="931"/>
    </row>
    <row r="6" spans="1:15" ht="22.8">
      <c r="A6" s="929" t="s">
        <v>1047</v>
      </c>
      <c r="B6" s="929" t="s">
        <v>2363</v>
      </c>
      <c r="C6" s="929" t="s">
        <v>2364</v>
      </c>
      <c r="D6" s="929" t="s">
        <v>3436</v>
      </c>
      <c r="E6" s="929">
        <v>115</v>
      </c>
      <c r="F6" s="929">
        <v>115</v>
      </c>
      <c r="G6" s="929">
        <v>115</v>
      </c>
      <c r="H6" s="929" t="s">
        <v>2366</v>
      </c>
    </row>
    <row r="7" spans="1:15">
      <c r="A7" s="931" t="s">
        <v>1062</v>
      </c>
      <c r="B7" s="1871" t="s">
        <v>2367</v>
      </c>
      <c r="C7" s="1871"/>
      <c r="D7" s="1871"/>
      <c r="E7" s="1871"/>
      <c r="F7" s="1871"/>
      <c r="G7" s="1871"/>
      <c r="H7" s="1871"/>
    </row>
    <row r="8" spans="1:15" ht="22.8">
      <c r="A8" s="929" t="s">
        <v>2368</v>
      </c>
      <c r="B8" s="929" t="s">
        <v>2369</v>
      </c>
      <c r="C8" s="929" t="s">
        <v>2370</v>
      </c>
      <c r="D8" s="929">
        <v>115</v>
      </c>
      <c r="E8" s="929">
        <v>112</v>
      </c>
      <c r="F8" s="929">
        <v>110</v>
      </c>
      <c r="G8" s="929">
        <v>110</v>
      </c>
      <c r="H8" s="929" t="s">
        <v>2371</v>
      </c>
    </row>
    <row r="9" spans="1:15" ht="22.8">
      <c r="A9" s="929" t="s">
        <v>2372</v>
      </c>
      <c r="B9" s="929" t="s">
        <v>2373</v>
      </c>
      <c r="C9" s="929" t="s">
        <v>2370</v>
      </c>
      <c r="D9" s="929">
        <v>189</v>
      </c>
      <c r="E9" s="929">
        <v>185</v>
      </c>
      <c r="F9" s="929">
        <v>180</v>
      </c>
      <c r="G9" s="929">
        <v>180</v>
      </c>
      <c r="H9" s="929" t="s">
        <v>2371</v>
      </c>
    </row>
    <row r="10" spans="1:15" ht="22.8">
      <c r="A10" s="929" t="s">
        <v>2374</v>
      </c>
      <c r="B10" s="929" t="s">
        <v>2375</v>
      </c>
      <c r="C10" s="929" t="s">
        <v>2370</v>
      </c>
      <c r="D10" s="929">
        <v>443</v>
      </c>
      <c r="E10" s="929">
        <v>430</v>
      </c>
      <c r="F10" s="929">
        <v>425</v>
      </c>
      <c r="G10" s="929">
        <v>425</v>
      </c>
      <c r="H10" s="929" t="s">
        <v>2371</v>
      </c>
    </row>
    <row r="11" spans="1:15" ht="22.8">
      <c r="A11" s="929" t="s">
        <v>2376</v>
      </c>
      <c r="B11" s="929" t="s">
        <v>2377</v>
      </c>
      <c r="C11" s="929" t="s">
        <v>2370</v>
      </c>
      <c r="D11" s="929">
        <v>106</v>
      </c>
      <c r="E11" s="929">
        <v>105</v>
      </c>
      <c r="F11" s="929">
        <v>108</v>
      </c>
      <c r="G11" s="929">
        <v>110</v>
      </c>
      <c r="H11" s="929" t="s">
        <v>2378</v>
      </c>
    </row>
    <row r="12" spans="1:15">
      <c r="A12" s="931" t="s">
        <v>1063</v>
      </c>
      <c r="B12" s="1872" t="s">
        <v>2379</v>
      </c>
      <c r="C12" s="1872"/>
      <c r="D12" s="1872"/>
      <c r="E12" s="1872"/>
      <c r="F12" s="1872"/>
      <c r="G12" s="1872"/>
      <c r="H12" s="1872"/>
    </row>
    <row r="13" spans="1:15" ht="43.5" customHeight="1">
      <c r="A13" s="929" t="s">
        <v>2380</v>
      </c>
      <c r="B13" s="929" t="s">
        <v>2344</v>
      </c>
      <c r="C13" s="929" t="s">
        <v>2381</v>
      </c>
      <c r="D13" s="929">
        <v>36</v>
      </c>
      <c r="E13" s="929">
        <v>38</v>
      </c>
      <c r="F13" s="929">
        <v>38</v>
      </c>
      <c r="G13" s="929">
        <v>40</v>
      </c>
      <c r="H13" s="929" t="s">
        <v>2382</v>
      </c>
    </row>
    <row r="14" spans="1:15" ht="22.8">
      <c r="A14" s="929" t="s">
        <v>2383</v>
      </c>
      <c r="B14" s="929" t="s">
        <v>2350</v>
      </c>
      <c r="C14" s="929" t="s">
        <v>2381</v>
      </c>
      <c r="D14" s="929">
        <v>26</v>
      </c>
      <c r="E14" s="929">
        <v>28</v>
      </c>
      <c r="F14" s="929">
        <v>28</v>
      </c>
      <c r="G14" s="929">
        <v>30</v>
      </c>
      <c r="H14" s="929" t="s">
        <v>2384</v>
      </c>
    </row>
    <row r="15" spans="1:15" ht="22.8">
      <c r="A15" s="929" t="s">
        <v>2385</v>
      </c>
      <c r="B15" s="929" t="s">
        <v>2345</v>
      </c>
      <c r="C15" s="929" t="s">
        <v>2381</v>
      </c>
      <c r="D15" s="929">
        <v>1931</v>
      </c>
      <c r="E15" s="929">
        <v>1950</v>
      </c>
      <c r="F15" s="929">
        <v>1950</v>
      </c>
      <c r="G15" s="929">
        <v>1950</v>
      </c>
      <c r="H15" s="929" t="s">
        <v>2386</v>
      </c>
    </row>
    <row r="16" spans="1:15" ht="22.8">
      <c r="A16" s="929" t="s">
        <v>2387</v>
      </c>
      <c r="B16" s="929" t="s">
        <v>2346</v>
      </c>
      <c r="C16" s="929" t="s">
        <v>2381</v>
      </c>
      <c r="D16" s="929">
        <v>759</v>
      </c>
      <c r="E16" s="929">
        <v>750</v>
      </c>
      <c r="F16" s="929">
        <v>750</v>
      </c>
      <c r="G16" s="929">
        <v>750</v>
      </c>
      <c r="H16" s="929" t="s">
        <v>2388</v>
      </c>
    </row>
    <row r="17" spans="1:8" ht="22.8">
      <c r="A17" s="929" t="s">
        <v>2389</v>
      </c>
      <c r="B17" s="929" t="s">
        <v>2347</v>
      </c>
      <c r="C17" s="929" t="s">
        <v>2370</v>
      </c>
      <c r="D17" s="929">
        <v>2263</v>
      </c>
      <c r="E17" s="929">
        <v>2260</v>
      </c>
      <c r="F17" s="929">
        <v>2260</v>
      </c>
      <c r="G17" s="929">
        <v>2260</v>
      </c>
      <c r="H17" s="929" t="s">
        <v>2390</v>
      </c>
    </row>
    <row r="18" spans="1:8" ht="22.8">
      <c r="A18" s="929" t="s">
        <v>2391</v>
      </c>
      <c r="B18" s="932" t="s">
        <v>2351</v>
      </c>
      <c r="C18" s="932" t="s">
        <v>2370</v>
      </c>
      <c r="D18" s="932">
        <v>10.5</v>
      </c>
      <c r="E18" s="932">
        <v>10.5</v>
      </c>
      <c r="F18" s="932">
        <v>10.5</v>
      </c>
      <c r="G18" s="932">
        <v>10.6</v>
      </c>
      <c r="H18" s="932" t="s">
        <v>2392</v>
      </c>
    </row>
    <row r="19" spans="1:8" ht="46.8" customHeight="1">
      <c r="A19" s="929" t="s">
        <v>2393</v>
      </c>
      <c r="B19" s="929" t="s">
        <v>2352</v>
      </c>
      <c r="C19" s="929" t="s">
        <v>2381</v>
      </c>
      <c r="D19" s="929">
        <v>0</v>
      </c>
      <c r="E19" s="929">
        <v>0</v>
      </c>
      <c r="F19" s="929">
        <v>0</v>
      </c>
      <c r="G19" s="929">
        <v>0</v>
      </c>
      <c r="H19" s="929" t="s">
        <v>2388</v>
      </c>
    </row>
    <row r="20" spans="1:8" ht="34.200000000000003">
      <c r="A20" s="929" t="s">
        <v>2395</v>
      </c>
      <c r="B20" s="929" t="s">
        <v>2353</v>
      </c>
      <c r="C20" s="929" t="s">
        <v>2381</v>
      </c>
      <c r="D20" s="929">
        <v>0</v>
      </c>
      <c r="E20" s="929">
        <v>0</v>
      </c>
      <c r="F20" s="929">
        <v>0</v>
      </c>
      <c r="G20" s="929">
        <v>0</v>
      </c>
      <c r="H20" s="929" t="s">
        <v>2388</v>
      </c>
    </row>
    <row r="21" spans="1:8" ht="45.6">
      <c r="A21" s="929" t="s">
        <v>2396</v>
      </c>
      <c r="B21" s="929" t="s">
        <v>2354</v>
      </c>
      <c r="C21" s="929" t="s">
        <v>2381</v>
      </c>
      <c r="D21" s="929">
        <v>0</v>
      </c>
      <c r="E21" s="929">
        <v>0</v>
      </c>
      <c r="F21" s="929">
        <v>0</v>
      </c>
      <c r="G21" s="929">
        <v>0</v>
      </c>
      <c r="H21" s="929" t="s">
        <v>2388</v>
      </c>
    </row>
    <row r="22" spans="1:8" ht="68.400000000000006">
      <c r="A22" s="929" t="s">
        <v>2397</v>
      </c>
      <c r="B22" s="929" t="s">
        <v>2355</v>
      </c>
      <c r="C22" s="929" t="s">
        <v>2381</v>
      </c>
      <c r="D22" s="929">
        <v>0</v>
      </c>
      <c r="E22" s="929">
        <v>0</v>
      </c>
      <c r="F22" s="929">
        <v>0</v>
      </c>
      <c r="G22" s="929">
        <v>0</v>
      </c>
      <c r="H22" s="929" t="s">
        <v>2388</v>
      </c>
    </row>
    <row r="23" spans="1:8">
      <c r="A23" s="931" t="s">
        <v>2232</v>
      </c>
      <c r="B23" s="1872" t="s">
        <v>2398</v>
      </c>
      <c r="C23" s="1872"/>
      <c r="D23" s="1872"/>
      <c r="E23" s="1872"/>
      <c r="F23" s="1872"/>
      <c r="G23" s="1872"/>
      <c r="H23" s="1872"/>
    </row>
    <row r="24" spans="1:8" ht="34.200000000000003">
      <c r="A24" s="929" t="s">
        <v>2399</v>
      </c>
      <c r="B24" s="929" t="s">
        <v>3661</v>
      </c>
      <c r="C24" s="1873" t="s">
        <v>2370</v>
      </c>
      <c r="D24" s="932" t="s">
        <v>3662</v>
      </c>
      <c r="E24" s="932" t="s">
        <v>3663</v>
      </c>
      <c r="F24" s="932" t="s">
        <v>3664</v>
      </c>
      <c r="G24" s="932" t="s">
        <v>3665</v>
      </c>
      <c r="H24" s="1873" t="s">
        <v>2400</v>
      </c>
    </row>
    <row r="25" spans="1:8">
      <c r="A25" s="929" t="s">
        <v>2401</v>
      </c>
      <c r="B25" s="929" t="s">
        <v>2356</v>
      </c>
      <c r="C25" s="1873"/>
      <c r="D25" s="932" t="s">
        <v>3666</v>
      </c>
      <c r="E25" s="932" t="s">
        <v>3667</v>
      </c>
      <c r="F25" s="932" t="s">
        <v>3668</v>
      </c>
      <c r="G25" s="932" t="s">
        <v>3663</v>
      </c>
      <c r="H25" s="1873"/>
    </row>
    <row r="26" spans="1:8">
      <c r="A26" s="929" t="s">
        <v>2402</v>
      </c>
      <c r="B26" s="929" t="s">
        <v>2357</v>
      </c>
      <c r="C26" s="1873"/>
      <c r="D26" s="932" t="s">
        <v>3669</v>
      </c>
      <c r="E26" s="932" t="s">
        <v>3670</v>
      </c>
      <c r="F26" s="932" t="s">
        <v>3671</v>
      </c>
      <c r="G26" s="932" t="s">
        <v>3667</v>
      </c>
      <c r="H26" s="1873"/>
    </row>
    <row r="27" spans="1:8">
      <c r="A27" s="929" t="s">
        <v>2403</v>
      </c>
      <c r="B27" s="929" t="s">
        <v>2358</v>
      </c>
      <c r="C27" s="1873"/>
      <c r="D27" s="932" t="s">
        <v>3672</v>
      </c>
      <c r="E27" s="932" t="s">
        <v>3673</v>
      </c>
      <c r="F27" s="932" t="s">
        <v>3673</v>
      </c>
      <c r="G27" s="932" t="s">
        <v>3674</v>
      </c>
      <c r="H27" s="1873"/>
    </row>
    <row r="28" spans="1:8" ht="22.8">
      <c r="A28" s="929" t="s">
        <v>2404</v>
      </c>
      <c r="B28" s="933" t="s">
        <v>2405</v>
      </c>
      <c r="C28" s="1879" t="s">
        <v>2370</v>
      </c>
      <c r="D28" s="932"/>
      <c r="E28" s="932"/>
      <c r="F28" s="932"/>
      <c r="G28" s="932"/>
      <c r="H28" s="1873" t="s">
        <v>2388</v>
      </c>
    </row>
    <row r="29" spans="1:8">
      <c r="A29" s="929" t="s">
        <v>2406</v>
      </c>
      <c r="B29" s="933" t="s">
        <v>2356</v>
      </c>
      <c r="C29" s="1879"/>
      <c r="D29" s="932" t="s">
        <v>3675</v>
      </c>
      <c r="E29" s="932">
        <v>95</v>
      </c>
      <c r="F29" s="932">
        <v>94</v>
      </c>
      <c r="G29" s="932">
        <v>94</v>
      </c>
      <c r="H29" s="1873"/>
    </row>
    <row r="30" spans="1:8">
      <c r="A30" s="929" t="s">
        <v>2407</v>
      </c>
      <c r="B30" s="933" t="s">
        <v>2357</v>
      </c>
      <c r="C30" s="1879"/>
      <c r="D30" s="932" t="s">
        <v>3676</v>
      </c>
      <c r="E30" s="932">
        <v>94</v>
      </c>
      <c r="F30" s="932">
        <v>93</v>
      </c>
      <c r="G30" s="932">
        <v>92</v>
      </c>
      <c r="H30" s="1873"/>
    </row>
    <row r="31" spans="1:8">
      <c r="A31" s="929" t="s">
        <v>2408</v>
      </c>
      <c r="B31" s="932" t="s">
        <v>2358</v>
      </c>
      <c r="C31" s="1879"/>
      <c r="D31" s="932">
        <v>85</v>
      </c>
      <c r="E31" s="932">
        <v>85</v>
      </c>
      <c r="F31" s="932">
        <v>82</v>
      </c>
      <c r="G31" s="932">
        <v>80</v>
      </c>
      <c r="H31" s="1873"/>
    </row>
    <row r="32" spans="1:8" ht="34.200000000000003">
      <c r="A32" s="929" t="s">
        <v>2409</v>
      </c>
      <c r="B32" s="934" t="s">
        <v>2410</v>
      </c>
      <c r="C32" s="929" t="s">
        <v>2370</v>
      </c>
      <c r="D32" s="929">
        <v>1</v>
      </c>
      <c r="E32" s="929">
        <v>0</v>
      </c>
      <c r="F32" s="929">
        <v>0</v>
      </c>
      <c r="G32" s="929">
        <v>0</v>
      </c>
      <c r="H32" s="929" t="s">
        <v>2411</v>
      </c>
    </row>
    <row r="33" spans="1:8" ht="22.8">
      <c r="A33" s="929" t="s">
        <v>2412</v>
      </c>
      <c r="B33" s="933" t="s">
        <v>1439</v>
      </c>
      <c r="C33" s="932" t="s">
        <v>2370</v>
      </c>
      <c r="D33" s="932" t="s">
        <v>2365</v>
      </c>
      <c r="E33" s="932">
        <v>10.5</v>
      </c>
      <c r="F33" s="932">
        <v>10.5</v>
      </c>
      <c r="G33" s="932">
        <v>10.6</v>
      </c>
      <c r="H33" s="929" t="s">
        <v>2413</v>
      </c>
    </row>
    <row r="34" spans="1:8">
      <c r="A34" s="931" t="s">
        <v>1064</v>
      </c>
      <c r="B34" s="1872" t="s">
        <v>2414</v>
      </c>
      <c r="C34" s="1872"/>
      <c r="D34" s="1872"/>
      <c r="E34" s="1872"/>
      <c r="F34" s="1872"/>
      <c r="G34" s="1872"/>
      <c r="H34" s="1872"/>
    </row>
    <row r="35" spans="1:8" ht="22.8">
      <c r="A35" s="929" t="s">
        <v>2415</v>
      </c>
      <c r="B35" s="929" t="s">
        <v>2348</v>
      </c>
      <c r="C35" s="929" t="s">
        <v>2381</v>
      </c>
      <c r="D35" s="929" t="s">
        <v>2394</v>
      </c>
      <c r="E35" s="932">
        <v>89.22</v>
      </c>
      <c r="F35" s="932">
        <v>90</v>
      </c>
      <c r="G35" s="932">
        <v>92</v>
      </c>
      <c r="H35" s="932" t="s">
        <v>2388</v>
      </c>
    </row>
    <row r="36" spans="1:8" ht="60" customHeight="1">
      <c r="A36" s="929" t="s">
        <v>2416</v>
      </c>
      <c r="B36" s="929" t="s">
        <v>2349</v>
      </c>
      <c r="C36" s="929" t="s">
        <v>2381</v>
      </c>
      <c r="D36" s="929">
        <v>9.0500000000000007</v>
      </c>
      <c r="E36" s="929">
        <v>10</v>
      </c>
      <c r="F36" s="929">
        <v>10</v>
      </c>
      <c r="G36" s="929">
        <v>10</v>
      </c>
      <c r="H36" s="929" t="s">
        <v>2388</v>
      </c>
    </row>
    <row r="37" spans="1:8" ht="22.8">
      <c r="A37" s="929" t="s">
        <v>2417</v>
      </c>
      <c r="B37" s="929" t="s">
        <v>3443</v>
      </c>
      <c r="C37" s="929" t="s">
        <v>2381</v>
      </c>
      <c r="D37" s="929">
        <v>0</v>
      </c>
      <c r="E37" s="929">
        <v>0.5</v>
      </c>
      <c r="F37" s="929">
        <v>0.5</v>
      </c>
      <c r="G37" s="929">
        <v>0.5</v>
      </c>
      <c r="H37" s="929" t="s">
        <v>2388</v>
      </c>
    </row>
    <row r="38" spans="1:8">
      <c r="A38" s="931" t="s">
        <v>1065</v>
      </c>
      <c r="B38" s="1871" t="s">
        <v>2418</v>
      </c>
      <c r="C38" s="1871"/>
      <c r="D38" s="1871"/>
      <c r="E38" s="1871"/>
      <c r="F38" s="1871"/>
      <c r="G38" s="1871"/>
      <c r="H38" s="1871"/>
    </row>
    <row r="39" spans="1:8" ht="12.75" customHeight="1">
      <c r="A39" s="1873" t="s">
        <v>2419</v>
      </c>
      <c r="B39" s="1874" t="s">
        <v>2448</v>
      </c>
      <c r="C39" s="1873" t="s">
        <v>2381</v>
      </c>
      <c r="D39" s="1873" t="s">
        <v>2394</v>
      </c>
      <c r="E39" s="1876">
        <v>0.67</v>
      </c>
      <c r="F39" s="1876">
        <v>0.7</v>
      </c>
      <c r="G39" s="1876">
        <v>0.7</v>
      </c>
      <c r="H39" s="1873" t="s">
        <v>2388</v>
      </c>
    </row>
    <row r="40" spans="1:8" ht="30" customHeight="1">
      <c r="A40" s="1873"/>
      <c r="B40" s="1875"/>
      <c r="C40" s="1873"/>
      <c r="D40" s="1873"/>
      <c r="E40" s="1877"/>
      <c r="F40" s="1877"/>
      <c r="G40" s="1877"/>
      <c r="H40" s="1873"/>
    </row>
    <row r="41" spans="1:8" ht="12.75" customHeight="1">
      <c r="A41" s="1873" t="s">
        <v>2420</v>
      </c>
      <c r="B41" s="1874" t="s">
        <v>3437</v>
      </c>
      <c r="C41" s="1873" t="s">
        <v>2381</v>
      </c>
      <c r="D41" s="1873" t="s">
        <v>3438</v>
      </c>
      <c r="E41" s="1874" t="s">
        <v>3439</v>
      </c>
      <c r="F41" s="1874">
        <v>3.5</v>
      </c>
      <c r="G41" s="1874">
        <v>3.5</v>
      </c>
      <c r="H41" s="1873" t="s">
        <v>2388</v>
      </c>
    </row>
    <row r="42" spans="1:8" ht="27.75" customHeight="1">
      <c r="A42" s="1873"/>
      <c r="B42" s="1875"/>
      <c r="C42" s="1873"/>
      <c r="D42" s="1873"/>
      <c r="E42" s="1875"/>
      <c r="F42" s="1875"/>
      <c r="G42" s="1875"/>
      <c r="H42" s="1873"/>
    </row>
    <row r="43" spans="1:8" ht="22.2" customHeight="1">
      <c r="A43" s="1873" t="s">
        <v>2421</v>
      </c>
      <c r="B43" s="1878" t="s">
        <v>3895</v>
      </c>
      <c r="C43" s="1873" t="s">
        <v>2381</v>
      </c>
      <c r="D43" s="1873">
        <v>100</v>
      </c>
      <c r="E43" s="1874">
        <v>100</v>
      </c>
      <c r="F43" s="1874">
        <v>100</v>
      </c>
      <c r="G43" s="1874">
        <v>100</v>
      </c>
      <c r="H43" s="1874" t="s">
        <v>3444</v>
      </c>
    </row>
    <row r="44" spans="1:8" ht="28.5" customHeight="1">
      <c r="A44" s="1873"/>
      <c r="B44" s="1878"/>
      <c r="C44" s="1873"/>
      <c r="D44" s="1873"/>
      <c r="E44" s="1875"/>
      <c r="F44" s="1875"/>
      <c r="G44" s="1875"/>
      <c r="H44" s="1875"/>
    </row>
    <row r="45" spans="1:8" ht="34.200000000000003">
      <c r="A45" s="929" t="s">
        <v>2423</v>
      </c>
      <c r="B45" s="929" t="s">
        <v>2424</v>
      </c>
      <c r="C45" s="929" t="s">
        <v>2381</v>
      </c>
      <c r="D45" s="929" t="s">
        <v>3440</v>
      </c>
      <c r="E45" s="929">
        <v>100</v>
      </c>
      <c r="F45" s="929">
        <v>100</v>
      </c>
      <c r="G45" s="929">
        <v>100</v>
      </c>
      <c r="H45" s="929" t="s">
        <v>2388</v>
      </c>
    </row>
    <row r="46" spans="1:8" ht="34.200000000000003">
      <c r="A46" s="929" t="s">
        <v>2425</v>
      </c>
      <c r="B46" s="929" t="s">
        <v>2426</v>
      </c>
      <c r="C46" s="929" t="s">
        <v>2381</v>
      </c>
      <c r="D46" s="929">
        <v>100</v>
      </c>
      <c r="E46" s="929">
        <v>100</v>
      </c>
      <c r="F46" s="929">
        <v>100</v>
      </c>
      <c r="G46" s="929">
        <v>100</v>
      </c>
      <c r="H46" s="929" t="s">
        <v>2388</v>
      </c>
    </row>
    <row r="47" spans="1:8" ht="28.5" customHeight="1">
      <c r="A47" s="931" t="s">
        <v>1066</v>
      </c>
      <c r="B47" s="1871" t="s">
        <v>2427</v>
      </c>
      <c r="C47" s="1871"/>
      <c r="D47" s="1871"/>
      <c r="E47" s="1871"/>
      <c r="F47" s="1871"/>
      <c r="G47" s="1871"/>
      <c r="H47" s="1871"/>
    </row>
    <row r="48" spans="1:8" ht="22.8">
      <c r="A48" s="929" t="s">
        <v>2428</v>
      </c>
      <c r="B48" s="929" t="s">
        <v>2429</v>
      </c>
      <c r="C48" s="929" t="s">
        <v>2370</v>
      </c>
      <c r="D48" s="929">
        <v>73.53</v>
      </c>
      <c r="E48" s="929">
        <v>74</v>
      </c>
      <c r="F48" s="929">
        <v>75</v>
      </c>
      <c r="G48" s="929">
        <v>75</v>
      </c>
      <c r="H48" s="929" t="s">
        <v>2430</v>
      </c>
    </row>
    <row r="49" spans="1:8" ht="34.200000000000003">
      <c r="A49" s="929" t="s">
        <v>2431</v>
      </c>
      <c r="B49" s="929" t="s">
        <v>2432</v>
      </c>
      <c r="C49" s="929" t="s">
        <v>2370</v>
      </c>
      <c r="D49" s="932">
        <v>63.6</v>
      </c>
      <c r="E49" s="932">
        <v>65</v>
      </c>
      <c r="F49" s="932">
        <v>67</v>
      </c>
      <c r="G49" s="932">
        <v>68</v>
      </c>
      <c r="H49" s="929" t="s">
        <v>2422</v>
      </c>
    </row>
    <row r="50" spans="1:8" ht="34.200000000000003">
      <c r="A50" s="929" t="s">
        <v>2433</v>
      </c>
      <c r="B50" s="929" t="s">
        <v>2434</v>
      </c>
      <c r="C50" s="929" t="s">
        <v>2370</v>
      </c>
      <c r="D50" s="929">
        <v>690</v>
      </c>
      <c r="E50" s="929">
        <v>700</v>
      </c>
      <c r="F50" s="929">
        <v>705</v>
      </c>
      <c r="G50" s="929">
        <v>710</v>
      </c>
      <c r="H50" s="929" t="s">
        <v>2435</v>
      </c>
    </row>
    <row r="51" spans="1:8" ht="30" customHeight="1">
      <c r="A51" s="929" t="s">
        <v>2436</v>
      </c>
      <c r="B51" s="929" t="s">
        <v>2437</v>
      </c>
      <c r="C51" s="929" t="s">
        <v>2370</v>
      </c>
      <c r="D51" s="929">
        <v>26</v>
      </c>
      <c r="E51" s="929">
        <v>27</v>
      </c>
      <c r="F51" s="929">
        <v>28</v>
      </c>
      <c r="G51" s="929">
        <v>29</v>
      </c>
      <c r="H51" s="1873" t="s">
        <v>2438</v>
      </c>
    </row>
    <row r="52" spans="1:8" ht="22.8">
      <c r="A52" s="929" t="s">
        <v>2439</v>
      </c>
      <c r="B52" s="929" t="s">
        <v>2440</v>
      </c>
      <c r="C52" s="929" t="s">
        <v>2370</v>
      </c>
      <c r="D52" s="929">
        <v>522</v>
      </c>
      <c r="E52" s="929">
        <v>530</v>
      </c>
      <c r="F52" s="929">
        <v>535</v>
      </c>
      <c r="G52" s="929">
        <v>540</v>
      </c>
      <c r="H52" s="1873"/>
    </row>
    <row r="53" spans="1:8">
      <c r="A53" s="931" t="s">
        <v>1067</v>
      </c>
      <c r="B53" s="1871" t="s">
        <v>2441</v>
      </c>
      <c r="C53" s="1871"/>
      <c r="D53" s="1871"/>
      <c r="E53" s="931"/>
      <c r="F53" s="931"/>
      <c r="G53" s="931"/>
      <c r="H53" s="931"/>
    </row>
    <row r="54" spans="1:8" ht="45.6">
      <c r="A54" s="929" t="s">
        <v>2442</v>
      </c>
      <c r="B54" s="929" t="s">
        <v>2443</v>
      </c>
      <c r="C54" s="929" t="s">
        <v>2381</v>
      </c>
      <c r="D54" s="929" t="s">
        <v>2394</v>
      </c>
      <c r="E54" s="932">
        <v>75</v>
      </c>
      <c r="F54" s="932">
        <v>75</v>
      </c>
      <c r="G54" s="932">
        <v>77</v>
      </c>
      <c r="H54" s="929" t="s">
        <v>2444</v>
      </c>
    </row>
    <row r="55" spans="1:8" ht="22.8">
      <c r="A55" s="929" t="s">
        <v>2445</v>
      </c>
      <c r="B55" s="929" t="s">
        <v>2446</v>
      </c>
      <c r="C55" s="929" t="s">
        <v>2381</v>
      </c>
      <c r="D55" s="929" t="s">
        <v>2394</v>
      </c>
      <c r="E55" s="932">
        <v>93.6</v>
      </c>
      <c r="F55" s="932">
        <v>94</v>
      </c>
      <c r="G55" s="932">
        <v>95</v>
      </c>
      <c r="H55" s="929" t="s">
        <v>2447</v>
      </c>
    </row>
  </sheetData>
  <sheetProtection algorithmName="SHA-512" hashValue="RrtinWy+B5yS8wg4KxP+514E4+UmmVZUbWbp3SGXkM6mkZC2FOb0F40xQcTHGybRScfpodrP3cvHHbFfX+aN6w==" saltValue="b26XwVIp4VMYFHFa0axQEQ==" spinCount="100000" sheet="1" objects="1" scenarios="1"/>
  <mergeCells count="37">
    <mergeCell ref="C28:C31"/>
    <mergeCell ref="H28:H31"/>
    <mergeCell ref="B34:H34"/>
    <mergeCell ref="B38:H38"/>
    <mergeCell ref="H43:H44"/>
    <mergeCell ref="B41:B42"/>
    <mergeCell ref="E41:E42"/>
    <mergeCell ref="F41:F42"/>
    <mergeCell ref="G41:G42"/>
    <mergeCell ref="E43:E44"/>
    <mergeCell ref="F43:F44"/>
    <mergeCell ref="G43:G44"/>
    <mergeCell ref="B47:H47"/>
    <mergeCell ref="H51:H52"/>
    <mergeCell ref="B53:D53"/>
    <mergeCell ref="A41:A42"/>
    <mergeCell ref="C41:C42"/>
    <mergeCell ref="D41:D42"/>
    <mergeCell ref="H41:H42"/>
    <mergeCell ref="A43:A44"/>
    <mergeCell ref="B43:B44"/>
    <mergeCell ref="C43:C44"/>
    <mergeCell ref="D43:D44"/>
    <mergeCell ref="A39:A40"/>
    <mergeCell ref="C39:C40"/>
    <mergeCell ref="D39:D40"/>
    <mergeCell ref="H39:H40"/>
    <mergeCell ref="B39:B40"/>
    <mergeCell ref="E39:E40"/>
    <mergeCell ref="F39:F40"/>
    <mergeCell ref="G39:G40"/>
    <mergeCell ref="A2:H2"/>
    <mergeCell ref="B7:H7"/>
    <mergeCell ref="B12:H12"/>
    <mergeCell ref="B23:H23"/>
    <mergeCell ref="C24:C27"/>
    <mergeCell ref="H24:H27"/>
  </mergeCells>
  <pageMargins left="0.7" right="0.7" top="0.75" bottom="0.75" header="0.3" footer="0.3"/>
  <pageSetup paperSize="9" scale="61"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92783-4965-400D-A2EF-4B6BFF04E7DD}">
  <sheetPr>
    <pageSetUpPr fitToPage="1"/>
  </sheetPr>
  <dimension ref="A1:S1083"/>
  <sheetViews>
    <sheetView zoomScale="80" zoomScaleNormal="80" workbookViewId="0">
      <pane xSplit="9" ySplit="11" topLeftCell="J12" activePane="bottomRight" state="frozen"/>
      <selection pane="topRight" activeCell="N1" sqref="N1"/>
      <selection pane="bottomLeft" activeCell="A9" sqref="A9"/>
      <selection pane="bottomRight" activeCell="Y26" sqref="Y26"/>
    </sheetView>
  </sheetViews>
  <sheetFormatPr defaultColWidth="9.109375" defaultRowHeight="9.6"/>
  <cols>
    <col min="1" max="1" width="15.33203125" style="387" customWidth="1"/>
    <col min="2" max="2" width="31.88671875" style="387" customWidth="1"/>
    <col min="3" max="3" width="4.33203125" style="387" customWidth="1"/>
    <col min="4" max="4" width="5.5546875" style="387" customWidth="1"/>
    <col min="5" max="6" width="10.6640625" style="404" hidden="1" customWidth="1"/>
    <col min="7" max="7" width="10.6640625" style="387" hidden="1" customWidth="1"/>
    <col min="8" max="8" width="14.6640625" style="387" customWidth="1"/>
    <col min="9" max="9" width="16" style="387" customWidth="1"/>
    <col min="10" max="10" width="14.5546875" style="387" customWidth="1"/>
    <col min="11" max="11" width="10.6640625" style="387" customWidth="1"/>
    <col min="12" max="12" width="61" style="387" customWidth="1"/>
    <col min="13" max="13" width="10.6640625" style="387" customWidth="1"/>
    <col min="14" max="14" width="30.5546875" style="387" customWidth="1"/>
    <col min="15" max="17" width="6.33203125" style="441" customWidth="1"/>
    <col min="18" max="18" width="29.44140625" style="387" customWidth="1"/>
    <col min="19" max="19" width="25.88671875" style="387" hidden="1" customWidth="1"/>
    <col min="20" max="20" width="9.109375" style="387"/>
    <col min="21" max="22" width="8.88671875" style="387" customWidth="1"/>
    <col min="23" max="16384" width="9.109375" style="387"/>
  </cols>
  <sheetData>
    <row r="1" spans="1:18" ht="18" customHeight="1">
      <c r="A1" s="1935" t="s">
        <v>2830</v>
      </c>
      <c r="B1" s="1935"/>
      <c r="C1" s="1935"/>
      <c r="D1" s="1935"/>
      <c r="E1" s="1935"/>
      <c r="F1" s="1935"/>
      <c r="G1" s="1935"/>
      <c r="H1" s="1935"/>
      <c r="I1" s="1935"/>
      <c r="J1" s="1935"/>
      <c r="K1" s="382"/>
      <c r="L1" s="382"/>
      <c r="O1" s="1934"/>
      <c r="P1" s="1934"/>
      <c r="Q1" s="1934"/>
      <c r="R1" s="1934"/>
    </row>
    <row r="2" spans="1:18" ht="50.4" customHeight="1">
      <c r="A2" s="1936" t="s">
        <v>3680</v>
      </c>
      <c r="B2" s="1936"/>
      <c r="C2" s="1936"/>
      <c r="D2" s="1936"/>
      <c r="E2" s="1936"/>
      <c r="F2" s="1936"/>
      <c r="G2" s="1936"/>
      <c r="H2" s="1936"/>
      <c r="I2" s="1936"/>
      <c r="J2" s="1936"/>
      <c r="K2" s="1936"/>
      <c r="L2" s="1936"/>
      <c r="M2" s="1936"/>
      <c r="N2" s="1936"/>
      <c r="O2" s="1936"/>
      <c r="P2" s="1936"/>
      <c r="Q2" s="1936"/>
      <c r="R2" s="1936"/>
    </row>
    <row r="3" spans="1:18" ht="12.6" customHeight="1">
      <c r="A3" s="443"/>
      <c r="B3" s="443"/>
      <c r="C3" s="443"/>
      <c r="D3" s="443"/>
      <c r="E3" s="443"/>
      <c r="F3" s="443"/>
      <c r="G3" s="401"/>
      <c r="H3" s="401"/>
      <c r="I3" s="382"/>
      <c r="J3" s="382"/>
      <c r="K3" s="382"/>
      <c r="L3" s="382"/>
      <c r="O3" s="940"/>
      <c r="P3" s="940"/>
      <c r="Q3" s="940"/>
      <c r="R3" s="401"/>
    </row>
    <row r="4" spans="1:18" s="390" customFormat="1" ht="12.6" customHeight="1">
      <c r="A4" s="935" t="str">
        <f>A12</f>
        <v>03.01.01. (T)</v>
      </c>
      <c r="B4" s="1880" t="str">
        <f>B12</f>
        <v>Užtikrinti efektyvią  įstaigų, veikiančių sporto srityje, veiklą</v>
      </c>
      <c r="C4" s="1880"/>
      <c r="D4" s="1880"/>
      <c r="E4" s="1880"/>
      <c r="F4" s="1880"/>
      <c r="G4" s="389"/>
      <c r="H4" s="389"/>
      <c r="I4" s="936"/>
      <c r="J4" s="936"/>
      <c r="K4" s="936"/>
      <c r="L4" s="936"/>
      <c r="O4" s="939"/>
      <c r="P4" s="939"/>
      <c r="Q4" s="939"/>
      <c r="R4" s="389"/>
    </row>
    <row r="5" spans="1:18" s="390" customFormat="1" ht="12" customHeight="1">
      <c r="A5" s="937" t="str">
        <f>A22</f>
        <v>03.01.02. (T)</v>
      </c>
      <c r="B5" s="1933" t="str">
        <f>B22</f>
        <v>Plėtoti ir tobulinti sporto varžybas ir sporto sveikatingumo renginius siekiant įtraukti vaikus, jaunimą ir kitas gyventojų grupes į sportinę veiklą, rengti sporto specialistus</v>
      </c>
      <c r="C5" s="1933"/>
      <c r="D5" s="1933"/>
      <c r="E5" s="1933"/>
      <c r="F5" s="1933"/>
      <c r="G5" s="1933"/>
      <c r="H5" s="1933"/>
      <c r="I5" s="1933"/>
      <c r="J5" s="1933"/>
      <c r="K5" s="938"/>
      <c r="L5" s="936"/>
      <c r="O5" s="939"/>
      <c r="P5" s="939"/>
      <c r="Q5" s="939"/>
      <c r="R5" s="389"/>
    </row>
    <row r="6" spans="1:18" ht="7.2" customHeight="1">
      <c r="A6" s="444"/>
      <c r="B6" s="445"/>
      <c r="C6" s="445"/>
      <c r="D6" s="445"/>
      <c r="E6" s="445"/>
      <c r="F6" s="445"/>
      <c r="G6" s="445"/>
      <c r="H6" s="445"/>
      <c r="I6" s="445"/>
      <c r="J6" s="445"/>
      <c r="K6" s="403"/>
      <c r="L6" s="382"/>
      <c r="O6" s="940"/>
      <c r="P6" s="940"/>
      <c r="Q6" s="940"/>
      <c r="R6" s="401"/>
    </row>
    <row r="7" spans="1:18" s="390" customFormat="1" ht="15" customHeight="1">
      <c r="A7" s="1880" t="s">
        <v>1463</v>
      </c>
      <c r="B7" s="1880"/>
      <c r="C7" s="1880"/>
      <c r="D7" s="1880"/>
      <c r="E7" s="1880"/>
      <c r="F7" s="389"/>
      <c r="G7" s="389"/>
      <c r="H7" s="389"/>
      <c r="I7" s="936"/>
      <c r="J7" s="936"/>
      <c r="K7" s="936"/>
      <c r="L7" s="936"/>
      <c r="O7" s="939"/>
      <c r="P7" s="939"/>
      <c r="Q7" s="939"/>
      <c r="R7" s="389"/>
    </row>
    <row r="8" spans="1:18" s="390" customFormat="1" ht="26.4" customHeight="1">
      <c r="A8" s="1880" t="s">
        <v>3862</v>
      </c>
      <c r="B8" s="1880"/>
      <c r="C8" s="1880"/>
      <c r="D8" s="1880"/>
      <c r="E8" s="1880"/>
      <c r="F8" s="1880"/>
      <c r="G8" s="1880"/>
      <c r="H8" s="1880"/>
      <c r="I8" s="1880"/>
      <c r="J8" s="1880"/>
      <c r="K8" s="1880"/>
      <c r="L8" s="1880"/>
      <c r="O8" s="939"/>
      <c r="P8" s="939"/>
      <c r="Q8" s="939"/>
      <c r="R8" s="389"/>
    </row>
    <row r="9" spans="1:18" ht="13.8" customHeight="1">
      <c r="A9" s="1880" t="s">
        <v>3870</v>
      </c>
      <c r="B9" s="1880"/>
      <c r="C9" s="1880"/>
      <c r="D9" s="1880"/>
      <c r="E9" s="1880"/>
      <c r="F9" s="1880"/>
      <c r="G9" s="1880"/>
      <c r="H9" s="1880"/>
      <c r="I9" s="1880"/>
      <c r="J9" s="1880"/>
      <c r="K9" s="1880"/>
      <c r="L9" s="1880"/>
      <c r="M9" s="1880"/>
      <c r="N9" s="1880"/>
      <c r="O9" s="1880"/>
      <c r="P9" s="1880"/>
      <c r="Q9" s="1880"/>
      <c r="R9" s="1880"/>
    </row>
    <row r="10" spans="1:18" s="1553" customFormat="1" ht="65.400000000000006" customHeight="1">
      <c r="A10" s="1722" t="s">
        <v>999</v>
      </c>
      <c r="B10" s="1722" t="s">
        <v>2550</v>
      </c>
      <c r="C10" s="1927" t="s">
        <v>1368</v>
      </c>
      <c r="D10" s="1929" t="s">
        <v>1369</v>
      </c>
      <c r="E10" s="1931" t="s">
        <v>1388</v>
      </c>
      <c r="F10" s="1732" t="s">
        <v>1499</v>
      </c>
      <c r="G10" s="1732" t="s">
        <v>3168</v>
      </c>
      <c r="H10" s="1722" t="s">
        <v>2568</v>
      </c>
      <c r="I10" s="1722" t="s">
        <v>2567</v>
      </c>
      <c r="J10" s="1722" t="s">
        <v>2634</v>
      </c>
      <c r="K10" s="1722" t="s">
        <v>2596</v>
      </c>
      <c r="L10" s="1722" t="s">
        <v>3908</v>
      </c>
      <c r="M10" s="1724" t="s">
        <v>1000</v>
      </c>
      <c r="N10" s="1724" t="s">
        <v>1390</v>
      </c>
      <c r="O10" s="1750" t="s">
        <v>1001</v>
      </c>
      <c r="P10" s="1751"/>
      <c r="Q10" s="1752"/>
      <c r="R10" s="1724" t="s">
        <v>1002</v>
      </c>
    </row>
    <row r="11" spans="1:18" s="1553" customFormat="1" ht="41.4" customHeight="1">
      <c r="A11" s="1723"/>
      <c r="B11" s="1723"/>
      <c r="C11" s="1928"/>
      <c r="D11" s="1930"/>
      <c r="E11" s="1932"/>
      <c r="F11" s="1733"/>
      <c r="G11" s="1733"/>
      <c r="H11" s="1723"/>
      <c r="I11" s="1723"/>
      <c r="J11" s="1723"/>
      <c r="K11" s="1723"/>
      <c r="L11" s="1723"/>
      <c r="M11" s="1725"/>
      <c r="N11" s="1725"/>
      <c r="O11" s="942">
        <v>2024</v>
      </c>
      <c r="P11" s="942">
        <v>2025</v>
      </c>
      <c r="Q11" s="942">
        <v>2026</v>
      </c>
      <c r="R11" s="1725"/>
    </row>
    <row r="12" spans="1:18" ht="37.950000000000003" customHeight="1">
      <c r="A12" s="762" t="s">
        <v>2603</v>
      </c>
      <c r="B12" s="984" t="s">
        <v>1500</v>
      </c>
      <c r="C12" s="985"/>
      <c r="D12" s="985"/>
      <c r="E12" s="986">
        <f>SUM(E15)</f>
        <v>1102.03</v>
      </c>
      <c r="F12" s="987">
        <f>H12/E12-1</f>
        <v>3.6868324818743581E-2</v>
      </c>
      <c r="G12" s="986">
        <f t="shared" ref="G12:J12" si="0">SUM(G15)</f>
        <v>0</v>
      </c>
      <c r="H12" s="986">
        <f t="shared" ref="H12" si="1">SUM(H15)</f>
        <v>1142.6599999999999</v>
      </c>
      <c r="I12" s="986">
        <f t="shared" si="0"/>
        <v>1142.6599999999999</v>
      </c>
      <c r="J12" s="986">
        <f t="shared" si="0"/>
        <v>1142.6599999999999</v>
      </c>
      <c r="K12" s="762" t="s">
        <v>1166</v>
      </c>
      <c r="L12" s="762"/>
      <c r="M12" s="988" t="s">
        <v>1701</v>
      </c>
      <c r="N12" s="988" t="s">
        <v>1168</v>
      </c>
      <c r="O12" s="1140" t="s">
        <v>1696</v>
      </c>
      <c r="P12" s="1140" t="s">
        <v>1697</v>
      </c>
      <c r="Q12" s="1140" t="s">
        <v>1698</v>
      </c>
      <c r="R12" s="759" t="s">
        <v>1168</v>
      </c>
    </row>
    <row r="13" spans="1:18" ht="20.100000000000001" customHeight="1">
      <c r="A13" s="1913" t="s">
        <v>2604</v>
      </c>
      <c r="B13" s="1923" t="s">
        <v>1501</v>
      </c>
      <c r="C13" s="1917" t="s">
        <v>1525</v>
      </c>
      <c r="D13" s="943" t="s">
        <v>668</v>
      </c>
      <c r="E13" s="745">
        <v>1077.3499999999999</v>
      </c>
      <c r="F13" s="944">
        <f>H13/E13-1</f>
        <v>3.800993177704548E-2</v>
      </c>
      <c r="G13" s="745">
        <f>SUM(G16,G17,G19,G20,G21,)</f>
        <v>0</v>
      </c>
      <c r="H13" s="745">
        <f t="shared" ref="H13:J13" si="2">SUM(H16,H17,H19,H20,H21,)</f>
        <v>1118.3</v>
      </c>
      <c r="I13" s="745">
        <v>1118.3</v>
      </c>
      <c r="J13" s="745">
        <v>1118.3</v>
      </c>
      <c r="K13" s="1654" t="s">
        <v>2878</v>
      </c>
      <c r="L13" s="1919" t="s">
        <v>1692</v>
      </c>
      <c r="M13" s="1889" t="s">
        <v>1702</v>
      </c>
      <c r="N13" s="1889" t="s">
        <v>1690</v>
      </c>
      <c r="O13" s="1891" t="s">
        <v>1691</v>
      </c>
      <c r="P13" s="1891" t="s">
        <v>1691</v>
      </c>
      <c r="Q13" s="1891" t="s">
        <v>1691</v>
      </c>
      <c r="R13" s="1679" t="s">
        <v>2879</v>
      </c>
    </row>
    <row r="14" spans="1:18" ht="20.100000000000001" customHeight="1">
      <c r="A14" s="1922"/>
      <c r="B14" s="1924"/>
      <c r="C14" s="1918"/>
      <c r="D14" s="945" t="s">
        <v>1424</v>
      </c>
      <c r="E14" s="749">
        <v>24.68</v>
      </c>
      <c r="F14" s="946">
        <f>H14/E14-1</f>
        <v>-1.2965964343598091E-2</v>
      </c>
      <c r="G14" s="947"/>
      <c r="H14" s="947">
        <v>24.36</v>
      </c>
      <c r="I14" s="947">
        <v>24.36</v>
      </c>
      <c r="J14" s="947">
        <v>24.36</v>
      </c>
      <c r="K14" s="1886"/>
      <c r="L14" s="1920"/>
      <c r="M14" s="1921"/>
      <c r="N14" s="1921"/>
      <c r="O14" s="1916"/>
      <c r="P14" s="1916"/>
      <c r="Q14" s="1916"/>
      <c r="R14" s="1866"/>
    </row>
    <row r="15" spans="1:18" ht="20.100000000000001" customHeight="1">
      <c r="A15" s="1922"/>
      <c r="B15" s="1924"/>
      <c r="C15" s="1918"/>
      <c r="D15" s="948" t="s">
        <v>1372</v>
      </c>
      <c r="E15" s="949">
        <f>SUM(E13:E14)</f>
        <v>1102.03</v>
      </c>
      <c r="F15" s="950">
        <f t="shared" ref="F15:J15" si="3">SUM(F13:F14)</f>
        <v>2.5043967433447389E-2</v>
      </c>
      <c r="G15" s="949">
        <f t="shared" si="3"/>
        <v>0</v>
      </c>
      <c r="H15" s="949">
        <f t="shared" ref="H15" si="4">SUM(H13:H14)</f>
        <v>1142.6599999999999</v>
      </c>
      <c r="I15" s="949">
        <f t="shared" si="3"/>
        <v>1142.6599999999999</v>
      </c>
      <c r="J15" s="949">
        <f t="shared" si="3"/>
        <v>1142.6599999999999</v>
      </c>
      <c r="K15" s="1886"/>
      <c r="L15" s="1920"/>
      <c r="M15" s="1921"/>
      <c r="N15" s="1921"/>
      <c r="O15" s="1916"/>
      <c r="P15" s="1916"/>
      <c r="Q15" s="1916"/>
      <c r="R15" s="1866"/>
    </row>
    <row r="16" spans="1:18" ht="20.100000000000001" hidden="1" customHeight="1">
      <c r="A16" s="989"/>
      <c r="B16" s="990" t="s">
        <v>715</v>
      </c>
      <c r="C16" s="991"/>
      <c r="D16" s="992"/>
      <c r="E16" s="993"/>
      <c r="F16" s="993"/>
      <c r="G16" s="993"/>
      <c r="H16" s="994">
        <v>15.49</v>
      </c>
      <c r="I16" s="993"/>
      <c r="J16" s="993"/>
      <c r="K16" s="995"/>
      <c r="L16" s="996"/>
      <c r="M16" s="990"/>
      <c r="N16" s="990"/>
      <c r="O16" s="1401"/>
      <c r="P16" s="1401"/>
      <c r="Q16" s="1401"/>
      <c r="R16" s="997"/>
    </row>
    <row r="17" spans="1:19" ht="20.100000000000001" hidden="1" customHeight="1">
      <c r="A17" s="989"/>
      <c r="B17" s="1881" t="s">
        <v>3514</v>
      </c>
      <c r="C17" s="991"/>
      <c r="D17" s="992" t="s">
        <v>668</v>
      </c>
      <c r="E17" s="993"/>
      <c r="F17" s="993"/>
      <c r="G17" s="993"/>
      <c r="H17" s="994">
        <v>622.29999999999995</v>
      </c>
      <c r="I17" s="993"/>
      <c r="J17" s="993"/>
      <c r="K17" s="995"/>
      <c r="L17" s="996"/>
      <c r="M17" s="990"/>
      <c r="N17" s="990"/>
      <c r="O17" s="1401"/>
      <c r="P17" s="1401"/>
      <c r="Q17" s="1401"/>
      <c r="R17" s="997"/>
    </row>
    <row r="18" spans="1:19" ht="20.100000000000001" hidden="1" customHeight="1">
      <c r="A18" s="989"/>
      <c r="B18" s="1882"/>
      <c r="C18" s="991"/>
      <c r="D18" s="992" t="s">
        <v>2341</v>
      </c>
      <c r="E18" s="993"/>
      <c r="F18" s="993"/>
      <c r="G18" s="993"/>
      <c r="H18" s="994">
        <f>H14</f>
        <v>24.36</v>
      </c>
      <c r="I18" s="993"/>
      <c r="J18" s="993"/>
      <c r="K18" s="995"/>
      <c r="L18" s="996"/>
      <c r="M18" s="990"/>
      <c r="N18" s="990"/>
      <c r="O18" s="1401"/>
      <c r="P18" s="1401"/>
      <c r="Q18" s="1401"/>
      <c r="R18" s="997"/>
    </row>
    <row r="19" spans="1:19" ht="20.100000000000001" hidden="1" customHeight="1">
      <c r="A19" s="989"/>
      <c r="B19" s="990" t="s">
        <v>3515</v>
      </c>
      <c r="C19" s="991"/>
      <c r="D19" s="992"/>
      <c r="E19" s="993"/>
      <c r="F19" s="993"/>
      <c r="G19" s="993"/>
      <c r="H19" s="994">
        <v>251.62</v>
      </c>
      <c r="I19" s="993"/>
      <c r="J19" s="993"/>
      <c r="K19" s="995"/>
      <c r="L19" s="996"/>
      <c r="M19" s="990"/>
      <c r="N19" s="990"/>
      <c r="O19" s="1401"/>
      <c r="P19" s="1401"/>
      <c r="Q19" s="1401"/>
      <c r="R19" s="997"/>
    </row>
    <row r="20" spans="1:19" ht="20.100000000000001" hidden="1" customHeight="1">
      <c r="A20" s="989"/>
      <c r="B20" s="990" t="s">
        <v>3516</v>
      </c>
      <c r="C20" s="991"/>
      <c r="D20" s="992"/>
      <c r="E20" s="993"/>
      <c r="F20" s="993"/>
      <c r="G20" s="993"/>
      <c r="H20" s="994">
        <v>141.85</v>
      </c>
      <c r="I20" s="993"/>
      <c r="J20" s="993"/>
      <c r="K20" s="995"/>
      <c r="L20" s="996"/>
      <c r="M20" s="990"/>
      <c r="N20" s="990"/>
      <c r="O20" s="1401"/>
      <c r="P20" s="1401"/>
      <c r="Q20" s="1401"/>
      <c r="R20" s="997"/>
    </row>
    <row r="21" spans="1:19" ht="13.8" hidden="1" customHeight="1">
      <c r="A21" s="989"/>
      <c r="B21" s="990" t="s">
        <v>3517</v>
      </c>
      <c r="C21" s="991"/>
      <c r="D21" s="992"/>
      <c r="E21" s="993"/>
      <c r="F21" s="993"/>
      <c r="G21" s="993"/>
      <c r="H21" s="994">
        <v>87.04</v>
      </c>
      <c r="I21" s="993"/>
      <c r="J21" s="993"/>
      <c r="K21" s="995"/>
      <c r="L21" s="996"/>
      <c r="M21" s="990"/>
      <c r="N21" s="990"/>
      <c r="O21" s="1401"/>
      <c r="P21" s="1401"/>
      <c r="Q21" s="1401"/>
      <c r="R21" s="997"/>
    </row>
    <row r="22" spans="1:19" ht="49.2" customHeight="1">
      <c r="A22" s="951" t="s">
        <v>2605</v>
      </c>
      <c r="B22" s="988" t="s">
        <v>1699</v>
      </c>
      <c r="C22" s="952"/>
      <c r="D22" s="953"/>
      <c r="E22" s="954">
        <f>SUM(E24,E26,E28,E30,E32,E34)</f>
        <v>194.8</v>
      </c>
      <c r="F22" s="955">
        <f>H22/E22-1</f>
        <v>0.72997946611909637</v>
      </c>
      <c r="G22" s="954">
        <f t="shared" ref="G22:J22" si="5">SUM(G24,G26,G28,G30,G32,G34)</f>
        <v>155</v>
      </c>
      <c r="H22" s="954">
        <f t="shared" ref="H22" si="6">SUM(H24,H26,H28,H30,H32,H34)</f>
        <v>337</v>
      </c>
      <c r="I22" s="954">
        <f t="shared" si="5"/>
        <v>115</v>
      </c>
      <c r="J22" s="954">
        <f t="shared" si="5"/>
        <v>115</v>
      </c>
      <c r="K22" s="954" t="s">
        <v>1179</v>
      </c>
      <c r="L22" s="999"/>
      <c r="M22" s="988" t="s">
        <v>1703</v>
      </c>
      <c r="N22" s="988" t="s">
        <v>1181</v>
      </c>
      <c r="O22" s="1140" t="s">
        <v>1693</v>
      </c>
      <c r="P22" s="1140" t="s">
        <v>1694</v>
      </c>
      <c r="Q22" s="1140" t="s">
        <v>205</v>
      </c>
      <c r="R22" s="759" t="s">
        <v>1181</v>
      </c>
    </row>
    <row r="23" spans="1:19" ht="20.100000000000001" customHeight="1">
      <c r="A23" s="1913" t="s">
        <v>2606</v>
      </c>
      <c r="B23" s="1925" t="s">
        <v>1682</v>
      </c>
      <c r="C23" s="1926">
        <v>188711925</v>
      </c>
      <c r="D23" s="956" t="s">
        <v>668</v>
      </c>
      <c r="E23" s="947">
        <v>43.8</v>
      </c>
      <c r="F23" s="957">
        <f>H23/E23-1</f>
        <v>-0.31506849315068486</v>
      </c>
      <c r="G23" s="947">
        <v>45</v>
      </c>
      <c r="H23" s="947">
        <v>30</v>
      </c>
      <c r="I23" s="958">
        <v>45</v>
      </c>
      <c r="J23" s="959">
        <v>45</v>
      </c>
      <c r="K23" s="1887" t="s">
        <v>2888</v>
      </c>
      <c r="L23" s="1902" t="s">
        <v>3763</v>
      </c>
      <c r="M23" s="1889" t="s">
        <v>1704</v>
      </c>
      <c r="N23" s="1889" t="s">
        <v>1695</v>
      </c>
      <c r="O23" s="1891" t="s">
        <v>449</v>
      </c>
      <c r="P23" s="1891" t="s">
        <v>449</v>
      </c>
      <c r="Q23" s="1891" t="s">
        <v>449</v>
      </c>
      <c r="R23" s="1679" t="s">
        <v>2889</v>
      </c>
      <c r="S23" s="387" t="s">
        <v>3518</v>
      </c>
    </row>
    <row r="24" spans="1:19" ht="67.2" customHeight="1">
      <c r="A24" s="1914"/>
      <c r="B24" s="1912"/>
      <c r="C24" s="1906"/>
      <c r="D24" s="961" t="s">
        <v>1372</v>
      </c>
      <c r="E24" s="962">
        <f>E23</f>
        <v>43.8</v>
      </c>
      <c r="F24" s="963">
        <f>H24/E24-1</f>
        <v>-0.31506849315068486</v>
      </c>
      <c r="G24" s="962">
        <f t="shared" ref="G24:J24" si="7">G23</f>
        <v>45</v>
      </c>
      <c r="H24" s="962">
        <f t="shared" ref="H24" si="8">H23</f>
        <v>30</v>
      </c>
      <c r="I24" s="962">
        <f t="shared" si="7"/>
        <v>45</v>
      </c>
      <c r="J24" s="964">
        <f t="shared" si="7"/>
        <v>45</v>
      </c>
      <c r="K24" s="1888"/>
      <c r="L24" s="1903"/>
      <c r="M24" s="1890"/>
      <c r="N24" s="1890"/>
      <c r="O24" s="1892"/>
      <c r="P24" s="1892"/>
      <c r="Q24" s="1892"/>
      <c r="R24" s="1680"/>
    </row>
    <row r="25" spans="1:19" ht="20.100000000000001" customHeight="1">
      <c r="A25" s="1915" t="s">
        <v>2607</v>
      </c>
      <c r="B25" s="1901" t="s">
        <v>1502</v>
      </c>
      <c r="C25" s="1897">
        <v>188711925</v>
      </c>
      <c r="D25" s="956" t="s">
        <v>668</v>
      </c>
      <c r="E25" s="947">
        <v>40</v>
      </c>
      <c r="F25" s="957">
        <f>H25/E25-1</f>
        <v>0.5</v>
      </c>
      <c r="G25" s="947">
        <v>40</v>
      </c>
      <c r="H25" s="947">
        <v>60</v>
      </c>
      <c r="I25" s="958"/>
      <c r="J25" s="959"/>
      <c r="K25" s="1654" t="s">
        <v>2890</v>
      </c>
      <c r="L25" s="1902" t="s">
        <v>1683</v>
      </c>
      <c r="M25" s="1889" t="s">
        <v>1705</v>
      </c>
      <c r="N25" s="1889" t="s">
        <v>482</v>
      </c>
      <c r="O25" s="1891" t="s">
        <v>613</v>
      </c>
      <c r="P25" s="1891" t="s">
        <v>469</v>
      </c>
      <c r="Q25" s="1891" t="s">
        <v>613</v>
      </c>
      <c r="R25" s="1679" t="s">
        <v>2891</v>
      </c>
    </row>
    <row r="26" spans="1:19" ht="51.6" customHeight="1">
      <c r="A26" s="1914"/>
      <c r="B26" s="1912"/>
      <c r="C26" s="1906"/>
      <c r="D26" s="966" t="s">
        <v>1372</v>
      </c>
      <c r="E26" s="949">
        <f>E25</f>
        <v>40</v>
      </c>
      <c r="F26" s="950">
        <f t="shared" ref="F26:J26" si="9">F25</f>
        <v>0.5</v>
      </c>
      <c r="G26" s="949">
        <f t="shared" si="9"/>
        <v>40</v>
      </c>
      <c r="H26" s="949">
        <f t="shared" si="9"/>
        <v>60</v>
      </c>
      <c r="I26" s="949">
        <f t="shared" si="9"/>
        <v>0</v>
      </c>
      <c r="J26" s="949">
        <f t="shared" si="9"/>
        <v>0</v>
      </c>
      <c r="K26" s="1886"/>
      <c r="L26" s="1903"/>
      <c r="M26" s="1890"/>
      <c r="N26" s="1890"/>
      <c r="O26" s="1892"/>
      <c r="P26" s="1892"/>
      <c r="Q26" s="1892"/>
      <c r="R26" s="1866"/>
      <c r="S26" s="534" t="s">
        <v>3519</v>
      </c>
    </row>
    <row r="27" spans="1:19" ht="20.100000000000001" customHeight="1">
      <c r="A27" s="1915" t="s">
        <v>2608</v>
      </c>
      <c r="B27" s="1901" t="s">
        <v>1503</v>
      </c>
      <c r="C27" s="1897">
        <v>188711925</v>
      </c>
      <c r="D27" s="956" t="s">
        <v>668</v>
      </c>
      <c r="E27" s="947">
        <v>12</v>
      </c>
      <c r="F27" s="957">
        <f>H27/E27-1</f>
        <v>17.333333333333332</v>
      </c>
      <c r="G27" s="947">
        <v>30</v>
      </c>
      <c r="H27" s="947">
        <v>220</v>
      </c>
      <c r="I27" s="958">
        <v>30</v>
      </c>
      <c r="J27" s="947">
        <v>30</v>
      </c>
      <c r="K27" s="1886"/>
      <c r="L27" s="1902" t="s">
        <v>3764</v>
      </c>
      <c r="M27" s="1889" t="s">
        <v>1706</v>
      </c>
      <c r="N27" s="1889" t="s">
        <v>1689</v>
      </c>
      <c r="O27" s="1891" t="s">
        <v>1707</v>
      </c>
      <c r="P27" s="1891" t="s">
        <v>1707</v>
      </c>
      <c r="Q27" s="1891" t="s">
        <v>1707</v>
      </c>
      <c r="R27" s="1866"/>
    </row>
    <row r="28" spans="1:19" ht="41.4" customHeight="1">
      <c r="A28" s="1914"/>
      <c r="B28" s="1912"/>
      <c r="C28" s="1906"/>
      <c r="D28" s="966" t="s">
        <v>1372</v>
      </c>
      <c r="E28" s="949">
        <f>E27</f>
        <v>12</v>
      </c>
      <c r="F28" s="950">
        <f>H28/E28-1</f>
        <v>17.333333333333332</v>
      </c>
      <c r="G28" s="949">
        <f t="shared" ref="G28:J28" si="10">G27</f>
        <v>30</v>
      </c>
      <c r="H28" s="949">
        <f t="shared" ref="H28" si="11">H27</f>
        <v>220</v>
      </c>
      <c r="I28" s="949">
        <f t="shared" si="10"/>
        <v>30</v>
      </c>
      <c r="J28" s="962">
        <f t="shared" si="10"/>
        <v>30</v>
      </c>
      <c r="K28" s="1886"/>
      <c r="L28" s="1903"/>
      <c r="M28" s="1890"/>
      <c r="N28" s="1890"/>
      <c r="O28" s="1892"/>
      <c r="P28" s="1892"/>
      <c r="Q28" s="1892"/>
      <c r="R28" s="1866"/>
    </row>
    <row r="29" spans="1:19" ht="20.100000000000001" customHeight="1">
      <c r="A29" s="1915" t="s">
        <v>2609</v>
      </c>
      <c r="B29" s="1901" t="s">
        <v>1504</v>
      </c>
      <c r="C29" s="1897">
        <v>188711925</v>
      </c>
      <c r="D29" s="956" t="s">
        <v>668</v>
      </c>
      <c r="E29" s="947">
        <v>2</v>
      </c>
      <c r="F29" s="957">
        <f t="shared" ref="F29:F45" si="12">H29/E29-1</f>
        <v>-1</v>
      </c>
      <c r="G29" s="947"/>
      <c r="H29" s="947"/>
      <c r="I29" s="958"/>
      <c r="J29" s="947"/>
      <c r="K29" s="1886"/>
      <c r="L29" s="1902" t="s">
        <v>1700</v>
      </c>
      <c r="M29" s="1889" t="s">
        <v>1708</v>
      </c>
      <c r="N29" s="1889" t="s">
        <v>1688</v>
      </c>
      <c r="O29" s="1891" t="s">
        <v>469</v>
      </c>
      <c r="P29" s="1891" t="s">
        <v>613</v>
      </c>
      <c r="Q29" s="1891" t="s">
        <v>613</v>
      </c>
      <c r="R29" s="1866"/>
    </row>
    <row r="30" spans="1:19" ht="51.6" customHeight="1">
      <c r="A30" s="1914"/>
      <c r="B30" s="1912"/>
      <c r="C30" s="1906"/>
      <c r="D30" s="966" t="s">
        <v>1372</v>
      </c>
      <c r="E30" s="949">
        <f>E29</f>
        <v>2</v>
      </c>
      <c r="F30" s="950">
        <f t="shared" si="12"/>
        <v>-1</v>
      </c>
      <c r="G30" s="949">
        <f t="shared" ref="G30:J30" si="13">G29</f>
        <v>0</v>
      </c>
      <c r="H30" s="949">
        <f t="shared" ref="H30" si="14">H29</f>
        <v>0</v>
      </c>
      <c r="I30" s="949">
        <f t="shared" si="13"/>
        <v>0</v>
      </c>
      <c r="J30" s="962">
        <f t="shared" si="13"/>
        <v>0</v>
      </c>
      <c r="K30" s="1886"/>
      <c r="L30" s="1903"/>
      <c r="M30" s="1890"/>
      <c r="N30" s="1890"/>
      <c r="O30" s="1892"/>
      <c r="P30" s="1892"/>
      <c r="Q30" s="1892"/>
      <c r="R30" s="1866"/>
    </row>
    <row r="31" spans="1:19" ht="39.6" customHeight="1">
      <c r="A31" s="1905" t="s">
        <v>2610</v>
      </c>
      <c r="B31" s="1900" t="s">
        <v>1505</v>
      </c>
      <c r="C31" s="1896">
        <v>188711925</v>
      </c>
      <c r="D31" s="956" t="s">
        <v>668</v>
      </c>
      <c r="E31" s="947">
        <v>62</v>
      </c>
      <c r="F31" s="957">
        <f t="shared" si="12"/>
        <v>-1</v>
      </c>
      <c r="G31" s="947"/>
      <c r="H31" s="947"/>
      <c r="I31" s="958"/>
      <c r="J31" s="947"/>
      <c r="K31" s="1886"/>
      <c r="L31" s="1898" t="s">
        <v>1684</v>
      </c>
      <c r="M31" s="1890" t="s">
        <v>1709</v>
      </c>
      <c r="N31" s="1890" t="s">
        <v>1687</v>
      </c>
      <c r="O31" s="1891" t="s">
        <v>612</v>
      </c>
      <c r="P31" s="1891" t="s">
        <v>612</v>
      </c>
      <c r="Q31" s="1891" t="s">
        <v>612</v>
      </c>
      <c r="R31" s="1866"/>
    </row>
    <row r="32" spans="1:19" ht="30.75" customHeight="1">
      <c r="A32" s="1905"/>
      <c r="B32" s="1901"/>
      <c r="C32" s="1897"/>
      <c r="D32" s="966" t="s">
        <v>1372</v>
      </c>
      <c r="E32" s="949">
        <f>E31</f>
        <v>62</v>
      </c>
      <c r="F32" s="950">
        <f t="shared" si="12"/>
        <v>-1</v>
      </c>
      <c r="G32" s="949">
        <f t="shared" ref="G32:J32" si="15">G31</f>
        <v>0</v>
      </c>
      <c r="H32" s="949">
        <f t="shared" ref="H32" si="16">H31</f>
        <v>0</v>
      </c>
      <c r="I32" s="949">
        <f t="shared" si="15"/>
        <v>0</v>
      </c>
      <c r="J32" s="962">
        <f t="shared" si="15"/>
        <v>0</v>
      </c>
      <c r="K32" s="1886"/>
      <c r="L32" s="1899"/>
      <c r="M32" s="1893"/>
      <c r="N32" s="1893"/>
      <c r="O32" s="1892"/>
      <c r="P32" s="1892"/>
      <c r="Q32" s="1892"/>
      <c r="R32" s="1866"/>
    </row>
    <row r="33" spans="1:18" ht="40.799999999999997" customHeight="1">
      <c r="A33" s="1905" t="s">
        <v>2611</v>
      </c>
      <c r="B33" s="1900" t="s">
        <v>1506</v>
      </c>
      <c r="C33" s="1896">
        <v>188711925</v>
      </c>
      <c r="D33" s="956" t="s">
        <v>668</v>
      </c>
      <c r="E33" s="947">
        <v>35</v>
      </c>
      <c r="F33" s="957">
        <f t="shared" si="12"/>
        <v>-0.22857142857142854</v>
      </c>
      <c r="G33" s="947">
        <v>40</v>
      </c>
      <c r="H33" s="947">
        <v>27</v>
      </c>
      <c r="I33" s="958">
        <v>40</v>
      </c>
      <c r="J33" s="947">
        <v>40</v>
      </c>
      <c r="K33" s="1886"/>
      <c r="L33" s="1898" t="s">
        <v>1685</v>
      </c>
      <c r="M33" s="1890" t="s">
        <v>1710</v>
      </c>
      <c r="N33" s="1890" t="s">
        <v>1686</v>
      </c>
      <c r="O33" s="1891" t="s">
        <v>449</v>
      </c>
      <c r="P33" s="1891" t="s">
        <v>449</v>
      </c>
      <c r="Q33" s="1891" t="s">
        <v>449</v>
      </c>
      <c r="R33" s="1866"/>
    </row>
    <row r="34" spans="1:18" ht="30" customHeight="1">
      <c r="A34" s="1905"/>
      <c r="B34" s="1901"/>
      <c r="C34" s="1897"/>
      <c r="D34" s="966" t="s">
        <v>1372</v>
      </c>
      <c r="E34" s="949">
        <f>E33</f>
        <v>35</v>
      </c>
      <c r="F34" s="950">
        <f t="shared" si="12"/>
        <v>-0.22857142857142854</v>
      </c>
      <c r="G34" s="949">
        <f t="shared" ref="G34:J34" si="17">G33</f>
        <v>40</v>
      </c>
      <c r="H34" s="949">
        <f t="shared" ref="H34" si="18">H33</f>
        <v>27</v>
      </c>
      <c r="I34" s="949">
        <f t="shared" si="17"/>
        <v>40</v>
      </c>
      <c r="J34" s="962">
        <f t="shared" si="17"/>
        <v>40</v>
      </c>
      <c r="K34" s="1655"/>
      <c r="L34" s="1899"/>
      <c r="M34" s="1893"/>
      <c r="N34" s="1893"/>
      <c r="O34" s="1892"/>
      <c r="P34" s="1892"/>
      <c r="Q34" s="1892"/>
      <c r="R34" s="1680"/>
    </row>
    <row r="35" spans="1:18" ht="58.5" customHeight="1">
      <c r="A35" s="1910"/>
      <c r="B35" s="1911"/>
      <c r="C35" s="1911"/>
      <c r="D35" s="1911"/>
      <c r="E35" s="967" t="s">
        <v>1388</v>
      </c>
      <c r="F35" s="967"/>
      <c r="G35" s="928" t="str">
        <f>G10</f>
        <v>2024  m.asignavimų poreikis</v>
      </c>
      <c r="H35" s="928" t="str">
        <f>H10</f>
        <v>2024  m.asignavimai ir kitos lėšos, tūkst. Eur</v>
      </c>
      <c r="I35" s="928" t="str">
        <f>I10</f>
        <v>2025 m. asignavimai ir kitos lėšos, tūkst. Eur</v>
      </c>
      <c r="J35" s="928" t="str">
        <f>J10</f>
        <v>2026 m. asignavimai ir kitos lėšos, tūkst. Eur</v>
      </c>
      <c r="K35" s="968"/>
      <c r="L35" s="968"/>
      <c r="M35" s="969"/>
      <c r="N35" s="969"/>
      <c r="O35" s="588"/>
      <c r="P35" s="588"/>
      <c r="Q35" s="588"/>
      <c r="R35" s="970"/>
    </row>
    <row r="36" spans="1:18" ht="20.100000000000001" customHeight="1">
      <c r="A36" s="971"/>
      <c r="B36" s="1904" t="s">
        <v>990</v>
      </c>
      <c r="C36" s="1904"/>
      <c r="D36" s="1904"/>
      <c r="E36" s="684">
        <f>E37+E38+E40+E41+E42+E43</f>
        <v>1296.83</v>
      </c>
      <c r="F36" s="972">
        <f t="shared" si="12"/>
        <v>0.14098224131150561</v>
      </c>
      <c r="G36" s="684">
        <f t="shared" ref="G36:J36" si="19">G37+G38+G40+G41+G42+G43</f>
        <v>155</v>
      </c>
      <c r="H36" s="684">
        <f t="shared" ref="H36" si="20">H37+H38+H40+H41+H42+H43</f>
        <v>1479.6599999999999</v>
      </c>
      <c r="I36" s="684">
        <f t="shared" si="19"/>
        <v>1257.6599999999999</v>
      </c>
      <c r="J36" s="684">
        <f t="shared" si="19"/>
        <v>1257.6599999999999</v>
      </c>
      <c r="K36" s="973"/>
      <c r="L36" s="1908"/>
      <c r="M36" s="1908"/>
      <c r="N36" s="1908"/>
      <c r="O36" s="1908"/>
      <c r="P36" s="1908"/>
      <c r="Q36" s="1908"/>
      <c r="R36" s="1908"/>
    </row>
    <row r="37" spans="1:18" ht="42.6" customHeight="1">
      <c r="A37" s="975"/>
      <c r="B37" s="1894" t="s">
        <v>2564</v>
      </c>
      <c r="C37" s="1894"/>
      <c r="D37" s="1894"/>
      <c r="E37" s="749">
        <f t="shared" ref="E37:J37" si="21">SUM(E13,E23,E25,E27,E29,E31,E33,)</f>
        <v>1272.1499999999999</v>
      </c>
      <c r="F37" s="972">
        <f t="shared" si="12"/>
        <v>0.14396887159533089</v>
      </c>
      <c r="G37" s="749">
        <f t="shared" si="21"/>
        <v>155</v>
      </c>
      <c r="H37" s="749">
        <f t="shared" si="21"/>
        <v>1455.3</v>
      </c>
      <c r="I37" s="749">
        <f t="shared" si="21"/>
        <v>1233.3</v>
      </c>
      <c r="J37" s="749">
        <f t="shared" si="21"/>
        <v>1233.3</v>
      </c>
      <c r="K37" s="976"/>
      <c r="L37" s="1909"/>
      <c r="M37" s="1909"/>
      <c r="N37" s="1909"/>
      <c r="O37" s="1909"/>
      <c r="P37" s="1909"/>
      <c r="Q37" s="1909"/>
      <c r="R37" s="1909"/>
    </row>
    <row r="38" spans="1:18" ht="31.2" customHeight="1">
      <c r="A38" s="975"/>
      <c r="B38" s="1894" t="s">
        <v>993</v>
      </c>
      <c r="C38" s="1894"/>
      <c r="D38" s="1894"/>
      <c r="E38" s="749">
        <f t="shared" ref="E38:J38" si="22">SUM(E14)</f>
        <v>24.68</v>
      </c>
      <c r="F38" s="972">
        <f t="shared" si="12"/>
        <v>-1.2965964343598091E-2</v>
      </c>
      <c r="G38" s="749">
        <f t="shared" si="22"/>
        <v>0</v>
      </c>
      <c r="H38" s="749">
        <f t="shared" si="22"/>
        <v>24.36</v>
      </c>
      <c r="I38" s="749">
        <f t="shared" si="22"/>
        <v>24.36</v>
      </c>
      <c r="J38" s="749">
        <f t="shared" si="22"/>
        <v>24.36</v>
      </c>
      <c r="K38" s="976"/>
      <c r="L38" s="1909"/>
      <c r="M38" s="1909"/>
      <c r="N38" s="1909"/>
      <c r="O38" s="1909"/>
      <c r="P38" s="1909"/>
      <c r="Q38" s="1909"/>
      <c r="R38" s="1909"/>
    </row>
    <row r="39" spans="1:18" ht="20.100000000000001" hidden="1" customHeight="1">
      <c r="A39" s="975"/>
      <c r="B39" s="1883" t="s">
        <v>3589</v>
      </c>
      <c r="C39" s="1884"/>
      <c r="D39" s="1885"/>
      <c r="E39" s="781"/>
      <c r="F39" s="978"/>
      <c r="G39" s="781"/>
      <c r="H39" s="1001">
        <f>H38</f>
        <v>24.36</v>
      </c>
      <c r="I39" s="781"/>
      <c r="J39" s="781"/>
      <c r="K39" s="976"/>
      <c r="L39" s="1909"/>
      <c r="M39" s="1909"/>
      <c r="N39" s="1909"/>
      <c r="O39" s="1909"/>
      <c r="P39" s="1909"/>
      <c r="Q39" s="1909"/>
      <c r="R39" s="1909"/>
    </row>
    <row r="40" spans="1:18" ht="20.100000000000001" customHeight="1">
      <c r="A40" s="975"/>
      <c r="B40" s="1894" t="s">
        <v>994</v>
      </c>
      <c r="C40" s="1894"/>
      <c r="D40" s="1894"/>
      <c r="E40" s="749">
        <v>0</v>
      </c>
      <c r="F40" s="972"/>
      <c r="G40" s="749">
        <v>0</v>
      </c>
      <c r="H40" s="749">
        <v>0</v>
      </c>
      <c r="I40" s="749">
        <v>0</v>
      </c>
      <c r="J40" s="749">
        <v>0</v>
      </c>
      <c r="K40" s="976"/>
      <c r="L40" s="1909"/>
      <c r="M40" s="1909"/>
      <c r="N40" s="1909"/>
      <c r="O40" s="1909"/>
      <c r="P40" s="1909"/>
      <c r="Q40" s="1909"/>
      <c r="R40" s="1909"/>
    </row>
    <row r="41" spans="1:18" ht="34.799999999999997" customHeight="1">
      <c r="A41" s="975"/>
      <c r="B41" s="1894" t="s">
        <v>2565</v>
      </c>
      <c r="C41" s="1894"/>
      <c r="D41" s="1894"/>
      <c r="E41" s="749">
        <v>0</v>
      </c>
      <c r="F41" s="972"/>
      <c r="G41" s="749">
        <v>0</v>
      </c>
      <c r="H41" s="749">
        <v>0</v>
      </c>
      <c r="I41" s="749">
        <v>0</v>
      </c>
      <c r="J41" s="749">
        <v>0</v>
      </c>
      <c r="K41" s="976"/>
      <c r="L41" s="1909"/>
      <c r="M41" s="1909"/>
      <c r="N41" s="1909"/>
      <c r="O41" s="1909"/>
      <c r="P41" s="1909"/>
      <c r="Q41" s="1909"/>
      <c r="R41" s="1909"/>
    </row>
    <row r="42" spans="1:18" ht="20.100000000000001" customHeight="1">
      <c r="A42" s="975"/>
      <c r="B42" s="1894" t="s">
        <v>995</v>
      </c>
      <c r="C42" s="1894"/>
      <c r="D42" s="1894"/>
      <c r="E42" s="749">
        <v>0</v>
      </c>
      <c r="F42" s="972"/>
      <c r="G42" s="749">
        <v>0</v>
      </c>
      <c r="H42" s="749">
        <v>0</v>
      </c>
      <c r="I42" s="749">
        <v>0</v>
      </c>
      <c r="J42" s="749">
        <v>0</v>
      </c>
      <c r="K42" s="976"/>
      <c r="L42" s="1909"/>
      <c r="M42" s="1909"/>
      <c r="N42" s="1909"/>
      <c r="O42" s="1909"/>
      <c r="P42" s="1909"/>
      <c r="Q42" s="1909"/>
      <c r="R42" s="1909"/>
    </row>
    <row r="43" spans="1:18" ht="20.100000000000001" customHeight="1">
      <c r="A43" s="975"/>
      <c r="B43" s="1894" t="s">
        <v>996</v>
      </c>
      <c r="C43" s="1894"/>
      <c r="D43" s="1894"/>
      <c r="E43" s="749">
        <v>0</v>
      </c>
      <c r="F43" s="972"/>
      <c r="G43" s="749">
        <v>0</v>
      </c>
      <c r="H43" s="749">
        <v>0</v>
      </c>
      <c r="I43" s="749">
        <v>0</v>
      </c>
      <c r="J43" s="749">
        <v>0</v>
      </c>
      <c r="K43" s="976"/>
      <c r="L43" s="1909"/>
      <c r="M43" s="1909"/>
      <c r="N43" s="1909"/>
      <c r="O43" s="1909"/>
      <c r="P43" s="1909"/>
      <c r="Q43" s="1909"/>
      <c r="R43" s="1909"/>
    </row>
    <row r="44" spans="1:18" ht="39.6" customHeight="1">
      <c r="A44" s="971"/>
      <c r="B44" s="1904" t="s">
        <v>997</v>
      </c>
      <c r="C44" s="1904"/>
      <c r="D44" s="1904"/>
      <c r="E44" s="979">
        <v>0</v>
      </c>
      <c r="F44" s="980"/>
      <c r="G44" s="979">
        <v>0</v>
      </c>
      <c r="H44" s="979">
        <v>0</v>
      </c>
      <c r="I44" s="979">
        <v>0</v>
      </c>
      <c r="J44" s="979">
        <v>0</v>
      </c>
      <c r="K44" s="976"/>
      <c r="L44" s="1909"/>
      <c r="M44" s="1909"/>
      <c r="N44" s="1909"/>
      <c r="O44" s="1909"/>
      <c r="P44" s="1909"/>
      <c r="Q44" s="1909"/>
      <c r="R44" s="1909"/>
    </row>
    <row r="45" spans="1:18" ht="31.2" customHeight="1">
      <c r="A45" s="975"/>
      <c r="B45" s="1904" t="s">
        <v>1389</v>
      </c>
      <c r="C45" s="1904"/>
      <c r="D45" s="1904"/>
      <c r="E45" s="668">
        <f>E36+E44</f>
        <v>1296.83</v>
      </c>
      <c r="F45" s="980">
        <f t="shared" si="12"/>
        <v>0.14098224131150561</v>
      </c>
      <c r="G45" s="668">
        <f t="shared" ref="G45" si="23">G36+G44</f>
        <v>155</v>
      </c>
      <c r="H45" s="668">
        <f t="shared" ref="H45:J45" si="24">H36+H44</f>
        <v>1479.6599999999999</v>
      </c>
      <c r="I45" s="668">
        <f t="shared" si="24"/>
        <v>1257.6599999999999</v>
      </c>
      <c r="J45" s="668">
        <f t="shared" si="24"/>
        <v>1257.6599999999999</v>
      </c>
      <c r="K45" s="973"/>
      <c r="L45" s="1909"/>
      <c r="M45" s="1909"/>
      <c r="N45" s="1909"/>
      <c r="O45" s="1909"/>
      <c r="P45" s="1909"/>
      <c r="Q45" s="1909"/>
      <c r="R45" s="1909"/>
    </row>
    <row r="46" spans="1:18" ht="31.2" customHeight="1">
      <c r="A46" s="975"/>
      <c r="B46" s="1904" t="s">
        <v>2566</v>
      </c>
      <c r="C46" s="1904"/>
      <c r="D46" s="1904"/>
      <c r="E46" s="690">
        <v>0</v>
      </c>
      <c r="F46" s="980"/>
      <c r="G46" s="690">
        <v>0</v>
      </c>
      <c r="H46" s="690">
        <v>0</v>
      </c>
      <c r="I46" s="981">
        <v>0</v>
      </c>
      <c r="J46" s="668">
        <v>0</v>
      </c>
      <c r="K46" s="973"/>
      <c r="L46" s="1909"/>
      <c r="M46" s="1909"/>
      <c r="N46" s="1909"/>
      <c r="O46" s="1909"/>
      <c r="P46" s="1909"/>
      <c r="Q46" s="1909"/>
      <c r="R46" s="1909"/>
    </row>
    <row r="47" spans="1:18" ht="37.200000000000003" customHeight="1">
      <c r="A47" s="975"/>
      <c r="B47" s="1907" t="s">
        <v>998</v>
      </c>
      <c r="C47" s="1907"/>
      <c r="D47" s="1907"/>
      <c r="E47" s="668">
        <v>0</v>
      </c>
      <c r="F47" s="972"/>
      <c r="G47" s="668">
        <v>0</v>
      </c>
      <c r="H47" s="982">
        <f>H45/E45-1</f>
        <v>0.14098224131150561</v>
      </c>
      <c r="I47" s="983">
        <f>I45/H45-1</f>
        <v>-0.15003446737764081</v>
      </c>
      <c r="J47" s="982">
        <f>J45/I45-1</f>
        <v>0</v>
      </c>
      <c r="K47" s="973"/>
      <c r="L47" s="1909"/>
      <c r="M47" s="1909"/>
      <c r="N47" s="1909"/>
      <c r="O47" s="1909"/>
      <c r="P47" s="1909"/>
      <c r="Q47" s="1909"/>
      <c r="R47" s="1909"/>
    </row>
    <row r="48" spans="1:18" ht="20.100000000000001" customHeight="1">
      <c r="A48" s="441"/>
      <c r="B48" s="401"/>
      <c r="C48" s="401"/>
      <c r="D48" s="401"/>
      <c r="E48" s="405"/>
      <c r="F48" s="405"/>
      <c r="G48" s="405"/>
      <c r="H48" s="405"/>
      <c r="I48" s="405"/>
      <c r="J48" s="405"/>
      <c r="K48" s="405"/>
      <c r="L48" s="399"/>
      <c r="M48" s="399"/>
      <c r="N48" s="399"/>
      <c r="O48" s="399"/>
      <c r="P48" s="399"/>
      <c r="Q48" s="399"/>
      <c r="R48" s="399"/>
    </row>
    <row r="49" spans="1:13">
      <c r="E49" s="387"/>
      <c r="F49" s="387"/>
    </row>
    <row r="50" spans="1:13">
      <c r="A50" s="1895"/>
      <c r="B50" s="1895"/>
      <c r="C50" s="1895"/>
      <c r="E50" s="387"/>
      <c r="F50" s="442"/>
      <c r="G50" s="442"/>
      <c r="H50" s="442"/>
      <c r="I50" s="442"/>
      <c r="J50" s="442"/>
      <c r="K50" s="442"/>
      <c r="L50" s="442"/>
      <c r="M50" s="442"/>
    </row>
    <row r="51" spans="1:13">
      <c r="E51" s="387"/>
      <c r="F51" s="387"/>
    </row>
    <row r="52" spans="1:13">
      <c r="E52" s="387"/>
      <c r="F52" s="387"/>
    </row>
    <row r="53" spans="1:13">
      <c r="E53" s="387"/>
      <c r="F53" s="387"/>
    </row>
    <row r="54" spans="1:13">
      <c r="E54" s="387"/>
      <c r="F54" s="387"/>
    </row>
    <row r="55" spans="1:13">
      <c r="E55" s="387"/>
      <c r="F55" s="387"/>
    </row>
    <row r="56" spans="1:13">
      <c r="E56" s="387"/>
      <c r="F56" s="387"/>
    </row>
    <row r="57" spans="1:13">
      <c r="E57" s="387"/>
      <c r="F57" s="387"/>
    </row>
    <row r="58" spans="1:13">
      <c r="E58" s="387"/>
      <c r="F58" s="387"/>
    </row>
    <row r="59" spans="1:13">
      <c r="E59" s="387"/>
      <c r="F59" s="387"/>
    </row>
    <row r="60" spans="1:13">
      <c r="E60" s="387"/>
      <c r="F60" s="387"/>
    </row>
    <row r="61" spans="1:13">
      <c r="E61" s="387"/>
      <c r="F61" s="387"/>
    </row>
    <row r="62" spans="1:13">
      <c r="E62" s="387"/>
      <c r="F62" s="387"/>
    </row>
    <row r="63" spans="1:13">
      <c r="E63" s="387"/>
      <c r="F63" s="387"/>
    </row>
    <row r="64" spans="1:13">
      <c r="E64" s="387"/>
      <c r="F64" s="387"/>
    </row>
    <row r="65" spans="15:17" s="387" customFormat="1">
      <c r="O65" s="441"/>
      <c r="P65" s="441"/>
      <c r="Q65" s="441"/>
    </row>
    <row r="66" spans="15:17" s="387" customFormat="1">
      <c r="O66" s="441"/>
      <c r="P66" s="441"/>
      <c r="Q66" s="441"/>
    </row>
    <row r="67" spans="15:17" s="387" customFormat="1">
      <c r="O67" s="441"/>
      <c r="P67" s="441"/>
      <c r="Q67" s="441"/>
    </row>
    <row r="68" spans="15:17" s="387" customFormat="1">
      <c r="O68" s="441"/>
      <c r="P68" s="441"/>
      <c r="Q68" s="441"/>
    </row>
    <row r="69" spans="15:17" s="387" customFormat="1">
      <c r="O69" s="441"/>
      <c r="P69" s="441"/>
      <c r="Q69" s="441"/>
    </row>
    <row r="70" spans="15:17" s="387" customFormat="1">
      <c r="O70" s="441"/>
      <c r="P70" s="441"/>
      <c r="Q70" s="441"/>
    </row>
    <row r="71" spans="15:17" s="387" customFormat="1">
      <c r="O71" s="441"/>
      <c r="P71" s="441"/>
      <c r="Q71" s="441"/>
    </row>
    <row r="72" spans="15:17" s="387" customFormat="1">
      <c r="O72" s="441"/>
      <c r="P72" s="441"/>
      <c r="Q72" s="441"/>
    </row>
    <row r="73" spans="15:17" s="387" customFormat="1">
      <c r="O73" s="441"/>
      <c r="P73" s="441"/>
      <c r="Q73" s="441"/>
    </row>
    <row r="74" spans="15:17" s="387" customFormat="1">
      <c r="O74" s="441"/>
      <c r="P74" s="441"/>
      <c r="Q74" s="441"/>
    </row>
    <row r="75" spans="15:17" s="387" customFormat="1">
      <c r="O75" s="441"/>
      <c r="P75" s="441"/>
      <c r="Q75" s="441"/>
    </row>
    <row r="76" spans="15:17" s="387" customFormat="1">
      <c r="O76" s="441"/>
      <c r="P76" s="441"/>
      <c r="Q76" s="441"/>
    </row>
    <row r="77" spans="15:17" s="387" customFormat="1">
      <c r="O77" s="441"/>
      <c r="P77" s="441"/>
      <c r="Q77" s="441"/>
    </row>
    <row r="78" spans="15:17" s="387" customFormat="1">
      <c r="O78" s="441"/>
      <c r="P78" s="441"/>
      <c r="Q78" s="441"/>
    </row>
    <row r="79" spans="15:17" s="387" customFormat="1">
      <c r="O79" s="441"/>
      <c r="P79" s="441"/>
      <c r="Q79" s="441"/>
    </row>
    <row r="80" spans="15:17" s="387" customFormat="1">
      <c r="O80" s="441"/>
      <c r="P80" s="441"/>
      <c r="Q80" s="441"/>
    </row>
    <row r="81" spans="15:17" s="387" customFormat="1">
      <c r="O81" s="441"/>
      <c r="P81" s="441"/>
      <c r="Q81" s="441"/>
    </row>
    <row r="82" spans="15:17" s="387" customFormat="1">
      <c r="O82" s="441"/>
      <c r="P82" s="441"/>
      <c r="Q82" s="441"/>
    </row>
    <row r="83" spans="15:17" s="387" customFormat="1">
      <c r="O83" s="441"/>
      <c r="P83" s="441"/>
      <c r="Q83" s="441"/>
    </row>
    <row r="84" spans="15:17" s="387" customFormat="1">
      <c r="O84" s="441"/>
      <c r="P84" s="441"/>
      <c r="Q84" s="441"/>
    </row>
    <row r="85" spans="15:17" s="387" customFormat="1">
      <c r="O85" s="441"/>
      <c r="P85" s="441"/>
      <c r="Q85" s="441"/>
    </row>
    <row r="86" spans="15:17" s="387" customFormat="1">
      <c r="O86" s="441"/>
      <c r="P86" s="441"/>
      <c r="Q86" s="441"/>
    </row>
    <row r="87" spans="15:17" s="387" customFormat="1">
      <c r="O87" s="441"/>
      <c r="P87" s="441"/>
      <c r="Q87" s="441"/>
    </row>
    <row r="88" spans="15:17" s="387" customFormat="1">
      <c r="O88" s="441"/>
      <c r="P88" s="441"/>
      <c r="Q88" s="441"/>
    </row>
    <row r="89" spans="15:17" s="387" customFormat="1">
      <c r="O89" s="441"/>
      <c r="P89" s="441"/>
      <c r="Q89" s="441"/>
    </row>
    <row r="90" spans="15:17" s="387" customFormat="1">
      <c r="O90" s="441"/>
      <c r="P90" s="441"/>
      <c r="Q90" s="441"/>
    </row>
    <row r="91" spans="15:17" s="387" customFormat="1">
      <c r="O91" s="441"/>
      <c r="P91" s="441"/>
      <c r="Q91" s="441"/>
    </row>
    <row r="92" spans="15:17" s="387" customFormat="1">
      <c r="O92" s="441"/>
      <c r="P92" s="441"/>
      <c r="Q92" s="441"/>
    </row>
    <row r="93" spans="15:17" s="387" customFormat="1">
      <c r="O93" s="441"/>
      <c r="P93" s="441"/>
      <c r="Q93" s="441"/>
    </row>
    <row r="94" spans="15:17" s="387" customFormat="1">
      <c r="O94" s="441"/>
      <c r="P94" s="441"/>
      <c r="Q94" s="441"/>
    </row>
    <row r="95" spans="15:17" s="387" customFormat="1">
      <c r="O95" s="441"/>
      <c r="P95" s="441"/>
      <c r="Q95" s="441"/>
    </row>
    <row r="96" spans="15:17" s="387" customFormat="1">
      <c r="O96" s="441"/>
      <c r="P96" s="441"/>
      <c r="Q96" s="441"/>
    </row>
    <row r="97" spans="15:17" s="387" customFormat="1">
      <c r="O97" s="441"/>
      <c r="P97" s="441"/>
      <c r="Q97" s="441"/>
    </row>
    <row r="98" spans="15:17" s="387" customFormat="1">
      <c r="O98" s="441"/>
      <c r="P98" s="441"/>
      <c r="Q98" s="441"/>
    </row>
    <row r="99" spans="15:17" s="387" customFormat="1">
      <c r="O99" s="441"/>
      <c r="P99" s="441"/>
      <c r="Q99" s="441"/>
    </row>
    <row r="100" spans="15:17" s="387" customFormat="1">
      <c r="O100" s="441"/>
      <c r="P100" s="441"/>
      <c r="Q100" s="441"/>
    </row>
    <row r="101" spans="15:17" s="387" customFormat="1">
      <c r="O101" s="441"/>
      <c r="P101" s="441"/>
      <c r="Q101" s="441"/>
    </row>
    <row r="102" spans="15:17" s="387" customFormat="1">
      <c r="O102" s="441"/>
      <c r="P102" s="441"/>
      <c r="Q102" s="441"/>
    </row>
    <row r="103" spans="15:17" s="387" customFormat="1">
      <c r="O103" s="441"/>
      <c r="P103" s="441"/>
      <c r="Q103" s="441"/>
    </row>
    <row r="104" spans="15:17" s="387" customFormat="1">
      <c r="O104" s="441"/>
      <c r="P104" s="441"/>
      <c r="Q104" s="441"/>
    </row>
    <row r="105" spans="15:17" s="387" customFormat="1">
      <c r="O105" s="441"/>
      <c r="P105" s="441"/>
      <c r="Q105" s="441"/>
    </row>
    <row r="106" spans="15:17" s="387" customFormat="1">
      <c r="O106" s="441"/>
      <c r="P106" s="441"/>
      <c r="Q106" s="441"/>
    </row>
    <row r="107" spans="15:17" s="387" customFormat="1">
      <c r="O107" s="441"/>
      <c r="P107" s="441"/>
      <c r="Q107" s="441"/>
    </row>
    <row r="108" spans="15:17" s="387" customFormat="1">
      <c r="O108" s="441"/>
      <c r="P108" s="441"/>
      <c r="Q108" s="441"/>
    </row>
    <row r="109" spans="15:17" s="387" customFormat="1">
      <c r="O109" s="441"/>
      <c r="P109" s="441"/>
      <c r="Q109" s="441"/>
    </row>
    <row r="110" spans="15:17" s="387" customFormat="1">
      <c r="O110" s="441"/>
      <c r="P110" s="441"/>
      <c r="Q110" s="441"/>
    </row>
    <row r="111" spans="15:17" s="387" customFormat="1">
      <c r="O111" s="441"/>
      <c r="P111" s="441"/>
      <c r="Q111" s="441"/>
    </row>
    <row r="112" spans="15:17" s="387" customFormat="1">
      <c r="O112" s="441"/>
      <c r="P112" s="441"/>
      <c r="Q112" s="441"/>
    </row>
    <row r="113" spans="15:17" s="387" customFormat="1">
      <c r="O113" s="441"/>
      <c r="P113" s="441"/>
      <c r="Q113" s="441"/>
    </row>
    <row r="114" spans="15:17" s="387" customFormat="1">
      <c r="O114" s="441"/>
      <c r="P114" s="441"/>
      <c r="Q114" s="441"/>
    </row>
    <row r="115" spans="15:17" s="387" customFormat="1">
      <c r="O115" s="441"/>
      <c r="P115" s="441"/>
      <c r="Q115" s="441"/>
    </row>
    <row r="116" spans="15:17" s="387" customFormat="1">
      <c r="O116" s="441"/>
      <c r="P116" s="441"/>
      <c r="Q116" s="441"/>
    </row>
    <row r="117" spans="15:17" s="387" customFormat="1">
      <c r="O117" s="441"/>
      <c r="P117" s="441"/>
      <c r="Q117" s="441"/>
    </row>
    <row r="118" spans="15:17" s="387" customFormat="1">
      <c r="O118" s="441"/>
      <c r="P118" s="441"/>
      <c r="Q118" s="441"/>
    </row>
    <row r="119" spans="15:17" s="387" customFormat="1">
      <c r="O119" s="441"/>
      <c r="P119" s="441"/>
      <c r="Q119" s="441"/>
    </row>
    <row r="120" spans="15:17" s="387" customFormat="1">
      <c r="O120" s="441"/>
      <c r="P120" s="441"/>
      <c r="Q120" s="441"/>
    </row>
    <row r="121" spans="15:17" s="387" customFormat="1">
      <c r="O121" s="441"/>
      <c r="P121" s="441"/>
      <c r="Q121" s="441"/>
    </row>
    <row r="122" spans="15:17" s="387" customFormat="1">
      <c r="O122" s="441"/>
      <c r="P122" s="441"/>
      <c r="Q122" s="441"/>
    </row>
    <row r="123" spans="15:17" s="387" customFormat="1">
      <c r="O123" s="441"/>
      <c r="P123" s="441"/>
      <c r="Q123" s="441"/>
    </row>
    <row r="124" spans="15:17" s="387" customFormat="1">
      <c r="O124" s="441"/>
      <c r="P124" s="441"/>
      <c r="Q124" s="441"/>
    </row>
    <row r="125" spans="15:17" s="387" customFormat="1">
      <c r="O125" s="441"/>
      <c r="P125" s="441"/>
      <c r="Q125" s="441"/>
    </row>
    <row r="126" spans="15:17" s="387" customFormat="1">
      <c r="O126" s="441"/>
      <c r="P126" s="441"/>
      <c r="Q126" s="441"/>
    </row>
    <row r="127" spans="15:17" s="387" customFormat="1">
      <c r="O127" s="441"/>
      <c r="P127" s="441"/>
      <c r="Q127" s="441"/>
    </row>
    <row r="128" spans="15:17" s="387" customFormat="1">
      <c r="O128" s="441"/>
      <c r="P128" s="441"/>
      <c r="Q128" s="441"/>
    </row>
    <row r="129" spans="15:17" s="387" customFormat="1">
      <c r="O129" s="441"/>
      <c r="P129" s="441"/>
      <c r="Q129" s="441"/>
    </row>
    <row r="130" spans="15:17" s="387" customFormat="1">
      <c r="O130" s="441"/>
      <c r="P130" s="441"/>
      <c r="Q130" s="441"/>
    </row>
    <row r="131" spans="15:17" s="387" customFormat="1">
      <c r="O131" s="441"/>
      <c r="P131" s="441"/>
      <c r="Q131" s="441"/>
    </row>
    <row r="132" spans="15:17" s="387" customFormat="1">
      <c r="O132" s="441"/>
      <c r="P132" s="441"/>
      <c r="Q132" s="441"/>
    </row>
    <row r="133" spans="15:17" s="387" customFormat="1">
      <c r="O133" s="441"/>
      <c r="P133" s="441"/>
      <c r="Q133" s="441"/>
    </row>
    <row r="134" spans="15:17" s="387" customFormat="1">
      <c r="O134" s="441"/>
      <c r="P134" s="441"/>
      <c r="Q134" s="441"/>
    </row>
    <row r="135" spans="15:17" s="387" customFormat="1">
      <c r="O135" s="441"/>
      <c r="P135" s="441"/>
      <c r="Q135" s="441"/>
    </row>
    <row r="136" spans="15:17" s="387" customFormat="1">
      <c r="O136" s="441"/>
      <c r="P136" s="441"/>
      <c r="Q136" s="441"/>
    </row>
    <row r="137" spans="15:17" s="387" customFormat="1">
      <c r="O137" s="441"/>
      <c r="P137" s="441"/>
      <c r="Q137" s="441"/>
    </row>
    <row r="138" spans="15:17" s="387" customFormat="1">
      <c r="O138" s="441"/>
      <c r="P138" s="441"/>
      <c r="Q138" s="441"/>
    </row>
    <row r="139" spans="15:17" s="387" customFormat="1">
      <c r="O139" s="441"/>
      <c r="P139" s="441"/>
      <c r="Q139" s="441"/>
    </row>
    <row r="140" spans="15:17" s="387" customFormat="1">
      <c r="O140" s="441"/>
      <c r="P140" s="441"/>
      <c r="Q140" s="441"/>
    </row>
    <row r="141" spans="15:17" s="387" customFormat="1">
      <c r="O141" s="441"/>
      <c r="P141" s="441"/>
      <c r="Q141" s="441"/>
    </row>
    <row r="142" spans="15:17" s="387" customFormat="1">
      <c r="O142" s="441"/>
      <c r="P142" s="441"/>
      <c r="Q142" s="441"/>
    </row>
    <row r="143" spans="15:17" s="387" customFormat="1">
      <c r="O143" s="441"/>
      <c r="P143" s="441"/>
      <c r="Q143" s="441"/>
    </row>
    <row r="144" spans="15:17" s="387" customFormat="1">
      <c r="O144" s="441"/>
      <c r="P144" s="441"/>
      <c r="Q144" s="441"/>
    </row>
    <row r="145" spans="15:17" s="387" customFormat="1">
      <c r="O145" s="441"/>
      <c r="P145" s="441"/>
      <c r="Q145" s="441"/>
    </row>
    <row r="146" spans="15:17" s="387" customFormat="1">
      <c r="O146" s="441"/>
      <c r="P146" s="441"/>
      <c r="Q146" s="441"/>
    </row>
    <row r="147" spans="15:17" s="387" customFormat="1">
      <c r="O147" s="441"/>
      <c r="P147" s="441"/>
      <c r="Q147" s="441"/>
    </row>
    <row r="148" spans="15:17" s="387" customFormat="1">
      <c r="O148" s="441"/>
      <c r="P148" s="441"/>
      <c r="Q148" s="441"/>
    </row>
    <row r="149" spans="15:17" s="387" customFormat="1">
      <c r="O149" s="441"/>
      <c r="P149" s="441"/>
      <c r="Q149" s="441"/>
    </row>
    <row r="150" spans="15:17" s="387" customFormat="1">
      <c r="O150" s="441"/>
      <c r="P150" s="441"/>
      <c r="Q150" s="441"/>
    </row>
    <row r="151" spans="15:17" s="387" customFormat="1">
      <c r="O151" s="441"/>
      <c r="P151" s="441"/>
      <c r="Q151" s="441"/>
    </row>
    <row r="152" spans="15:17" s="387" customFormat="1">
      <c r="O152" s="441"/>
      <c r="P152" s="441"/>
      <c r="Q152" s="441"/>
    </row>
    <row r="153" spans="15:17" s="387" customFormat="1">
      <c r="O153" s="441"/>
      <c r="P153" s="441"/>
      <c r="Q153" s="441"/>
    </row>
    <row r="154" spans="15:17" s="387" customFormat="1">
      <c r="O154" s="441"/>
      <c r="P154" s="441"/>
      <c r="Q154" s="441"/>
    </row>
    <row r="155" spans="15:17" s="387" customFormat="1">
      <c r="O155" s="441"/>
      <c r="P155" s="441"/>
      <c r="Q155" s="441"/>
    </row>
    <row r="156" spans="15:17" s="387" customFormat="1">
      <c r="O156" s="441"/>
      <c r="P156" s="441"/>
      <c r="Q156" s="441"/>
    </row>
    <row r="157" spans="15:17" s="387" customFormat="1">
      <c r="O157" s="441"/>
      <c r="P157" s="441"/>
      <c r="Q157" s="441"/>
    </row>
    <row r="158" spans="15:17" s="387" customFormat="1">
      <c r="O158" s="441"/>
      <c r="P158" s="441"/>
      <c r="Q158" s="441"/>
    </row>
    <row r="159" spans="15:17" s="387" customFormat="1">
      <c r="O159" s="441"/>
      <c r="P159" s="441"/>
      <c r="Q159" s="441"/>
    </row>
    <row r="160" spans="15:17" s="387" customFormat="1">
      <c r="O160" s="441"/>
      <c r="P160" s="441"/>
      <c r="Q160" s="441"/>
    </row>
    <row r="161" spans="15:17" s="387" customFormat="1">
      <c r="O161" s="441"/>
      <c r="P161" s="441"/>
      <c r="Q161" s="441"/>
    </row>
    <row r="162" spans="15:17" s="387" customFormat="1">
      <c r="O162" s="441"/>
      <c r="P162" s="441"/>
      <c r="Q162" s="441"/>
    </row>
    <row r="163" spans="15:17" s="387" customFormat="1">
      <c r="O163" s="441"/>
      <c r="P163" s="441"/>
      <c r="Q163" s="441"/>
    </row>
    <row r="164" spans="15:17" s="387" customFormat="1">
      <c r="O164" s="441"/>
      <c r="P164" s="441"/>
      <c r="Q164" s="441"/>
    </row>
    <row r="165" spans="15:17" s="387" customFormat="1">
      <c r="O165" s="441"/>
      <c r="P165" s="441"/>
      <c r="Q165" s="441"/>
    </row>
    <row r="166" spans="15:17" s="387" customFormat="1">
      <c r="O166" s="441"/>
      <c r="P166" s="441"/>
      <c r="Q166" s="441"/>
    </row>
    <row r="167" spans="15:17" s="387" customFormat="1">
      <c r="O167" s="441"/>
      <c r="P167" s="441"/>
      <c r="Q167" s="441"/>
    </row>
    <row r="168" spans="15:17" s="387" customFormat="1">
      <c r="O168" s="441"/>
      <c r="P168" s="441"/>
      <c r="Q168" s="441"/>
    </row>
    <row r="169" spans="15:17" s="387" customFormat="1">
      <c r="O169" s="441"/>
      <c r="P169" s="441"/>
      <c r="Q169" s="441"/>
    </row>
    <row r="170" spans="15:17" s="387" customFormat="1">
      <c r="O170" s="441"/>
      <c r="P170" s="441"/>
      <c r="Q170" s="441"/>
    </row>
    <row r="171" spans="15:17" s="387" customFormat="1">
      <c r="O171" s="441"/>
      <c r="P171" s="441"/>
      <c r="Q171" s="441"/>
    </row>
    <row r="172" spans="15:17" s="387" customFormat="1">
      <c r="O172" s="441"/>
      <c r="P172" s="441"/>
      <c r="Q172" s="441"/>
    </row>
    <row r="173" spans="15:17" s="387" customFormat="1">
      <c r="O173" s="441"/>
      <c r="P173" s="441"/>
      <c r="Q173" s="441"/>
    </row>
    <row r="174" spans="15:17" s="387" customFormat="1">
      <c r="O174" s="441"/>
      <c r="P174" s="441"/>
      <c r="Q174" s="441"/>
    </row>
    <row r="175" spans="15:17" s="387" customFormat="1">
      <c r="O175" s="441"/>
      <c r="P175" s="441"/>
      <c r="Q175" s="441"/>
    </row>
    <row r="176" spans="15:17" s="387" customFormat="1">
      <c r="O176" s="441"/>
      <c r="P176" s="441"/>
      <c r="Q176" s="441"/>
    </row>
    <row r="177" spans="15:17" s="387" customFormat="1">
      <c r="O177" s="441"/>
      <c r="P177" s="441"/>
      <c r="Q177" s="441"/>
    </row>
    <row r="178" spans="15:17" s="387" customFormat="1">
      <c r="O178" s="441"/>
      <c r="P178" s="441"/>
      <c r="Q178" s="441"/>
    </row>
    <row r="179" spans="15:17" s="387" customFormat="1">
      <c r="O179" s="441"/>
      <c r="P179" s="441"/>
      <c r="Q179" s="441"/>
    </row>
    <row r="180" spans="15:17" s="387" customFormat="1">
      <c r="O180" s="441"/>
      <c r="P180" s="441"/>
      <c r="Q180" s="441"/>
    </row>
    <row r="181" spans="15:17" s="387" customFormat="1">
      <c r="O181" s="441"/>
      <c r="P181" s="441"/>
      <c r="Q181" s="441"/>
    </row>
    <row r="182" spans="15:17" s="387" customFormat="1">
      <c r="O182" s="441"/>
      <c r="P182" s="441"/>
      <c r="Q182" s="441"/>
    </row>
    <row r="183" spans="15:17" s="387" customFormat="1">
      <c r="O183" s="441"/>
      <c r="P183" s="441"/>
      <c r="Q183" s="441"/>
    </row>
    <row r="184" spans="15:17" s="387" customFormat="1">
      <c r="O184" s="441"/>
      <c r="P184" s="441"/>
      <c r="Q184" s="441"/>
    </row>
    <row r="185" spans="15:17" s="387" customFormat="1">
      <c r="O185" s="441"/>
      <c r="P185" s="441"/>
      <c r="Q185" s="441"/>
    </row>
    <row r="186" spans="15:17" s="387" customFormat="1">
      <c r="O186" s="441"/>
      <c r="P186" s="441"/>
      <c r="Q186" s="441"/>
    </row>
    <row r="187" spans="15:17" s="387" customFormat="1">
      <c r="O187" s="441"/>
      <c r="P187" s="441"/>
      <c r="Q187" s="441"/>
    </row>
    <row r="188" spans="15:17" s="387" customFormat="1">
      <c r="O188" s="441"/>
      <c r="P188" s="441"/>
      <c r="Q188" s="441"/>
    </row>
    <row r="189" spans="15:17" s="387" customFormat="1">
      <c r="O189" s="441"/>
      <c r="P189" s="441"/>
      <c r="Q189" s="441"/>
    </row>
    <row r="190" spans="15:17" s="387" customFormat="1">
      <c r="O190" s="441"/>
      <c r="P190" s="441"/>
      <c r="Q190" s="441"/>
    </row>
    <row r="191" spans="15:17" s="387" customFormat="1">
      <c r="O191" s="441"/>
      <c r="P191" s="441"/>
      <c r="Q191" s="441"/>
    </row>
    <row r="192" spans="15:17" s="387" customFormat="1">
      <c r="O192" s="441"/>
      <c r="P192" s="441"/>
      <c r="Q192" s="441"/>
    </row>
    <row r="193" spans="15:17" s="387" customFormat="1">
      <c r="O193" s="441"/>
      <c r="P193" s="441"/>
      <c r="Q193" s="441"/>
    </row>
    <row r="194" spans="15:17" s="387" customFormat="1">
      <c r="O194" s="441"/>
      <c r="P194" s="441"/>
      <c r="Q194" s="441"/>
    </row>
    <row r="195" spans="15:17" s="387" customFormat="1">
      <c r="O195" s="441"/>
      <c r="P195" s="441"/>
      <c r="Q195" s="441"/>
    </row>
    <row r="196" spans="15:17" s="387" customFormat="1">
      <c r="O196" s="441"/>
      <c r="P196" s="441"/>
      <c r="Q196" s="441"/>
    </row>
    <row r="197" spans="15:17" s="387" customFormat="1">
      <c r="O197" s="441"/>
      <c r="P197" s="441"/>
      <c r="Q197" s="441"/>
    </row>
    <row r="198" spans="15:17" s="387" customFormat="1">
      <c r="O198" s="441"/>
      <c r="P198" s="441"/>
      <c r="Q198" s="441"/>
    </row>
    <row r="199" spans="15:17" s="387" customFormat="1">
      <c r="O199" s="441"/>
      <c r="P199" s="441"/>
      <c r="Q199" s="441"/>
    </row>
    <row r="200" spans="15:17" s="387" customFormat="1">
      <c r="O200" s="441"/>
      <c r="P200" s="441"/>
      <c r="Q200" s="441"/>
    </row>
    <row r="201" spans="15:17" s="387" customFormat="1">
      <c r="O201" s="441"/>
      <c r="P201" s="441"/>
      <c r="Q201" s="441"/>
    </row>
    <row r="202" spans="15:17" s="387" customFormat="1">
      <c r="O202" s="441"/>
      <c r="P202" s="441"/>
      <c r="Q202" s="441"/>
    </row>
    <row r="203" spans="15:17" s="387" customFormat="1">
      <c r="O203" s="441"/>
      <c r="P203" s="441"/>
      <c r="Q203" s="441"/>
    </row>
    <row r="204" spans="15:17" s="387" customFormat="1">
      <c r="O204" s="441"/>
      <c r="P204" s="441"/>
      <c r="Q204" s="441"/>
    </row>
    <row r="205" spans="15:17" s="387" customFormat="1">
      <c r="O205" s="441"/>
      <c r="P205" s="441"/>
      <c r="Q205" s="441"/>
    </row>
    <row r="206" spans="15:17" s="387" customFormat="1">
      <c r="O206" s="441"/>
      <c r="P206" s="441"/>
      <c r="Q206" s="441"/>
    </row>
    <row r="207" spans="15:17" s="387" customFormat="1">
      <c r="O207" s="441"/>
      <c r="P207" s="441"/>
      <c r="Q207" s="441"/>
    </row>
    <row r="208" spans="15:17" s="387" customFormat="1">
      <c r="O208" s="441"/>
      <c r="P208" s="441"/>
      <c r="Q208" s="441"/>
    </row>
    <row r="209" spans="15:17" s="387" customFormat="1">
      <c r="O209" s="441"/>
      <c r="P209" s="441"/>
      <c r="Q209" s="441"/>
    </row>
    <row r="210" spans="15:17" s="387" customFormat="1">
      <c r="O210" s="441"/>
      <c r="P210" s="441"/>
      <c r="Q210" s="441"/>
    </row>
    <row r="211" spans="15:17" s="387" customFormat="1">
      <c r="O211" s="441"/>
      <c r="P211" s="441"/>
      <c r="Q211" s="441"/>
    </row>
    <row r="212" spans="15:17" s="387" customFormat="1">
      <c r="O212" s="441"/>
      <c r="P212" s="441"/>
      <c r="Q212" s="441"/>
    </row>
    <row r="213" spans="15:17" s="387" customFormat="1">
      <c r="O213" s="441"/>
      <c r="P213" s="441"/>
      <c r="Q213" s="441"/>
    </row>
    <row r="214" spans="15:17" s="387" customFormat="1">
      <c r="O214" s="441"/>
      <c r="P214" s="441"/>
      <c r="Q214" s="441"/>
    </row>
    <row r="215" spans="15:17" s="387" customFormat="1">
      <c r="O215" s="441"/>
      <c r="P215" s="441"/>
      <c r="Q215" s="441"/>
    </row>
    <row r="216" spans="15:17" s="387" customFormat="1">
      <c r="O216" s="441"/>
      <c r="P216" s="441"/>
      <c r="Q216" s="441"/>
    </row>
    <row r="217" spans="15:17" s="387" customFormat="1">
      <c r="O217" s="441"/>
      <c r="P217" s="441"/>
      <c r="Q217" s="441"/>
    </row>
    <row r="218" spans="15:17" s="387" customFormat="1">
      <c r="O218" s="441"/>
      <c r="P218" s="441"/>
      <c r="Q218" s="441"/>
    </row>
    <row r="219" spans="15:17" s="387" customFormat="1">
      <c r="O219" s="441"/>
      <c r="P219" s="441"/>
      <c r="Q219" s="441"/>
    </row>
    <row r="220" spans="15:17" s="387" customFormat="1">
      <c r="O220" s="441"/>
      <c r="P220" s="441"/>
      <c r="Q220" s="441"/>
    </row>
    <row r="221" spans="15:17" s="387" customFormat="1">
      <c r="O221" s="441"/>
      <c r="P221" s="441"/>
      <c r="Q221" s="441"/>
    </row>
    <row r="222" spans="15:17" s="387" customFormat="1">
      <c r="O222" s="441"/>
      <c r="P222" s="441"/>
      <c r="Q222" s="441"/>
    </row>
    <row r="223" spans="15:17" s="387" customFormat="1">
      <c r="O223" s="441"/>
      <c r="P223" s="441"/>
      <c r="Q223" s="441"/>
    </row>
    <row r="224" spans="15:17" s="387" customFormat="1">
      <c r="O224" s="441"/>
      <c r="P224" s="441"/>
      <c r="Q224" s="441"/>
    </row>
    <row r="225" spans="15:17" s="387" customFormat="1">
      <c r="O225" s="441"/>
      <c r="P225" s="441"/>
      <c r="Q225" s="441"/>
    </row>
    <row r="226" spans="15:17" s="387" customFormat="1">
      <c r="O226" s="441"/>
      <c r="P226" s="441"/>
      <c r="Q226" s="441"/>
    </row>
    <row r="227" spans="15:17" s="387" customFormat="1">
      <c r="O227" s="441"/>
      <c r="P227" s="441"/>
      <c r="Q227" s="441"/>
    </row>
    <row r="228" spans="15:17" s="387" customFormat="1">
      <c r="O228" s="441"/>
      <c r="P228" s="441"/>
      <c r="Q228" s="441"/>
    </row>
    <row r="229" spans="15:17" s="387" customFormat="1">
      <c r="O229" s="441"/>
      <c r="P229" s="441"/>
      <c r="Q229" s="441"/>
    </row>
    <row r="230" spans="15:17" s="387" customFormat="1">
      <c r="O230" s="441"/>
      <c r="P230" s="441"/>
      <c r="Q230" s="441"/>
    </row>
    <row r="231" spans="15:17" s="387" customFormat="1">
      <c r="O231" s="441"/>
      <c r="P231" s="441"/>
      <c r="Q231" s="441"/>
    </row>
    <row r="232" spans="15:17" s="387" customFormat="1">
      <c r="O232" s="441"/>
      <c r="P232" s="441"/>
      <c r="Q232" s="441"/>
    </row>
    <row r="233" spans="15:17" s="387" customFormat="1">
      <c r="O233" s="441"/>
      <c r="P233" s="441"/>
      <c r="Q233" s="441"/>
    </row>
    <row r="234" spans="15:17" s="387" customFormat="1">
      <c r="O234" s="441"/>
      <c r="P234" s="441"/>
      <c r="Q234" s="441"/>
    </row>
    <row r="235" spans="15:17" s="387" customFormat="1">
      <c r="O235" s="441"/>
      <c r="P235" s="441"/>
      <c r="Q235" s="441"/>
    </row>
    <row r="236" spans="15:17" s="387" customFormat="1">
      <c r="O236" s="441"/>
      <c r="P236" s="441"/>
      <c r="Q236" s="441"/>
    </row>
    <row r="237" spans="15:17" s="387" customFormat="1">
      <c r="O237" s="441"/>
      <c r="P237" s="441"/>
      <c r="Q237" s="441"/>
    </row>
    <row r="238" spans="15:17" s="387" customFormat="1">
      <c r="O238" s="441"/>
      <c r="P238" s="441"/>
      <c r="Q238" s="441"/>
    </row>
    <row r="239" spans="15:17" s="387" customFormat="1">
      <c r="O239" s="441"/>
      <c r="P239" s="441"/>
      <c r="Q239" s="441"/>
    </row>
    <row r="240" spans="15:17" s="387" customFormat="1">
      <c r="O240" s="441"/>
      <c r="P240" s="441"/>
      <c r="Q240" s="441"/>
    </row>
    <row r="241" spans="15:17" s="387" customFormat="1">
      <c r="O241" s="441"/>
      <c r="P241" s="441"/>
      <c r="Q241" s="441"/>
    </row>
    <row r="242" spans="15:17" s="387" customFormat="1">
      <c r="O242" s="441"/>
      <c r="P242" s="441"/>
      <c r="Q242" s="441"/>
    </row>
    <row r="243" spans="15:17" s="387" customFormat="1">
      <c r="O243" s="441"/>
      <c r="P243" s="441"/>
      <c r="Q243" s="441"/>
    </row>
    <row r="244" spans="15:17" s="387" customFormat="1">
      <c r="O244" s="441"/>
      <c r="P244" s="441"/>
      <c r="Q244" s="441"/>
    </row>
    <row r="245" spans="15:17" s="387" customFormat="1">
      <c r="O245" s="441"/>
      <c r="P245" s="441"/>
      <c r="Q245" s="441"/>
    </row>
    <row r="246" spans="15:17" s="387" customFormat="1">
      <c r="O246" s="441"/>
      <c r="P246" s="441"/>
      <c r="Q246" s="441"/>
    </row>
    <row r="247" spans="15:17" s="387" customFormat="1">
      <c r="O247" s="441"/>
      <c r="P247" s="441"/>
      <c r="Q247" s="441"/>
    </row>
    <row r="248" spans="15:17" s="387" customFormat="1">
      <c r="O248" s="441"/>
      <c r="P248" s="441"/>
      <c r="Q248" s="441"/>
    </row>
    <row r="249" spans="15:17" s="387" customFormat="1">
      <c r="O249" s="441"/>
      <c r="P249" s="441"/>
      <c r="Q249" s="441"/>
    </row>
    <row r="250" spans="15:17" s="387" customFormat="1">
      <c r="O250" s="441"/>
      <c r="P250" s="441"/>
      <c r="Q250" s="441"/>
    </row>
    <row r="251" spans="15:17" s="387" customFormat="1">
      <c r="O251" s="441"/>
      <c r="P251" s="441"/>
      <c r="Q251" s="441"/>
    </row>
    <row r="252" spans="15:17" s="387" customFormat="1">
      <c r="O252" s="441"/>
      <c r="P252" s="441"/>
      <c r="Q252" s="441"/>
    </row>
    <row r="253" spans="15:17" s="387" customFormat="1">
      <c r="O253" s="441"/>
      <c r="P253" s="441"/>
      <c r="Q253" s="441"/>
    </row>
    <row r="254" spans="15:17" s="387" customFormat="1">
      <c r="O254" s="441"/>
      <c r="P254" s="441"/>
      <c r="Q254" s="441"/>
    </row>
    <row r="255" spans="15:17" s="387" customFormat="1">
      <c r="O255" s="441"/>
      <c r="P255" s="441"/>
      <c r="Q255" s="441"/>
    </row>
    <row r="256" spans="15:17" s="387" customFormat="1">
      <c r="O256" s="441"/>
      <c r="P256" s="441"/>
      <c r="Q256" s="441"/>
    </row>
    <row r="257" spans="15:17" s="387" customFormat="1">
      <c r="O257" s="441"/>
      <c r="P257" s="441"/>
      <c r="Q257" s="441"/>
    </row>
    <row r="258" spans="15:17" s="387" customFormat="1">
      <c r="O258" s="441"/>
      <c r="P258" s="441"/>
      <c r="Q258" s="441"/>
    </row>
    <row r="259" spans="15:17" s="387" customFormat="1">
      <c r="O259" s="441"/>
      <c r="P259" s="441"/>
      <c r="Q259" s="441"/>
    </row>
    <row r="260" spans="15:17" s="387" customFormat="1">
      <c r="O260" s="441"/>
      <c r="P260" s="441"/>
      <c r="Q260" s="441"/>
    </row>
    <row r="261" spans="15:17" s="387" customFormat="1">
      <c r="O261" s="441"/>
      <c r="P261" s="441"/>
      <c r="Q261" s="441"/>
    </row>
    <row r="262" spans="15:17" s="387" customFormat="1">
      <c r="O262" s="441"/>
      <c r="P262" s="441"/>
      <c r="Q262" s="441"/>
    </row>
    <row r="263" spans="15:17" s="387" customFormat="1">
      <c r="O263" s="441"/>
      <c r="P263" s="441"/>
      <c r="Q263" s="441"/>
    </row>
    <row r="264" spans="15:17" s="387" customFormat="1">
      <c r="O264" s="441"/>
      <c r="P264" s="441"/>
      <c r="Q264" s="441"/>
    </row>
    <row r="265" spans="15:17" s="387" customFormat="1">
      <c r="O265" s="441"/>
      <c r="P265" s="441"/>
      <c r="Q265" s="441"/>
    </row>
    <row r="266" spans="15:17" s="387" customFormat="1">
      <c r="O266" s="441"/>
      <c r="P266" s="441"/>
      <c r="Q266" s="441"/>
    </row>
    <row r="267" spans="15:17" s="387" customFormat="1">
      <c r="O267" s="441"/>
      <c r="P267" s="441"/>
      <c r="Q267" s="441"/>
    </row>
    <row r="268" spans="15:17" s="387" customFormat="1">
      <c r="O268" s="441"/>
      <c r="P268" s="441"/>
      <c r="Q268" s="441"/>
    </row>
    <row r="269" spans="15:17" s="387" customFormat="1">
      <c r="O269" s="441"/>
      <c r="P269" s="441"/>
      <c r="Q269" s="441"/>
    </row>
    <row r="270" spans="15:17" s="387" customFormat="1">
      <c r="O270" s="441"/>
      <c r="P270" s="441"/>
      <c r="Q270" s="441"/>
    </row>
    <row r="271" spans="15:17" s="387" customFormat="1">
      <c r="O271" s="441"/>
      <c r="P271" s="441"/>
      <c r="Q271" s="441"/>
    </row>
    <row r="272" spans="15:17" s="387" customFormat="1">
      <c r="O272" s="441"/>
      <c r="P272" s="441"/>
      <c r="Q272" s="441"/>
    </row>
    <row r="273" spans="15:17" s="387" customFormat="1">
      <c r="O273" s="441"/>
      <c r="P273" s="441"/>
      <c r="Q273" s="441"/>
    </row>
    <row r="274" spans="15:17" s="387" customFormat="1">
      <c r="O274" s="441"/>
      <c r="P274" s="441"/>
      <c r="Q274" s="441"/>
    </row>
    <row r="275" spans="15:17" s="387" customFormat="1">
      <c r="O275" s="441"/>
      <c r="P275" s="441"/>
      <c r="Q275" s="441"/>
    </row>
    <row r="276" spans="15:17" s="387" customFormat="1">
      <c r="O276" s="441"/>
      <c r="P276" s="441"/>
      <c r="Q276" s="441"/>
    </row>
    <row r="277" spans="15:17" s="387" customFormat="1">
      <c r="O277" s="441"/>
      <c r="P277" s="441"/>
      <c r="Q277" s="441"/>
    </row>
    <row r="278" spans="15:17" s="387" customFormat="1">
      <c r="O278" s="441"/>
      <c r="P278" s="441"/>
      <c r="Q278" s="441"/>
    </row>
    <row r="279" spans="15:17" s="387" customFormat="1">
      <c r="O279" s="441"/>
      <c r="P279" s="441"/>
      <c r="Q279" s="441"/>
    </row>
    <row r="280" spans="15:17" s="387" customFormat="1">
      <c r="O280" s="441"/>
      <c r="P280" s="441"/>
      <c r="Q280" s="441"/>
    </row>
    <row r="281" spans="15:17" s="387" customFormat="1">
      <c r="O281" s="441"/>
      <c r="P281" s="441"/>
      <c r="Q281" s="441"/>
    </row>
    <row r="282" spans="15:17" s="387" customFormat="1">
      <c r="O282" s="441"/>
      <c r="P282" s="441"/>
      <c r="Q282" s="441"/>
    </row>
    <row r="283" spans="15:17" s="387" customFormat="1">
      <c r="O283" s="441"/>
      <c r="P283" s="441"/>
      <c r="Q283" s="441"/>
    </row>
    <row r="284" spans="15:17" s="387" customFormat="1">
      <c r="O284" s="441"/>
      <c r="P284" s="441"/>
      <c r="Q284" s="441"/>
    </row>
    <row r="285" spans="15:17" s="387" customFormat="1">
      <c r="O285" s="441"/>
      <c r="P285" s="441"/>
      <c r="Q285" s="441"/>
    </row>
    <row r="286" spans="15:17" s="387" customFormat="1">
      <c r="O286" s="441"/>
      <c r="P286" s="441"/>
      <c r="Q286" s="441"/>
    </row>
    <row r="287" spans="15:17" s="387" customFormat="1">
      <c r="O287" s="441"/>
      <c r="P287" s="441"/>
      <c r="Q287" s="441"/>
    </row>
    <row r="288" spans="15:17" s="387" customFormat="1">
      <c r="O288" s="441"/>
      <c r="P288" s="441"/>
      <c r="Q288" s="441"/>
    </row>
    <row r="289" spans="15:17" s="387" customFormat="1">
      <c r="O289" s="441"/>
      <c r="P289" s="441"/>
      <c r="Q289" s="441"/>
    </row>
    <row r="290" spans="15:17" s="387" customFormat="1">
      <c r="O290" s="441"/>
      <c r="P290" s="441"/>
      <c r="Q290" s="441"/>
    </row>
    <row r="291" spans="15:17" s="387" customFormat="1">
      <c r="O291" s="441"/>
      <c r="P291" s="441"/>
      <c r="Q291" s="441"/>
    </row>
    <row r="292" spans="15:17" s="387" customFormat="1">
      <c r="O292" s="441"/>
      <c r="P292" s="441"/>
      <c r="Q292" s="441"/>
    </row>
    <row r="293" spans="15:17" s="387" customFormat="1">
      <c r="O293" s="441"/>
      <c r="P293" s="441"/>
      <c r="Q293" s="441"/>
    </row>
    <row r="294" spans="15:17" s="387" customFormat="1">
      <c r="O294" s="441"/>
      <c r="P294" s="441"/>
      <c r="Q294" s="441"/>
    </row>
    <row r="295" spans="15:17" s="387" customFormat="1">
      <c r="O295" s="441"/>
      <c r="P295" s="441"/>
      <c r="Q295" s="441"/>
    </row>
    <row r="296" spans="15:17" s="387" customFormat="1">
      <c r="O296" s="441"/>
      <c r="P296" s="441"/>
      <c r="Q296" s="441"/>
    </row>
    <row r="297" spans="15:17" s="387" customFormat="1">
      <c r="O297" s="441"/>
      <c r="P297" s="441"/>
      <c r="Q297" s="441"/>
    </row>
    <row r="298" spans="15:17" s="387" customFormat="1">
      <c r="O298" s="441"/>
      <c r="P298" s="441"/>
      <c r="Q298" s="441"/>
    </row>
    <row r="299" spans="15:17" s="387" customFormat="1">
      <c r="O299" s="441"/>
      <c r="P299" s="441"/>
      <c r="Q299" s="441"/>
    </row>
    <row r="300" spans="15:17" s="387" customFormat="1">
      <c r="O300" s="441"/>
      <c r="P300" s="441"/>
      <c r="Q300" s="441"/>
    </row>
    <row r="301" spans="15:17" s="387" customFormat="1">
      <c r="O301" s="441"/>
      <c r="P301" s="441"/>
      <c r="Q301" s="441"/>
    </row>
    <row r="302" spans="15:17" s="387" customFormat="1">
      <c r="O302" s="441"/>
      <c r="P302" s="441"/>
      <c r="Q302" s="441"/>
    </row>
    <row r="303" spans="15:17" s="387" customFormat="1">
      <c r="O303" s="441"/>
      <c r="P303" s="441"/>
      <c r="Q303" s="441"/>
    </row>
    <row r="304" spans="15:17" s="387" customFormat="1">
      <c r="O304" s="441"/>
      <c r="P304" s="441"/>
      <c r="Q304" s="441"/>
    </row>
    <row r="305" spans="15:17" s="387" customFormat="1">
      <c r="O305" s="441"/>
      <c r="P305" s="441"/>
      <c r="Q305" s="441"/>
    </row>
    <row r="306" spans="15:17" s="387" customFormat="1">
      <c r="O306" s="441"/>
      <c r="P306" s="441"/>
      <c r="Q306" s="441"/>
    </row>
    <row r="307" spans="15:17" s="387" customFormat="1">
      <c r="O307" s="441"/>
      <c r="P307" s="441"/>
      <c r="Q307" s="441"/>
    </row>
    <row r="308" spans="15:17" s="387" customFormat="1">
      <c r="O308" s="441"/>
      <c r="P308" s="441"/>
      <c r="Q308" s="441"/>
    </row>
    <row r="309" spans="15:17" s="387" customFormat="1">
      <c r="O309" s="441"/>
      <c r="P309" s="441"/>
      <c r="Q309" s="441"/>
    </row>
    <row r="310" spans="15:17" s="387" customFormat="1">
      <c r="O310" s="441"/>
      <c r="P310" s="441"/>
      <c r="Q310" s="441"/>
    </row>
    <row r="311" spans="15:17" s="387" customFormat="1">
      <c r="O311" s="441"/>
      <c r="P311" s="441"/>
      <c r="Q311" s="441"/>
    </row>
    <row r="312" spans="15:17" s="387" customFormat="1">
      <c r="O312" s="441"/>
      <c r="P312" s="441"/>
      <c r="Q312" s="441"/>
    </row>
    <row r="313" spans="15:17" s="387" customFormat="1">
      <c r="O313" s="441"/>
      <c r="P313" s="441"/>
      <c r="Q313" s="441"/>
    </row>
    <row r="314" spans="15:17" s="387" customFormat="1">
      <c r="O314" s="441"/>
      <c r="P314" s="441"/>
      <c r="Q314" s="441"/>
    </row>
    <row r="315" spans="15:17" s="387" customFormat="1">
      <c r="O315" s="441"/>
      <c r="P315" s="441"/>
      <c r="Q315" s="441"/>
    </row>
    <row r="316" spans="15:17" s="387" customFormat="1">
      <c r="O316" s="441"/>
      <c r="P316" s="441"/>
      <c r="Q316" s="441"/>
    </row>
    <row r="317" spans="15:17" s="387" customFormat="1">
      <c r="O317" s="441"/>
      <c r="P317" s="441"/>
      <c r="Q317" s="441"/>
    </row>
    <row r="318" spans="15:17" s="387" customFormat="1">
      <c r="O318" s="441"/>
      <c r="P318" s="441"/>
      <c r="Q318" s="441"/>
    </row>
    <row r="319" spans="15:17" s="387" customFormat="1">
      <c r="O319" s="441"/>
      <c r="P319" s="441"/>
      <c r="Q319" s="441"/>
    </row>
    <row r="320" spans="15:17" s="387" customFormat="1">
      <c r="O320" s="441"/>
      <c r="P320" s="441"/>
      <c r="Q320" s="441"/>
    </row>
    <row r="321" spans="15:17" s="387" customFormat="1">
      <c r="O321" s="441"/>
      <c r="P321" s="441"/>
      <c r="Q321" s="441"/>
    </row>
    <row r="322" spans="15:17" s="387" customFormat="1">
      <c r="O322" s="441"/>
      <c r="P322" s="441"/>
      <c r="Q322" s="441"/>
    </row>
    <row r="323" spans="15:17" s="387" customFormat="1">
      <c r="O323" s="441"/>
      <c r="P323" s="441"/>
      <c r="Q323" s="441"/>
    </row>
    <row r="324" spans="15:17" s="387" customFormat="1">
      <c r="O324" s="441"/>
      <c r="P324" s="441"/>
      <c r="Q324" s="441"/>
    </row>
    <row r="325" spans="15:17" s="387" customFormat="1">
      <c r="O325" s="441"/>
      <c r="P325" s="441"/>
      <c r="Q325" s="441"/>
    </row>
    <row r="326" spans="15:17" s="387" customFormat="1">
      <c r="O326" s="441"/>
      <c r="P326" s="441"/>
      <c r="Q326" s="441"/>
    </row>
    <row r="327" spans="15:17" s="387" customFormat="1">
      <c r="O327" s="441"/>
      <c r="P327" s="441"/>
      <c r="Q327" s="441"/>
    </row>
    <row r="328" spans="15:17" s="387" customFormat="1">
      <c r="O328" s="441"/>
      <c r="P328" s="441"/>
      <c r="Q328" s="441"/>
    </row>
    <row r="329" spans="15:17" s="387" customFormat="1">
      <c r="O329" s="441"/>
      <c r="P329" s="441"/>
      <c r="Q329" s="441"/>
    </row>
    <row r="330" spans="15:17" s="387" customFormat="1">
      <c r="O330" s="441"/>
      <c r="P330" s="441"/>
      <c r="Q330" s="441"/>
    </row>
    <row r="331" spans="15:17" s="387" customFormat="1">
      <c r="O331" s="441"/>
      <c r="P331" s="441"/>
      <c r="Q331" s="441"/>
    </row>
    <row r="332" spans="15:17" s="387" customFormat="1">
      <c r="O332" s="441"/>
      <c r="P332" s="441"/>
      <c r="Q332" s="441"/>
    </row>
    <row r="333" spans="15:17" s="387" customFormat="1">
      <c r="O333" s="441"/>
      <c r="P333" s="441"/>
      <c r="Q333" s="441"/>
    </row>
    <row r="334" spans="15:17" s="387" customFormat="1">
      <c r="O334" s="441"/>
      <c r="P334" s="441"/>
      <c r="Q334" s="441"/>
    </row>
    <row r="335" spans="15:17" s="387" customFormat="1">
      <c r="O335" s="441"/>
      <c r="P335" s="441"/>
      <c r="Q335" s="441"/>
    </row>
    <row r="336" spans="15:17" s="387" customFormat="1">
      <c r="O336" s="441"/>
      <c r="P336" s="441"/>
      <c r="Q336" s="441"/>
    </row>
    <row r="337" spans="15:17" s="387" customFormat="1">
      <c r="O337" s="441"/>
      <c r="P337" s="441"/>
      <c r="Q337" s="441"/>
    </row>
    <row r="338" spans="15:17" s="387" customFormat="1">
      <c r="O338" s="441"/>
      <c r="P338" s="441"/>
      <c r="Q338" s="441"/>
    </row>
    <row r="339" spans="15:17" s="387" customFormat="1">
      <c r="O339" s="441"/>
      <c r="P339" s="441"/>
      <c r="Q339" s="441"/>
    </row>
    <row r="340" spans="15:17" s="387" customFormat="1">
      <c r="O340" s="441"/>
      <c r="P340" s="441"/>
      <c r="Q340" s="441"/>
    </row>
    <row r="341" spans="15:17" s="387" customFormat="1">
      <c r="O341" s="441"/>
      <c r="P341" s="441"/>
      <c r="Q341" s="441"/>
    </row>
    <row r="342" spans="15:17" s="387" customFormat="1">
      <c r="O342" s="441"/>
      <c r="P342" s="441"/>
      <c r="Q342" s="441"/>
    </row>
    <row r="343" spans="15:17" s="387" customFormat="1">
      <c r="O343" s="441"/>
      <c r="P343" s="441"/>
      <c r="Q343" s="441"/>
    </row>
    <row r="344" spans="15:17" s="387" customFormat="1">
      <c r="O344" s="441"/>
      <c r="P344" s="441"/>
      <c r="Q344" s="441"/>
    </row>
    <row r="345" spans="15:17" s="387" customFormat="1">
      <c r="O345" s="441"/>
      <c r="P345" s="441"/>
      <c r="Q345" s="441"/>
    </row>
    <row r="346" spans="15:17" s="387" customFormat="1">
      <c r="O346" s="441"/>
      <c r="P346" s="441"/>
      <c r="Q346" s="441"/>
    </row>
    <row r="347" spans="15:17" s="387" customFormat="1">
      <c r="O347" s="441"/>
      <c r="P347" s="441"/>
      <c r="Q347" s="441"/>
    </row>
    <row r="348" spans="15:17" s="387" customFormat="1">
      <c r="O348" s="441"/>
      <c r="P348" s="441"/>
      <c r="Q348" s="441"/>
    </row>
    <row r="349" spans="15:17" s="387" customFormat="1">
      <c r="O349" s="441"/>
      <c r="P349" s="441"/>
      <c r="Q349" s="441"/>
    </row>
    <row r="350" spans="15:17" s="387" customFormat="1">
      <c r="O350" s="441"/>
      <c r="P350" s="441"/>
      <c r="Q350" s="441"/>
    </row>
    <row r="351" spans="15:17" s="387" customFormat="1">
      <c r="O351" s="441"/>
      <c r="P351" s="441"/>
      <c r="Q351" s="441"/>
    </row>
    <row r="352" spans="15:17" s="387" customFormat="1">
      <c r="O352" s="441"/>
      <c r="P352" s="441"/>
      <c r="Q352" s="441"/>
    </row>
    <row r="353" spans="15:17" s="387" customFormat="1">
      <c r="O353" s="441"/>
      <c r="P353" s="441"/>
      <c r="Q353" s="441"/>
    </row>
    <row r="354" spans="15:17" s="387" customFormat="1">
      <c r="O354" s="441"/>
      <c r="P354" s="441"/>
      <c r="Q354" s="441"/>
    </row>
    <row r="355" spans="15:17" s="387" customFormat="1">
      <c r="O355" s="441"/>
      <c r="P355" s="441"/>
      <c r="Q355" s="441"/>
    </row>
    <row r="356" spans="15:17" s="387" customFormat="1">
      <c r="O356" s="441"/>
      <c r="P356" s="441"/>
      <c r="Q356" s="441"/>
    </row>
    <row r="357" spans="15:17" s="387" customFormat="1">
      <c r="O357" s="441"/>
      <c r="P357" s="441"/>
      <c r="Q357" s="441"/>
    </row>
    <row r="358" spans="15:17" s="387" customFormat="1">
      <c r="O358" s="441"/>
      <c r="P358" s="441"/>
      <c r="Q358" s="441"/>
    </row>
    <row r="359" spans="15:17" s="387" customFormat="1">
      <c r="O359" s="441"/>
      <c r="P359" s="441"/>
      <c r="Q359" s="441"/>
    </row>
    <row r="360" spans="15:17" s="387" customFormat="1">
      <c r="O360" s="441"/>
      <c r="P360" s="441"/>
      <c r="Q360" s="441"/>
    </row>
    <row r="361" spans="15:17" s="387" customFormat="1">
      <c r="O361" s="441"/>
      <c r="P361" s="441"/>
      <c r="Q361" s="441"/>
    </row>
    <row r="362" spans="15:17" s="387" customFormat="1">
      <c r="O362" s="441"/>
      <c r="P362" s="441"/>
      <c r="Q362" s="441"/>
    </row>
    <row r="363" spans="15:17" s="387" customFormat="1">
      <c r="O363" s="441"/>
      <c r="P363" s="441"/>
      <c r="Q363" s="441"/>
    </row>
    <row r="364" spans="15:17" s="387" customFormat="1">
      <c r="O364" s="441"/>
      <c r="P364" s="441"/>
      <c r="Q364" s="441"/>
    </row>
    <row r="365" spans="15:17" s="387" customFormat="1">
      <c r="O365" s="441"/>
      <c r="P365" s="441"/>
      <c r="Q365" s="441"/>
    </row>
    <row r="366" spans="15:17" s="387" customFormat="1">
      <c r="O366" s="441"/>
      <c r="P366" s="441"/>
      <c r="Q366" s="441"/>
    </row>
    <row r="367" spans="15:17" s="387" customFormat="1">
      <c r="O367" s="441"/>
      <c r="P367" s="441"/>
      <c r="Q367" s="441"/>
    </row>
    <row r="368" spans="15:17" s="387" customFormat="1">
      <c r="O368" s="441"/>
      <c r="P368" s="441"/>
      <c r="Q368" s="441"/>
    </row>
    <row r="369" spans="15:17" s="387" customFormat="1">
      <c r="O369" s="441"/>
      <c r="P369" s="441"/>
      <c r="Q369" s="441"/>
    </row>
    <row r="370" spans="15:17" s="387" customFormat="1">
      <c r="O370" s="441"/>
      <c r="P370" s="441"/>
      <c r="Q370" s="441"/>
    </row>
    <row r="371" spans="15:17" s="387" customFormat="1">
      <c r="O371" s="441"/>
      <c r="P371" s="441"/>
      <c r="Q371" s="441"/>
    </row>
    <row r="372" spans="15:17" s="387" customFormat="1">
      <c r="O372" s="441"/>
      <c r="P372" s="441"/>
      <c r="Q372" s="441"/>
    </row>
    <row r="373" spans="15:17" s="387" customFormat="1">
      <c r="O373" s="441"/>
      <c r="P373" s="441"/>
      <c r="Q373" s="441"/>
    </row>
    <row r="374" spans="15:17" s="387" customFormat="1">
      <c r="O374" s="441"/>
      <c r="P374" s="441"/>
      <c r="Q374" s="441"/>
    </row>
    <row r="375" spans="15:17" s="387" customFormat="1">
      <c r="O375" s="441"/>
      <c r="P375" s="441"/>
      <c r="Q375" s="441"/>
    </row>
    <row r="376" spans="15:17" s="387" customFormat="1">
      <c r="O376" s="441"/>
      <c r="P376" s="441"/>
      <c r="Q376" s="441"/>
    </row>
    <row r="377" spans="15:17" s="387" customFormat="1">
      <c r="O377" s="441"/>
      <c r="P377" s="441"/>
      <c r="Q377" s="441"/>
    </row>
    <row r="378" spans="15:17" s="387" customFormat="1">
      <c r="O378" s="441"/>
      <c r="P378" s="441"/>
      <c r="Q378" s="441"/>
    </row>
    <row r="379" spans="15:17" s="387" customFormat="1">
      <c r="O379" s="441"/>
      <c r="P379" s="441"/>
      <c r="Q379" s="441"/>
    </row>
    <row r="380" spans="15:17" s="387" customFormat="1">
      <c r="O380" s="441"/>
      <c r="P380" s="441"/>
      <c r="Q380" s="441"/>
    </row>
    <row r="381" spans="15:17" s="387" customFormat="1">
      <c r="O381" s="441"/>
      <c r="P381" s="441"/>
      <c r="Q381" s="441"/>
    </row>
    <row r="382" spans="15:17" s="387" customFormat="1">
      <c r="O382" s="441"/>
      <c r="P382" s="441"/>
      <c r="Q382" s="441"/>
    </row>
    <row r="383" spans="15:17" s="387" customFormat="1">
      <c r="O383" s="441"/>
      <c r="P383" s="441"/>
      <c r="Q383" s="441"/>
    </row>
    <row r="384" spans="15:17" s="387" customFormat="1">
      <c r="O384" s="441"/>
      <c r="P384" s="441"/>
      <c r="Q384" s="441"/>
    </row>
    <row r="385" spans="15:17" s="387" customFormat="1">
      <c r="O385" s="441"/>
      <c r="P385" s="441"/>
      <c r="Q385" s="441"/>
    </row>
    <row r="386" spans="15:17" s="387" customFormat="1">
      <c r="O386" s="441"/>
      <c r="P386" s="441"/>
      <c r="Q386" s="441"/>
    </row>
    <row r="387" spans="15:17" s="387" customFormat="1">
      <c r="O387" s="441"/>
      <c r="P387" s="441"/>
      <c r="Q387" s="441"/>
    </row>
    <row r="388" spans="15:17" s="387" customFormat="1">
      <c r="O388" s="441"/>
      <c r="P388" s="441"/>
      <c r="Q388" s="441"/>
    </row>
    <row r="389" spans="15:17" s="387" customFormat="1">
      <c r="O389" s="441"/>
      <c r="P389" s="441"/>
      <c r="Q389" s="441"/>
    </row>
    <row r="390" spans="15:17" s="387" customFormat="1">
      <c r="O390" s="441"/>
      <c r="P390" s="441"/>
      <c r="Q390" s="441"/>
    </row>
    <row r="391" spans="15:17" s="387" customFormat="1">
      <c r="O391" s="441"/>
      <c r="P391" s="441"/>
      <c r="Q391" s="441"/>
    </row>
    <row r="392" spans="15:17" s="387" customFormat="1">
      <c r="O392" s="441"/>
      <c r="P392" s="441"/>
      <c r="Q392" s="441"/>
    </row>
    <row r="393" spans="15:17" s="387" customFormat="1">
      <c r="O393" s="441"/>
      <c r="P393" s="441"/>
      <c r="Q393" s="441"/>
    </row>
    <row r="394" spans="15:17" s="387" customFormat="1">
      <c r="O394" s="441"/>
      <c r="P394" s="441"/>
      <c r="Q394" s="441"/>
    </row>
    <row r="395" spans="15:17" s="387" customFormat="1">
      <c r="O395" s="441"/>
      <c r="P395" s="441"/>
      <c r="Q395" s="441"/>
    </row>
    <row r="396" spans="15:17" s="387" customFormat="1">
      <c r="O396" s="441"/>
      <c r="P396" s="441"/>
      <c r="Q396" s="441"/>
    </row>
    <row r="397" spans="15:17" s="387" customFormat="1">
      <c r="O397" s="441"/>
      <c r="P397" s="441"/>
      <c r="Q397" s="441"/>
    </row>
    <row r="398" spans="15:17" s="387" customFormat="1">
      <c r="O398" s="441"/>
      <c r="P398" s="441"/>
      <c r="Q398" s="441"/>
    </row>
    <row r="399" spans="15:17" s="387" customFormat="1">
      <c r="O399" s="441"/>
      <c r="P399" s="441"/>
      <c r="Q399" s="441"/>
    </row>
    <row r="400" spans="15:17" s="387" customFormat="1">
      <c r="O400" s="441"/>
      <c r="P400" s="441"/>
      <c r="Q400" s="441"/>
    </row>
    <row r="401" spans="15:17" s="387" customFormat="1">
      <c r="O401" s="441"/>
      <c r="P401" s="441"/>
      <c r="Q401" s="441"/>
    </row>
    <row r="402" spans="15:17" s="387" customFormat="1">
      <c r="O402" s="441"/>
      <c r="P402" s="441"/>
      <c r="Q402" s="441"/>
    </row>
    <row r="403" spans="15:17" s="387" customFormat="1">
      <c r="O403" s="441"/>
      <c r="P403" s="441"/>
      <c r="Q403" s="441"/>
    </row>
    <row r="404" spans="15:17" s="387" customFormat="1">
      <c r="O404" s="441"/>
      <c r="P404" s="441"/>
      <c r="Q404" s="441"/>
    </row>
    <row r="405" spans="15:17" s="387" customFormat="1">
      <c r="O405" s="441"/>
      <c r="P405" s="441"/>
      <c r="Q405" s="441"/>
    </row>
    <row r="406" spans="15:17" s="387" customFormat="1">
      <c r="O406" s="441"/>
      <c r="P406" s="441"/>
      <c r="Q406" s="441"/>
    </row>
    <row r="407" spans="15:17" s="387" customFormat="1">
      <c r="O407" s="441"/>
      <c r="P407" s="441"/>
      <c r="Q407" s="441"/>
    </row>
    <row r="408" spans="15:17" s="387" customFormat="1">
      <c r="O408" s="441"/>
      <c r="P408" s="441"/>
      <c r="Q408" s="441"/>
    </row>
    <row r="409" spans="15:17" s="387" customFormat="1">
      <c r="O409" s="441"/>
      <c r="P409" s="441"/>
      <c r="Q409" s="441"/>
    </row>
    <row r="410" spans="15:17" s="387" customFormat="1">
      <c r="O410" s="441"/>
      <c r="P410" s="441"/>
      <c r="Q410" s="441"/>
    </row>
    <row r="411" spans="15:17" s="387" customFormat="1">
      <c r="O411" s="441"/>
      <c r="P411" s="441"/>
      <c r="Q411" s="441"/>
    </row>
    <row r="412" spans="15:17" s="387" customFormat="1">
      <c r="O412" s="441"/>
      <c r="P412" s="441"/>
      <c r="Q412" s="441"/>
    </row>
    <row r="413" spans="15:17" s="387" customFormat="1">
      <c r="O413" s="441"/>
      <c r="P413" s="441"/>
      <c r="Q413" s="441"/>
    </row>
    <row r="414" spans="15:17" s="387" customFormat="1">
      <c r="O414" s="441"/>
      <c r="P414" s="441"/>
      <c r="Q414" s="441"/>
    </row>
    <row r="415" spans="15:17" s="387" customFormat="1">
      <c r="O415" s="441"/>
      <c r="P415" s="441"/>
      <c r="Q415" s="441"/>
    </row>
    <row r="416" spans="15:17" s="387" customFormat="1">
      <c r="O416" s="441"/>
      <c r="P416" s="441"/>
      <c r="Q416" s="441"/>
    </row>
    <row r="417" spans="15:17" s="387" customFormat="1">
      <c r="O417" s="441"/>
      <c r="P417" s="441"/>
      <c r="Q417" s="441"/>
    </row>
    <row r="418" spans="15:17" s="387" customFormat="1">
      <c r="O418" s="441"/>
      <c r="P418" s="441"/>
      <c r="Q418" s="441"/>
    </row>
    <row r="419" spans="15:17" s="387" customFormat="1">
      <c r="O419" s="441"/>
      <c r="P419" s="441"/>
      <c r="Q419" s="441"/>
    </row>
    <row r="420" spans="15:17" s="387" customFormat="1">
      <c r="O420" s="441"/>
      <c r="P420" s="441"/>
      <c r="Q420" s="441"/>
    </row>
    <row r="421" spans="15:17" s="387" customFormat="1">
      <c r="O421" s="441"/>
      <c r="P421" s="441"/>
      <c r="Q421" s="441"/>
    </row>
    <row r="422" spans="15:17" s="387" customFormat="1">
      <c r="O422" s="441"/>
      <c r="P422" s="441"/>
      <c r="Q422" s="441"/>
    </row>
    <row r="423" spans="15:17" s="387" customFormat="1">
      <c r="O423" s="441"/>
      <c r="P423" s="441"/>
      <c r="Q423" s="441"/>
    </row>
    <row r="424" spans="15:17" s="387" customFormat="1">
      <c r="O424" s="441"/>
      <c r="P424" s="441"/>
      <c r="Q424" s="441"/>
    </row>
    <row r="425" spans="15:17" s="387" customFormat="1">
      <c r="O425" s="441"/>
      <c r="P425" s="441"/>
      <c r="Q425" s="441"/>
    </row>
    <row r="426" spans="15:17" s="387" customFormat="1">
      <c r="O426" s="441"/>
      <c r="P426" s="441"/>
      <c r="Q426" s="441"/>
    </row>
    <row r="427" spans="15:17" s="387" customFormat="1">
      <c r="O427" s="441"/>
      <c r="P427" s="441"/>
      <c r="Q427" s="441"/>
    </row>
    <row r="428" spans="15:17" s="387" customFormat="1">
      <c r="O428" s="441"/>
      <c r="P428" s="441"/>
      <c r="Q428" s="441"/>
    </row>
    <row r="429" spans="15:17" s="387" customFormat="1">
      <c r="O429" s="441"/>
      <c r="P429" s="441"/>
      <c r="Q429" s="441"/>
    </row>
    <row r="430" spans="15:17" s="387" customFormat="1">
      <c r="O430" s="441"/>
      <c r="P430" s="441"/>
      <c r="Q430" s="441"/>
    </row>
    <row r="431" spans="15:17" s="387" customFormat="1">
      <c r="O431" s="441"/>
      <c r="P431" s="441"/>
      <c r="Q431" s="441"/>
    </row>
    <row r="432" spans="15:17" s="387" customFormat="1">
      <c r="O432" s="441"/>
      <c r="P432" s="441"/>
      <c r="Q432" s="441"/>
    </row>
    <row r="433" spans="15:17" s="387" customFormat="1">
      <c r="O433" s="441"/>
      <c r="P433" s="441"/>
      <c r="Q433" s="441"/>
    </row>
    <row r="434" spans="15:17" s="387" customFormat="1">
      <c r="O434" s="441"/>
      <c r="P434" s="441"/>
      <c r="Q434" s="441"/>
    </row>
    <row r="435" spans="15:17" s="387" customFormat="1">
      <c r="O435" s="441"/>
      <c r="P435" s="441"/>
      <c r="Q435" s="441"/>
    </row>
    <row r="436" spans="15:17" s="387" customFormat="1">
      <c r="O436" s="441"/>
      <c r="P436" s="441"/>
      <c r="Q436" s="441"/>
    </row>
    <row r="437" spans="15:17" s="387" customFormat="1">
      <c r="O437" s="441"/>
      <c r="P437" s="441"/>
      <c r="Q437" s="441"/>
    </row>
    <row r="438" spans="15:17" s="387" customFormat="1">
      <c r="O438" s="441"/>
      <c r="P438" s="441"/>
      <c r="Q438" s="441"/>
    </row>
    <row r="439" spans="15:17" s="387" customFormat="1">
      <c r="O439" s="441"/>
      <c r="P439" s="441"/>
      <c r="Q439" s="441"/>
    </row>
    <row r="440" spans="15:17" s="387" customFormat="1">
      <c r="O440" s="441"/>
      <c r="P440" s="441"/>
      <c r="Q440" s="441"/>
    </row>
    <row r="441" spans="15:17" s="387" customFormat="1">
      <c r="O441" s="441"/>
      <c r="P441" s="441"/>
      <c r="Q441" s="441"/>
    </row>
    <row r="442" spans="15:17" s="387" customFormat="1">
      <c r="O442" s="441"/>
      <c r="P442" s="441"/>
      <c r="Q442" s="441"/>
    </row>
    <row r="443" spans="15:17" s="387" customFormat="1">
      <c r="O443" s="441"/>
      <c r="P443" s="441"/>
      <c r="Q443" s="441"/>
    </row>
    <row r="444" spans="15:17" s="387" customFormat="1">
      <c r="O444" s="441"/>
      <c r="P444" s="441"/>
      <c r="Q444" s="441"/>
    </row>
    <row r="445" spans="15:17" s="387" customFormat="1">
      <c r="O445" s="441"/>
      <c r="P445" s="441"/>
      <c r="Q445" s="441"/>
    </row>
    <row r="446" spans="15:17" s="387" customFormat="1">
      <c r="O446" s="441"/>
      <c r="P446" s="441"/>
      <c r="Q446" s="441"/>
    </row>
    <row r="447" spans="15:17" s="387" customFormat="1">
      <c r="O447" s="441"/>
      <c r="P447" s="441"/>
      <c r="Q447" s="441"/>
    </row>
    <row r="448" spans="15:17" s="387" customFormat="1">
      <c r="O448" s="441"/>
      <c r="P448" s="441"/>
      <c r="Q448" s="441"/>
    </row>
    <row r="449" spans="15:17" s="387" customFormat="1">
      <c r="O449" s="441"/>
      <c r="P449" s="441"/>
      <c r="Q449" s="441"/>
    </row>
    <row r="450" spans="15:17" s="387" customFormat="1">
      <c r="O450" s="441"/>
      <c r="P450" s="441"/>
      <c r="Q450" s="441"/>
    </row>
    <row r="451" spans="15:17" s="387" customFormat="1">
      <c r="O451" s="441"/>
      <c r="P451" s="441"/>
      <c r="Q451" s="441"/>
    </row>
    <row r="452" spans="15:17" s="387" customFormat="1">
      <c r="O452" s="441"/>
      <c r="P452" s="441"/>
      <c r="Q452" s="441"/>
    </row>
    <row r="453" spans="15:17" s="387" customFormat="1">
      <c r="O453" s="441"/>
      <c r="P453" s="441"/>
      <c r="Q453" s="441"/>
    </row>
    <row r="454" spans="15:17" s="387" customFormat="1">
      <c r="O454" s="441"/>
      <c r="P454" s="441"/>
      <c r="Q454" s="441"/>
    </row>
    <row r="455" spans="15:17" s="387" customFormat="1">
      <c r="O455" s="441"/>
      <c r="P455" s="441"/>
      <c r="Q455" s="441"/>
    </row>
    <row r="456" spans="15:17" s="387" customFormat="1">
      <c r="O456" s="441"/>
      <c r="P456" s="441"/>
      <c r="Q456" s="441"/>
    </row>
    <row r="457" spans="15:17" s="387" customFormat="1">
      <c r="O457" s="441"/>
      <c r="P457" s="441"/>
      <c r="Q457" s="441"/>
    </row>
    <row r="458" spans="15:17" s="387" customFormat="1">
      <c r="O458" s="441"/>
      <c r="P458" s="441"/>
      <c r="Q458" s="441"/>
    </row>
    <row r="459" spans="15:17" s="387" customFormat="1">
      <c r="O459" s="441"/>
      <c r="P459" s="441"/>
      <c r="Q459" s="441"/>
    </row>
    <row r="460" spans="15:17" s="387" customFormat="1">
      <c r="O460" s="441"/>
      <c r="P460" s="441"/>
      <c r="Q460" s="441"/>
    </row>
    <row r="461" spans="15:17" s="387" customFormat="1">
      <c r="O461" s="441"/>
      <c r="P461" s="441"/>
      <c r="Q461" s="441"/>
    </row>
    <row r="462" spans="15:17" s="387" customFormat="1">
      <c r="O462" s="441"/>
      <c r="P462" s="441"/>
      <c r="Q462" s="441"/>
    </row>
    <row r="463" spans="15:17" s="387" customFormat="1">
      <c r="O463" s="441"/>
      <c r="P463" s="441"/>
      <c r="Q463" s="441"/>
    </row>
    <row r="464" spans="15:17" s="387" customFormat="1">
      <c r="O464" s="441"/>
      <c r="P464" s="441"/>
      <c r="Q464" s="441"/>
    </row>
    <row r="465" spans="15:17" s="387" customFormat="1">
      <c r="O465" s="441"/>
      <c r="P465" s="441"/>
      <c r="Q465" s="441"/>
    </row>
    <row r="466" spans="15:17" s="387" customFormat="1">
      <c r="O466" s="441"/>
      <c r="P466" s="441"/>
      <c r="Q466" s="441"/>
    </row>
    <row r="467" spans="15:17" s="387" customFormat="1">
      <c r="O467" s="441"/>
      <c r="P467" s="441"/>
      <c r="Q467" s="441"/>
    </row>
    <row r="468" spans="15:17" s="387" customFormat="1">
      <c r="O468" s="441"/>
      <c r="P468" s="441"/>
      <c r="Q468" s="441"/>
    </row>
    <row r="469" spans="15:17" s="387" customFormat="1">
      <c r="O469" s="441"/>
      <c r="P469" s="441"/>
      <c r="Q469" s="441"/>
    </row>
    <row r="470" spans="15:17" s="387" customFormat="1">
      <c r="O470" s="441"/>
      <c r="P470" s="441"/>
      <c r="Q470" s="441"/>
    </row>
    <row r="471" spans="15:17" s="387" customFormat="1">
      <c r="O471" s="441"/>
      <c r="P471" s="441"/>
      <c r="Q471" s="441"/>
    </row>
    <row r="472" spans="15:17" s="387" customFormat="1">
      <c r="O472" s="441"/>
      <c r="P472" s="441"/>
      <c r="Q472" s="441"/>
    </row>
    <row r="473" spans="15:17" s="387" customFormat="1">
      <c r="O473" s="441"/>
      <c r="P473" s="441"/>
      <c r="Q473" s="441"/>
    </row>
    <row r="474" spans="15:17" s="387" customFormat="1">
      <c r="O474" s="441"/>
      <c r="P474" s="441"/>
      <c r="Q474" s="441"/>
    </row>
    <row r="475" spans="15:17" s="387" customFormat="1">
      <c r="O475" s="441"/>
      <c r="P475" s="441"/>
      <c r="Q475" s="441"/>
    </row>
    <row r="476" spans="15:17" s="387" customFormat="1">
      <c r="O476" s="441"/>
      <c r="P476" s="441"/>
      <c r="Q476" s="441"/>
    </row>
    <row r="477" spans="15:17" s="387" customFormat="1">
      <c r="O477" s="441"/>
      <c r="P477" s="441"/>
      <c r="Q477" s="441"/>
    </row>
    <row r="478" spans="15:17" s="387" customFormat="1">
      <c r="O478" s="441"/>
      <c r="P478" s="441"/>
      <c r="Q478" s="441"/>
    </row>
    <row r="479" spans="15:17" s="387" customFormat="1">
      <c r="O479" s="441"/>
      <c r="P479" s="441"/>
      <c r="Q479" s="441"/>
    </row>
    <row r="480" spans="15:17" s="387" customFormat="1">
      <c r="O480" s="441"/>
      <c r="P480" s="441"/>
      <c r="Q480" s="441"/>
    </row>
    <row r="481" spans="15:17" s="387" customFormat="1">
      <c r="O481" s="441"/>
      <c r="P481" s="441"/>
      <c r="Q481" s="441"/>
    </row>
    <row r="482" spans="15:17" s="387" customFormat="1">
      <c r="O482" s="441"/>
      <c r="P482" s="441"/>
      <c r="Q482" s="441"/>
    </row>
    <row r="483" spans="15:17" s="387" customFormat="1">
      <c r="O483" s="441"/>
      <c r="P483" s="441"/>
      <c r="Q483" s="441"/>
    </row>
    <row r="484" spans="15:17" s="387" customFormat="1">
      <c r="O484" s="441"/>
      <c r="P484" s="441"/>
      <c r="Q484" s="441"/>
    </row>
    <row r="485" spans="15:17" s="387" customFormat="1">
      <c r="O485" s="441"/>
      <c r="P485" s="441"/>
      <c r="Q485" s="441"/>
    </row>
    <row r="486" spans="15:17" s="387" customFormat="1">
      <c r="O486" s="441"/>
      <c r="P486" s="441"/>
      <c r="Q486" s="441"/>
    </row>
    <row r="487" spans="15:17" s="387" customFormat="1">
      <c r="O487" s="441"/>
      <c r="P487" s="441"/>
      <c r="Q487" s="441"/>
    </row>
    <row r="488" spans="15:17" s="387" customFormat="1">
      <c r="O488" s="441"/>
      <c r="P488" s="441"/>
      <c r="Q488" s="441"/>
    </row>
    <row r="489" spans="15:17" s="387" customFormat="1">
      <c r="O489" s="441"/>
      <c r="P489" s="441"/>
      <c r="Q489" s="441"/>
    </row>
    <row r="490" spans="15:17" s="387" customFormat="1">
      <c r="O490" s="441"/>
      <c r="P490" s="441"/>
      <c r="Q490" s="441"/>
    </row>
    <row r="491" spans="15:17" s="387" customFormat="1">
      <c r="O491" s="441"/>
      <c r="P491" s="441"/>
      <c r="Q491" s="441"/>
    </row>
    <row r="492" spans="15:17" s="387" customFormat="1">
      <c r="O492" s="441"/>
      <c r="P492" s="441"/>
      <c r="Q492" s="441"/>
    </row>
    <row r="493" spans="15:17" s="387" customFormat="1">
      <c r="O493" s="441"/>
      <c r="P493" s="441"/>
      <c r="Q493" s="441"/>
    </row>
    <row r="494" spans="15:17" s="387" customFormat="1">
      <c r="O494" s="441"/>
      <c r="P494" s="441"/>
      <c r="Q494" s="441"/>
    </row>
    <row r="495" spans="15:17" s="387" customFormat="1">
      <c r="O495" s="441"/>
      <c r="P495" s="441"/>
      <c r="Q495" s="441"/>
    </row>
    <row r="496" spans="15:17" s="387" customFormat="1">
      <c r="O496" s="441"/>
      <c r="P496" s="441"/>
      <c r="Q496" s="441"/>
    </row>
    <row r="497" spans="15:17" s="387" customFormat="1">
      <c r="O497" s="441"/>
      <c r="P497" s="441"/>
      <c r="Q497" s="441"/>
    </row>
    <row r="498" spans="15:17" s="387" customFormat="1">
      <c r="O498" s="441"/>
      <c r="P498" s="441"/>
      <c r="Q498" s="441"/>
    </row>
    <row r="499" spans="15:17" s="387" customFormat="1">
      <c r="O499" s="441"/>
      <c r="P499" s="441"/>
      <c r="Q499" s="441"/>
    </row>
    <row r="500" spans="15:17" s="387" customFormat="1">
      <c r="O500" s="441"/>
      <c r="P500" s="441"/>
      <c r="Q500" s="441"/>
    </row>
    <row r="501" spans="15:17" s="387" customFormat="1">
      <c r="O501" s="441"/>
      <c r="P501" s="441"/>
      <c r="Q501" s="441"/>
    </row>
    <row r="502" spans="15:17" s="387" customFormat="1">
      <c r="O502" s="441"/>
      <c r="P502" s="441"/>
      <c r="Q502" s="441"/>
    </row>
    <row r="503" spans="15:17" s="387" customFormat="1">
      <c r="O503" s="441"/>
      <c r="P503" s="441"/>
      <c r="Q503" s="441"/>
    </row>
    <row r="504" spans="15:17" s="387" customFormat="1">
      <c r="O504" s="441"/>
      <c r="P504" s="441"/>
      <c r="Q504" s="441"/>
    </row>
    <row r="505" spans="15:17" s="387" customFormat="1">
      <c r="O505" s="441"/>
      <c r="P505" s="441"/>
      <c r="Q505" s="441"/>
    </row>
    <row r="506" spans="15:17" s="387" customFormat="1">
      <c r="O506" s="441"/>
      <c r="P506" s="441"/>
      <c r="Q506" s="441"/>
    </row>
    <row r="507" spans="15:17" s="387" customFormat="1">
      <c r="O507" s="441"/>
      <c r="P507" s="441"/>
      <c r="Q507" s="441"/>
    </row>
    <row r="508" spans="15:17" s="387" customFormat="1">
      <c r="O508" s="441"/>
      <c r="P508" s="441"/>
      <c r="Q508" s="441"/>
    </row>
    <row r="509" spans="15:17" s="387" customFormat="1">
      <c r="O509" s="441"/>
      <c r="P509" s="441"/>
      <c r="Q509" s="441"/>
    </row>
    <row r="510" spans="15:17" s="387" customFormat="1">
      <c r="O510" s="441"/>
      <c r="P510" s="441"/>
      <c r="Q510" s="441"/>
    </row>
    <row r="511" spans="15:17" s="387" customFormat="1">
      <c r="O511" s="441"/>
      <c r="P511" s="441"/>
      <c r="Q511" s="441"/>
    </row>
    <row r="512" spans="15:17" s="387" customFormat="1">
      <c r="O512" s="441"/>
      <c r="P512" s="441"/>
      <c r="Q512" s="441"/>
    </row>
    <row r="513" spans="15:17" s="387" customFormat="1">
      <c r="O513" s="441"/>
      <c r="P513" s="441"/>
      <c r="Q513" s="441"/>
    </row>
    <row r="514" spans="15:17" s="387" customFormat="1">
      <c r="O514" s="441"/>
      <c r="P514" s="441"/>
      <c r="Q514" s="441"/>
    </row>
    <row r="515" spans="15:17" s="387" customFormat="1">
      <c r="O515" s="441"/>
      <c r="P515" s="441"/>
      <c r="Q515" s="441"/>
    </row>
    <row r="516" spans="15:17" s="387" customFormat="1">
      <c r="O516" s="441"/>
      <c r="P516" s="441"/>
      <c r="Q516" s="441"/>
    </row>
    <row r="517" spans="15:17" s="387" customFormat="1">
      <c r="O517" s="441"/>
      <c r="P517" s="441"/>
      <c r="Q517" s="441"/>
    </row>
    <row r="518" spans="15:17" s="387" customFormat="1">
      <c r="O518" s="441"/>
      <c r="P518" s="441"/>
      <c r="Q518" s="441"/>
    </row>
    <row r="519" spans="15:17" s="387" customFormat="1">
      <c r="O519" s="441"/>
      <c r="P519" s="441"/>
      <c r="Q519" s="441"/>
    </row>
    <row r="520" spans="15:17" s="387" customFormat="1">
      <c r="O520" s="441"/>
      <c r="P520" s="441"/>
      <c r="Q520" s="441"/>
    </row>
    <row r="521" spans="15:17" s="387" customFormat="1">
      <c r="O521" s="441"/>
      <c r="P521" s="441"/>
      <c r="Q521" s="441"/>
    </row>
    <row r="522" spans="15:17" s="387" customFormat="1">
      <c r="O522" s="441"/>
      <c r="P522" s="441"/>
      <c r="Q522" s="441"/>
    </row>
    <row r="523" spans="15:17" s="387" customFormat="1">
      <c r="O523" s="441"/>
      <c r="P523" s="441"/>
      <c r="Q523" s="441"/>
    </row>
    <row r="524" spans="15:17" s="387" customFormat="1">
      <c r="O524" s="441"/>
      <c r="P524" s="441"/>
      <c r="Q524" s="441"/>
    </row>
    <row r="525" spans="15:17" s="387" customFormat="1">
      <c r="O525" s="441"/>
      <c r="P525" s="441"/>
      <c r="Q525" s="441"/>
    </row>
    <row r="526" spans="15:17" s="387" customFormat="1">
      <c r="O526" s="441"/>
      <c r="P526" s="441"/>
      <c r="Q526" s="441"/>
    </row>
    <row r="527" spans="15:17" s="387" customFormat="1">
      <c r="O527" s="441"/>
      <c r="P527" s="441"/>
      <c r="Q527" s="441"/>
    </row>
    <row r="528" spans="15:17" s="387" customFormat="1">
      <c r="O528" s="441"/>
      <c r="P528" s="441"/>
      <c r="Q528" s="441"/>
    </row>
    <row r="529" spans="15:17" s="387" customFormat="1">
      <c r="O529" s="441"/>
      <c r="P529" s="441"/>
      <c r="Q529" s="441"/>
    </row>
    <row r="530" spans="15:17" s="387" customFormat="1">
      <c r="O530" s="441"/>
      <c r="P530" s="441"/>
      <c r="Q530" s="441"/>
    </row>
    <row r="531" spans="15:17" s="387" customFormat="1">
      <c r="O531" s="441"/>
      <c r="P531" s="441"/>
      <c r="Q531" s="441"/>
    </row>
    <row r="532" spans="15:17" s="387" customFormat="1">
      <c r="O532" s="441"/>
      <c r="P532" s="441"/>
      <c r="Q532" s="441"/>
    </row>
    <row r="533" spans="15:17" s="387" customFormat="1">
      <c r="O533" s="441"/>
      <c r="P533" s="441"/>
      <c r="Q533" s="441"/>
    </row>
    <row r="534" spans="15:17" s="387" customFormat="1">
      <c r="O534" s="441"/>
      <c r="P534" s="441"/>
      <c r="Q534" s="441"/>
    </row>
    <row r="535" spans="15:17" s="387" customFormat="1">
      <c r="O535" s="441"/>
      <c r="P535" s="441"/>
      <c r="Q535" s="441"/>
    </row>
    <row r="536" spans="15:17" s="387" customFormat="1">
      <c r="O536" s="441"/>
      <c r="P536" s="441"/>
      <c r="Q536" s="441"/>
    </row>
    <row r="537" spans="15:17" s="387" customFormat="1">
      <c r="O537" s="441"/>
      <c r="P537" s="441"/>
      <c r="Q537" s="441"/>
    </row>
    <row r="538" spans="15:17" s="387" customFormat="1">
      <c r="O538" s="441"/>
      <c r="P538" s="441"/>
      <c r="Q538" s="441"/>
    </row>
    <row r="539" spans="15:17" s="387" customFormat="1">
      <c r="O539" s="441"/>
      <c r="P539" s="441"/>
      <c r="Q539" s="441"/>
    </row>
    <row r="540" spans="15:17" s="387" customFormat="1">
      <c r="O540" s="441"/>
      <c r="P540" s="441"/>
      <c r="Q540" s="441"/>
    </row>
    <row r="541" spans="15:17" s="387" customFormat="1">
      <c r="O541" s="441"/>
      <c r="P541" s="441"/>
      <c r="Q541" s="441"/>
    </row>
    <row r="542" spans="15:17" s="387" customFormat="1">
      <c r="O542" s="441"/>
      <c r="P542" s="441"/>
      <c r="Q542" s="441"/>
    </row>
    <row r="543" spans="15:17" s="387" customFormat="1">
      <c r="O543" s="441"/>
      <c r="P543" s="441"/>
      <c r="Q543" s="441"/>
    </row>
    <row r="544" spans="15:17" s="387" customFormat="1">
      <c r="O544" s="441"/>
      <c r="P544" s="441"/>
      <c r="Q544" s="441"/>
    </row>
    <row r="545" spans="15:17" s="387" customFormat="1">
      <c r="O545" s="441"/>
      <c r="P545" s="441"/>
      <c r="Q545" s="441"/>
    </row>
    <row r="546" spans="15:17" s="387" customFormat="1">
      <c r="O546" s="441"/>
      <c r="P546" s="441"/>
      <c r="Q546" s="441"/>
    </row>
    <row r="547" spans="15:17" s="387" customFormat="1">
      <c r="O547" s="441"/>
      <c r="P547" s="441"/>
      <c r="Q547" s="441"/>
    </row>
    <row r="548" spans="15:17" s="387" customFormat="1">
      <c r="O548" s="441"/>
      <c r="P548" s="441"/>
      <c r="Q548" s="441"/>
    </row>
    <row r="549" spans="15:17" s="387" customFormat="1">
      <c r="O549" s="441"/>
      <c r="P549" s="441"/>
      <c r="Q549" s="441"/>
    </row>
    <row r="550" spans="15:17" s="387" customFormat="1">
      <c r="O550" s="441"/>
      <c r="P550" s="441"/>
      <c r="Q550" s="441"/>
    </row>
    <row r="551" spans="15:17" s="387" customFormat="1">
      <c r="O551" s="441"/>
      <c r="P551" s="441"/>
      <c r="Q551" s="441"/>
    </row>
    <row r="552" spans="15:17" s="387" customFormat="1">
      <c r="O552" s="441"/>
      <c r="P552" s="441"/>
      <c r="Q552" s="441"/>
    </row>
    <row r="553" spans="15:17" s="387" customFormat="1">
      <c r="O553" s="441"/>
      <c r="P553" s="441"/>
      <c r="Q553" s="441"/>
    </row>
    <row r="554" spans="15:17" s="387" customFormat="1">
      <c r="O554" s="441"/>
      <c r="P554" s="441"/>
      <c r="Q554" s="441"/>
    </row>
    <row r="555" spans="15:17" s="387" customFormat="1">
      <c r="O555" s="441"/>
      <c r="P555" s="441"/>
      <c r="Q555" s="441"/>
    </row>
    <row r="556" spans="15:17" s="387" customFormat="1">
      <c r="O556" s="441"/>
      <c r="P556" s="441"/>
      <c r="Q556" s="441"/>
    </row>
    <row r="557" spans="15:17" s="387" customFormat="1">
      <c r="O557" s="441"/>
      <c r="P557" s="441"/>
      <c r="Q557" s="441"/>
    </row>
    <row r="558" spans="15:17" s="387" customFormat="1">
      <c r="O558" s="441"/>
      <c r="P558" s="441"/>
      <c r="Q558" s="441"/>
    </row>
    <row r="559" spans="15:17" s="387" customFormat="1">
      <c r="O559" s="441"/>
      <c r="P559" s="441"/>
      <c r="Q559" s="441"/>
    </row>
    <row r="560" spans="15:17" s="387" customFormat="1">
      <c r="O560" s="441"/>
      <c r="P560" s="441"/>
      <c r="Q560" s="441"/>
    </row>
    <row r="561" spans="15:17" s="387" customFormat="1">
      <c r="O561" s="441"/>
      <c r="P561" s="441"/>
      <c r="Q561" s="441"/>
    </row>
    <row r="562" spans="15:17" s="387" customFormat="1">
      <c r="O562" s="441"/>
      <c r="P562" s="441"/>
      <c r="Q562" s="441"/>
    </row>
    <row r="563" spans="15:17" s="387" customFormat="1">
      <c r="O563" s="441"/>
      <c r="P563" s="441"/>
      <c r="Q563" s="441"/>
    </row>
    <row r="564" spans="15:17" s="387" customFormat="1">
      <c r="O564" s="441"/>
      <c r="P564" s="441"/>
      <c r="Q564" s="441"/>
    </row>
    <row r="565" spans="15:17" s="387" customFormat="1">
      <c r="O565" s="441"/>
      <c r="P565" s="441"/>
      <c r="Q565" s="441"/>
    </row>
    <row r="566" spans="15:17" s="387" customFormat="1">
      <c r="O566" s="441"/>
      <c r="P566" s="441"/>
      <c r="Q566" s="441"/>
    </row>
    <row r="567" spans="15:17" s="387" customFormat="1">
      <c r="O567" s="441"/>
      <c r="P567" s="441"/>
      <c r="Q567" s="441"/>
    </row>
    <row r="568" spans="15:17" s="387" customFormat="1">
      <c r="O568" s="441"/>
      <c r="P568" s="441"/>
      <c r="Q568" s="441"/>
    </row>
    <row r="569" spans="15:17" s="387" customFormat="1">
      <c r="O569" s="441"/>
      <c r="P569" s="441"/>
      <c r="Q569" s="441"/>
    </row>
    <row r="570" spans="15:17" s="387" customFormat="1">
      <c r="O570" s="441"/>
      <c r="P570" s="441"/>
      <c r="Q570" s="441"/>
    </row>
    <row r="571" spans="15:17" s="387" customFormat="1">
      <c r="O571" s="441"/>
      <c r="P571" s="441"/>
      <c r="Q571" s="441"/>
    </row>
    <row r="572" spans="15:17" s="387" customFormat="1">
      <c r="O572" s="441"/>
      <c r="P572" s="441"/>
      <c r="Q572" s="441"/>
    </row>
    <row r="573" spans="15:17" s="387" customFormat="1">
      <c r="O573" s="441"/>
      <c r="P573" s="441"/>
      <c r="Q573" s="441"/>
    </row>
    <row r="574" spans="15:17" s="387" customFormat="1">
      <c r="O574" s="441"/>
      <c r="P574" s="441"/>
      <c r="Q574" s="441"/>
    </row>
    <row r="575" spans="15:17" s="387" customFormat="1">
      <c r="O575" s="441"/>
      <c r="P575" s="441"/>
      <c r="Q575" s="441"/>
    </row>
    <row r="576" spans="15:17" s="387" customFormat="1">
      <c r="O576" s="441"/>
      <c r="P576" s="441"/>
      <c r="Q576" s="441"/>
    </row>
    <row r="577" spans="15:17" s="387" customFormat="1">
      <c r="O577" s="441"/>
      <c r="P577" s="441"/>
      <c r="Q577" s="441"/>
    </row>
    <row r="578" spans="15:17" s="387" customFormat="1">
      <c r="O578" s="441"/>
      <c r="P578" s="441"/>
      <c r="Q578" s="441"/>
    </row>
    <row r="579" spans="15:17" s="387" customFormat="1">
      <c r="O579" s="441"/>
      <c r="P579" s="441"/>
      <c r="Q579" s="441"/>
    </row>
    <row r="580" spans="15:17" s="387" customFormat="1">
      <c r="O580" s="441"/>
      <c r="P580" s="441"/>
      <c r="Q580" s="441"/>
    </row>
    <row r="581" spans="15:17" s="387" customFormat="1">
      <c r="O581" s="441"/>
      <c r="P581" s="441"/>
      <c r="Q581" s="441"/>
    </row>
    <row r="582" spans="15:17" s="387" customFormat="1">
      <c r="O582" s="441"/>
      <c r="P582" s="441"/>
      <c r="Q582" s="441"/>
    </row>
    <row r="583" spans="15:17" s="387" customFormat="1">
      <c r="O583" s="441"/>
      <c r="P583" s="441"/>
      <c r="Q583" s="441"/>
    </row>
    <row r="584" spans="15:17" s="387" customFormat="1">
      <c r="O584" s="441"/>
      <c r="P584" s="441"/>
      <c r="Q584" s="441"/>
    </row>
    <row r="585" spans="15:17" s="387" customFormat="1">
      <c r="O585" s="441"/>
      <c r="P585" s="441"/>
      <c r="Q585" s="441"/>
    </row>
    <row r="586" spans="15:17" s="387" customFormat="1">
      <c r="O586" s="441"/>
      <c r="P586" s="441"/>
      <c r="Q586" s="441"/>
    </row>
    <row r="587" spans="15:17" s="387" customFormat="1">
      <c r="O587" s="441"/>
      <c r="P587" s="441"/>
      <c r="Q587" s="441"/>
    </row>
    <row r="588" spans="15:17" s="387" customFormat="1">
      <c r="O588" s="441"/>
      <c r="P588" s="441"/>
      <c r="Q588" s="441"/>
    </row>
    <row r="589" spans="15:17" s="387" customFormat="1">
      <c r="O589" s="441"/>
      <c r="P589" s="441"/>
      <c r="Q589" s="441"/>
    </row>
    <row r="590" spans="15:17" s="387" customFormat="1">
      <c r="O590" s="441"/>
      <c r="P590" s="441"/>
      <c r="Q590" s="441"/>
    </row>
    <row r="591" spans="15:17" s="387" customFormat="1">
      <c r="O591" s="441"/>
      <c r="P591" s="441"/>
      <c r="Q591" s="441"/>
    </row>
    <row r="592" spans="15:17" s="387" customFormat="1">
      <c r="O592" s="441"/>
      <c r="P592" s="441"/>
      <c r="Q592" s="441"/>
    </row>
    <row r="593" spans="15:17" s="387" customFormat="1">
      <c r="O593" s="441"/>
      <c r="P593" s="441"/>
      <c r="Q593" s="441"/>
    </row>
    <row r="594" spans="15:17" s="387" customFormat="1">
      <c r="O594" s="441"/>
      <c r="P594" s="441"/>
      <c r="Q594" s="441"/>
    </row>
    <row r="595" spans="15:17" s="387" customFormat="1">
      <c r="O595" s="441"/>
      <c r="P595" s="441"/>
      <c r="Q595" s="441"/>
    </row>
    <row r="596" spans="15:17" s="387" customFormat="1">
      <c r="O596" s="441"/>
      <c r="P596" s="441"/>
      <c r="Q596" s="441"/>
    </row>
    <row r="597" spans="15:17" s="387" customFormat="1">
      <c r="O597" s="441"/>
      <c r="P597" s="441"/>
      <c r="Q597" s="441"/>
    </row>
    <row r="598" spans="15:17" s="387" customFormat="1">
      <c r="O598" s="441"/>
      <c r="P598" s="441"/>
      <c r="Q598" s="441"/>
    </row>
    <row r="599" spans="15:17" s="387" customFormat="1">
      <c r="O599" s="441"/>
      <c r="P599" s="441"/>
      <c r="Q599" s="441"/>
    </row>
    <row r="600" spans="15:17" s="387" customFormat="1">
      <c r="O600" s="441"/>
      <c r="P600" s="441"/>
      <c r="Q600" s="441"/>
    </row>
    <row r="601" spans="15:17" s="387" customFormat="1">
      <c r="O601" s="441"/>
      <c r="P601" s="441"/>
      <c r="Q601" s="441"/>
    </row>
    <row r="602" spans="15:17" s="387" customFormat="1">
      <c r="O602" s="441"/>
      <c r="P602" s="441"/>
      <c r="Q602" s="441"/>
    </row>
    <row r="603" spans="15:17" s="387" customFormat="1">
      <c r="O603" s="441"/>
      <c r="P603" s="441"/>
      <c r="Q603" s="441"/>
    </row>
    <row r="604" spans="15:17" s="387" customFormat="1">
      <c r="O604" s="441"/>
      <c r="P604" s="441"/>
      <c r="Q604" s="441"/>
    </row>
    <row r="605" spans="15:17" s="387" customFormat="1">
      <c r="O605" s="441"/>
      <c r="P605" s="441"/>
      <c r="Q605" s="441"/>
    </row>
    <row r="606" spans="15:17" s="387" customFormat="1">
      <c r="O606" s="441"/>
      <c r="P606" s="441"/>
      <c r="Q606" s="441"/>
    </row>
    <row r="607" spans="15:17" s="387" customFormat="1">
      <c r="O607" s="441"/>
      <c r="P607" s="441"/>
      <c r="Q607" s="441"/>
    </row>
    <row r="608" spans="15:17" s="387" customFormat="1">
      <c r="O608" s="441"/>
      <c r="P608" s="441"/>
      <c r="Q608" s="441"/>
    </row>
    <row r="609" spans="15:17" s="387" customFormat="1">
      <c r="O609" s="441"/>
      <c r="P609" s="441"/>
      <c r="Q609" s="441"/>
    </row>
    <row r="610" spans="15:17" s="387" customFormat="1">
      <c r="O610" s="441"/>
      <c r="P610" s="441"/>
      <c r="Q610" s="441"/>
    </row>
    <row r="611" spans="15:17" s="387" customFormat="1">
      <c r="O611" s="441"/>
      <c r="P611" s="441"/>
      <c r="Q611" s="441"/>
    </row>
    <row r="612" spans="15:17" s="387" customFormat="1">
      <c r="O612" s="441"/>
      <c r="P612" s="441"/>
      <c r="Q612" s="441"/>
    </row>
    <row r="613" spans="15:17" s="387" customFormat="1">
      <c r="O613" s="441"/>
      <c r="P613" s="441"/>
      <c r="Q613" s="441"/>
    </row>
    <row r="614" spans="15:17" s="387" customFormat="1">
      <c r="O614" s="441"/>
      <c r="P614" s="441"/>
      <c r="Q614" s="441"/>
    </row>
    <row r="615" spans="15:17" s="387" customFormat="1">
      <c r="O615" s="441"/>
      <c r="P615" s="441"/>
      <c r="Q615" s="441"/>
    </row>
    <row r="616" spans="15:17" s="387" customFormat="1">
      <c r="O616" s="441"/>
      <c r="P616" s="441"/>
      <c r="Q616" s="441"/>
    </row>
    <row r="617" spans="15:17" s="387" customFormat="1">
      <c r="O617" s="441"/>
      <c r="P617" s="441"/>
      <c r="Q617" s="441"/>
    </row>
    <row r="618" spans="15:17" s="387" customFormat="1">
      <c r="O618" s="441"/>
      <c r="P618" s="441"/>
      <c r="Q618" s="441"/>
    </row>
    <row r="619" spans="15:17" s="387" customFormat="1">
      <c r="O619" s="441"/>
      <c r="P619" s="441"/>
      <c r="Q619" s="441"/>
    </row>
    <row r="620" spans="15:17" s="387" customFormat="1">
      <c r="O620" s="441"/>
      <c r="P620" s="441"/>
      <c r="Q620" s="441"/>
    </row>
    <row r="621" spans="15:17" s="387" customFormat="1">
      <c r="O621" s="441"/>
      <c r="P621" s="441"/>
      <c r="Q621" s="441"/>
    </row>
    <row r="622" spans="15:17" s="387" customFormat="1">
      <c r="O622" s="441"/>
      <c r="P622" s="441"/>
      <c r="Q622" s="441"/>
    </row>
    <row r="623" spans="15:17" s="387" customFormat="1">
      <c r="O623" s="441"/>
      <c r="P623" s="441"/>
      <c r="Q623" s="441"/>
    </row>
    <row r="624" spans="15:17" s="387" customFormat="1">
      <c r="O624" s="441"/>
      <c r="P624" s="441"/>
      <c r="Q624" s="441"/>
    </row>
    <row r="625" spans="15:17" s="387" customFormat="1">
      <c r="O625" s="441"/>
      <c r="P625" s="441"/>
      <c r="Q625" s="441"/>
    </row>
    <row r="626" spans="15:17" s="387" customFormat="1">
      <c r="O626" s="441"/>
      <c r="P626" s="441"/>
      <c r="Q626" s="441"/>
    </row>
    <row r="627" spans="15:17" s="387" customFormat="1">
      <c r="O627" s="441"/>
      <c r="P627" s="441"/>
      <c r="Q627" s="441"/>
    </row>
    <row r="628" spans="15:17" s="387" customFormat="1">
      <c r="O628" s="441"/>
      <c r="P628" s="441"/>
      <c r="Q628" s="441"/>
    </row>
    <row r="629" spans="15:17" s="387" customFormat="1">
      <c r="O629" s="441"/>
      <c r="P629" s="441"/>
      <c r="Q629" s="441"/>
    </row>
    <row r="630" spans="15:17" s="387" customFormat="1">
      <c r="O630" s="441"/>
      <c r="P630" s="441"/>
      <c r="Q630" s="441"/>
    </row>
    <row r="631" spans="15:17" s="387" customFormat="1">
      <c r="O631" s="441"/>
      <c r="P631" s="441"/>
      <c r="Q631" s="441"/>
    </row>
    <row r="632" spans="15:17" s="387" customFormat="1">
      <c r="O632" s="441"/>
      <c r="P632" s="441"/>
      <c r="Q632" s="441"/>
    </row>
    <row r="633" spans="15:17" s="387" customFormat="1">
      <c r="O633" s="441"/>
      <c r="P633" s="441"/>
      <c r="Q633" s="441"/>
    </row>
    <row r="634" spans="15:17" s="387" customFormat="1">
      <c r="O634" s="441"/>
      <c r="P634" s="441"/>
      <c r="Q634" s="441"/>
    </row>
    <row r="635" spans="15:17" s="387" customFormat="1">
      <c r="O635" s="441"/>
      <c r="P635" s="441"/>
      <c r="Q635" s="441"/>
    </row>
    <row r="636" spans="15:17" s="387" customFormat="1">
      <c r="O636" s="441"/>
      <c r="P636" s="441"/>
      <c r="Q636" s="441"/>
    </row>
    <row r="637" spans="15:17" s="387" customFormat="1">
      <c r="O637" s="441"/>
      <c r="P637" s="441"/>
      <c r="Q637" s="441"/>
    </row>
    <row r="638" spans="15:17" s="387" customFormat="1">
      <c r="O638" s="441"/>
      <c r="P638" s="441"/>
      <c r="Q638" s="441"/>
    </row>
    <row r="639" spans="15:17" s="387" customFormat="1">
      <c r="O639" s="441"/>
      <c r="P639" s="441"/>
      <c r="Q639" s="441"/>
    </row>
    <row r="640" spans="15:17" s="387" customFormat="1">
      <c r="O640" s="441"/>
      <c r="P640" s="441"/>
      <c r="Q640" s="441"/>
    </row>
    <row r="641" spans="15:17" s="387" customFormat="1">
      <c r="O641" s="441"/>
      <c r="P641" s="441"/>
      <c r="Q641" s="441"/>
    </row>
    <row r="642" spans="15:17" s="387" customFormat="1">
      <c r="O642" s="441"/>
      <c r="P642" s="441"/>
      <c r="Q642" s="441"/>
    </row>
    <row r="643" spans="15:17" s="387" customFormat="1">
      <c r="O643" s="441"/>
      <c r="P643" s="441"/>
      <c r="Q643" s="441"/>
    </row>
    <row r="644" spans="15:17" s="387" customFormat="1">
      <c r="O644" s="441"/>
      <c r="P644" s="441"/>
      <c r="Q644" s="441"/>
    </row>
    <row r="645" spans="15:17" s="387" customFormat="1">
      <c r="O645" s="441"/>
      <c r="P645" s="441"/>
      <c r="Q645" s="441"/>
    </row>
    <row r="646" spans="15:17" s="387" customFormat="1">
      <c r="O646" s="441"/>
      <c r="P646" s="441"/>
      <c r="Q646" s="441"/>
    </row>
    <row r="647" spans="15:17" s="387" customFormat="1">
      <c r="O647" s="441"/>
      <c r="P647" s="441"/>
      <c r="Q647" s="441"/>
    </row>
    <row r="648" spans="15:17" s="387" customFormat="1">
      <c r="O648" s="441"/>
      <c r="P648" s="441"/>
      <c r="Q648" s="441"/>
    </row>
    <row r="649" spans="15:17" s="387" customFormat="1">
      <c r="O649" s="441"/>
      <c r="P649" s="441"/>
      <c r="Q649" s="441"/>
    </row>
    <row r="650" spans="15:17" s="387" customFormat="1">
      <c r="O650" s="441"/>
      <c r="P650" s="441"/>
      <c r="Q650" s="441"/>
    </row>
    <row r="651" spans="15:17" s="387" customFormat="1">
      <c r="O651" s="441"/>
      <c r="P651" s="441"/>
      <c r="Q651" s="441"/>
    </row>
    <row r="652" spans="15:17" s="387" customFormat="1">
      <c r="O652" s="441"/>
      <c r="P652" s="441"/>
      <c r="Q652" s="441"/>
    </row>
    <row r="653" spans="15:17" s="387" customFormat="1">
      <c r="O653" s="441"/>
      <c r="P653" s="441"/>
      <c r="Q653" s="441"/>
    </row>
    <row r="654" spans="15:17" s="387" customFormat="1">
      <c r="O654" s="441"/>
      <c r="P654" s="441"/>
      <c r="Q654" s="441"/>
    </row>
    <row r="655" spans="15:17" s="387" customFormat="1">
      <c r="O655" s="441"/>
      <c r="P655" s="441"/>
      <c r="Q655" s="441"/>
    </row>
    <row r="656" spans="15:17" s="387" customFormat="1">
      <c r="O656" s="441"/>
      <c r="P656" s="441"/>
      <c r="Q656" s="441"/>
    </row>
    <row r="657" spans="15:17" s="387" customFormat="1">
      <c r="O657" s="441"/>
      <c r="P657" s="441"/>
      <c r="Q657" s="441"/>
    </row>
    <row r="658" spans="15:17" s="387" customFormat="1">
      <c r="O658" s="441"/>
      <c r="P658" s="441"/>
      <c r="Q658" s="441"/>
    </row>
    <row r="659" spans="15:17" s="387" customFormat="1">
      <c r="O659" s="441"/>
      <c r="P659" s="441"/>
      <c r="Q659" s="441"/>
    </row>
    <row r="660" spans="15:17" s="387" customFormat="1">
      <c r="O660" s="441"/>
      <c r="P660" s="441"/>
      <c r="Q660" s="441"/>
    </row>
    <row r="661" spans="15:17" s="387" customFormat="1">
      <c r="O661" s="441"/>
      <c r="P661" s="441"/>
      <c r="Q661" s="441"/>
    </row>
    <row r="662" spans="15:17" s="387" customFormat="1">
      <c r="O662" s="441"/>
      <c r="P662" s="441"/>
      <c r="Q662" s="441"/>
    </row>
    <row r="663" spans="15:17" s="387" customFormat="1">
      <c r="O663" s="441"/>
      <c r="P663" s="441"/>
      <c r="Q663" s="441"/>
    </row>
    <row r="664" spans="15:17" s="387" customFormat="1">
      <c r="O664" s="441"/>
      <c r="P664" s="441"/>
      <c r="Q664" s="441"/>
    </row>
    <row r="665" spans="15:17" s="387" customFormat="1">
      <c r="O665" s="441"/>
      <c r="P665" s="441"/>
      <c r="Q665" s="441"/>
    </row>
    <row r="666" spans="15:17" s="387" customFormat="1">
      <c r="O666" s="441"/>
      <c r="P666" s="441"/>
      <c r="Q666" s="441"/>
    </row>
    <row r="667" spans="15:17" s="387" customFormat="1">
      <c r="O667" s="441"/>
      <c r="P667" s="441"/>
      <c r="Q667" s="441"/>
    </row>
    <row r="668" spans="15:17" s="387" customFormat="1">
      <c r="O668" s="441"/>
      <c r="P668" s="441"/>
      <c r="Q668" s="441"/>
    </row>
    <row r="669" spans="15:17" s="387" customFormat="1">
      <c r="O669" s="441"/>
      <c r="P669" s="441"/>
      <c r="Q669" s="441"/>
    </row>
    <row r="670" spans="15:17" s="387" customFormat="1">
      <c r="O670" s="441"/>
      <c r="P670" s="441"/>
      <c r="Q670" s="441"/>
    </row>
    <row r="671" spans="15:17" s="387" customFormat="1">
      <c r="O671" s="441"/>
      <c r="P671" s="441"/>
      <c r="Q671" s="441"/>
    </row>
    <row r="672" spans="15:17" s="387" customFormat="1">
      <c r="O672" s="441"/>
      <c r="P672" s="441"/>
      <c r="Q672" s="441"/>
    </row>
    <row r="673" spans="15:17" s="387" customFormat="1">
      <c r="O673" s="441"/>
      <c r="P673" s="441"/>
      <c r="Q673" s="441"/>
    </row>
    <row r="674" spans="15:17" s="387" customFormat="1">
      <c r="O674" s="441"/>
      <c r="P674" s="441"/>
      <c r="Q674" s="441"/>
    </row>
    <row r="675" spans="15:17" s="387" customFormat="1">
      <c r="O675" s="441"/>
      <c r="P675" s="441"/>
      <c r="Q675" s="441"/>
    </row>
    <row r="676" spans="15:17" s="387" customFormat="1">
      <c r="O676" s="441"/>
      <c r="P676" s="441"/>
      <c r="Q676" s="441"/>
    </row>
    <row r="677" spans="15:17" s="387" customFormat="1">
      <c r="O677" s="441"/>
      <c r="P677" s="441"/>
      <c r="Q677" s="441"/>
    </row>
    <row r="678" spans="15:17" s="387" customFormat="1">
      <c r="O678" s="441"/>
      <c r="P678" s="441"/>
      <c r="Q678" s="441"/>
    </row>
    <row r="679" spans="15:17" s="387" customFormat="1">
      <c r="O679" s="441"/>
      <c r="P679" s="441"/>
      <c r="Q679" s="441"/>
    </row>
    <row r="680" spans="15:17" s="387" customFormat="1">
      <c r="O680" s="441"/>
      <c r="P680" s="441"/>
      <c r="Q680" s="441"/>
    </row>
    <row r="681" spans="15:17" s="387" customFormat="1">
      <c r="O681" s="441"/>
      <c r="P681" s="441"/>
      <c r="Q681" s="441"/>
    </row>
    <row r="682" spans="15:17" s="387" customFormat="1">
      <c r="O682" s="441"/>
      <c r="P682" s="441"/>
      <c r="Q682" s="441"/>
    </row>
    <row r="683" spans="15:17" s="387" customFormat="1">
      <c r="O683" s="441"/>
      <c r="P683" s="441"/>
      <c r="Q683" s="441"/>
    </row>
    <row r="684" spans="15:17" s="387" customFormat="1">
      <c r="O684" s="441"/>
      <c r="P684" s="441"/>
      <c r="Q684" s="441"/>
    </row>
    <row r="685" spans="15:17" s="387" customFormat="1">
      <c r="O685" s="441"/>
      <c r="P685" s="441"/>
      <c r="Q685" s="441"/>
    </row>
    <row r="686" spans="15:17" s="387" customFormat="1">
      <c r="O686" s="441"/>
      <c r="P686" s="441"/>
      <c r="Q686" s="441"/>
    </row>
    <row r="687" spans="15:17" s="387" customFormat="1">
      <c r="O687" s="441"/>
      <c r="P687" s="441"/>
      <c r="Q687" s="441"/>
    </row>
    <row r="688" spans="15:17" s="387" customFormat="1">
      <c r="O688" s="441"/>
      <c r="P688" s="441"/>
      <c r="Q688" s="441"/>
    </row>
    <row r="689" spans="15:17" s="387" customFormat="1">
      <c r="O689" s="441"/>
      <c r="P689" s="441"/>
      <c r="Q689" s="441"/>
    </row>
    <row r="690" spans="15:17" s="387" customFormat="1">
      <c r="O690" s="441"/>
      <c r="P690" s="441"/>
      <c r="Q690" s="441"/>
    </row>
    <row r="691" spans="15:17" s="387" customFormat="1">
      <c r="O691" s="441"/>
      <c r="P691" s="441"/>
      <c r="Q691" s="441"/>
    </row>
    <row r="692" spans="15:17" s="387" customFormat="1">
      <c r="O692" s="441"/>
      <c r="P692" s="441"/>
      <c r="Q692" s="441"/>
    </row>
    <row r="693" spans="15:17" s="387" customFormat="1">
      <c r="O693" s="441"/>
      <c r="P693" s="441"/>
      <c r="Q693" s="441"/>
    </row>
    <row r="694" spans="15:17" s="387" customFormat="1">
      <c r="O694" s="441"/>
      <c r="P694" s="441"/>
      <c r="Q694" s="441"/>
    </row>
    <row r="695" spans="15:17" s="387" customFormat="1">
      <c r="O695" s="441"/>
      <c r="P695" s="441"/>
      <c r="Q695" s="441"/>
    </row>
    <row r="696" spans="15:17" s="387" customFormat="1">
      <c r="O696" s="441"/>
      <c r="P696" s="441"/>
      <c r="Q696" s="441"/>
    </row>
    <row r="697" spans="15:17" s="387" customFormat="1">
      <c r="O697" s="441"/>
      <c r="P697" s="441"/>
      <c r="Q697" s="441"/>
    </row>
    <row r="698" spans="15:17" s="387" customFormat="1">
      <c r="O698" s="441"/>
      <c r="P698" s="441"/>
      <c r="Q698" s="441"/>
    </row>
    <row r="699" spans="15:17" s="387" customFormat="1">
      <c r="O699" s="441"/>
      <c r="P699" s="441"/>
      <c r="Q699" s="441"/>
    </row>
    <row r="700" spans="15:17" s="387" customFormat="1">
      <c r="O700" s="441"/>
      <c r="P700" s="441"/>
      <c r="Q700" s="441"/>
    </row>
    <row r="701" spans="15:17" s="387" customFormat="1">
      <c r="O701" s="441"/>
      <c r="P701" s="441"/>
      <c r="Q701" s="441"/>
    </row>
    <row r="702" spans="15:17" s="387" customFormat="1">
      <c r="O702" s="441"/>
      <c r="P702" s="441"/>
      <c r="Q702" s="441"/>
    </row>
    <row r="703" spans="15:17" s="387" customFormat="1">
      <c r="O703" s="441"/>
      <c r="P703" s="441"/>
      <c r="Q703" s="441"/>
    </row>
    <row r="704" spans="15:17" s="387" customFormat="1">
      <c r="O704" s="441"/>
      <c r="P704" s="441"/>
      <c r="Q704" s="441"/>
    </row>
    <row r="705" spans="15:17" s="387" customFormat="1">
      <c r="O705" s="441"/>
      <c r="P705" s="441"/>
      <c r="Q705" s="441"/>
    </row>
    <row r="706" spans="15:17" s="387" customFormat="1">
      <c r="O706" s="441"/>
      <c r="P706" s="441"/>
      <c r="Q706" s="441"/>
    </row>
    <row r="707" spans="15:17" s="387" customFormat="1">
      <c r="O707" s="441"/>
      <c r="P707" s="441"/>
      <c r="Q707" s="441"/>
    </row>
    <row r="708" spans="15:17" s="387" customFormat="1">
      <c r="O708" s="441"/>
      <c r="P708" s="441"/>
      <c r="Q708" s="441"/>
    </row>
    <row r="709" spans="15:17" s="387" customFormat="1">
      <c r="O709" s="441"/>
      <c r="P709" s="441"/>
      <c r="Q709" s="441"/>
    </row>
    <row r="710" spans="15:17" s="387" customFormat="1">
      <c r="O710" s="441"/>
      <c r="P710" s="441"/>
      <c r="Q710" s="441"/>
    </row>
    <row r="711" spans="15:17" s="387" customFormat="1">
      <c r="O711" s="441"/>
      <c r="P711" s="441"/>
      <c r="Q711" s="441"/>
    </row>
    <row r="712" spans="15:17" s="387" customFormat="1">
      <c r="O712" s="441"/>
      <c r="P712" s="441"/>
      <c r="Q712" s="441"/>
    </row>
    <row r="713" spans="15:17" s="387" customFormat="1">
      <c r="O713" s="441"/>
      <c r="P713" s="441"/>
      <c r="Q713" s="441"/>
    </row>
    <row r="714" spans="15:17" s="387" customFormat="1">
      <c r="O714" s="441"/>
      <c r="P714" s="441"/>
      <c r="Q714" s="441"/>
    </row>
    <row r="715" spans="15:17" s="387" customFormat="1">
      <c r="O715" s="441"/>
      <c r="P715" s="441"/>
      <c r="Q715" s="441"/>
    </row>
    <row r="716" spans="15:17" s="387" customFormat="1">
      <c r="O716" s="441"/>
      <c r="P716" s="441"/>
      <c r="Q716" s="441"/>
    </row>
    <row r="717" spans="15:17" s="387" customFormat="1">
      <c r="O717" s="441"/>
      <c r="P717" s="441"/>
      <c r="Q717" s="441"/>
    </row>
    <row r="718" spans="15:17" s="387" customFormat="1">
      <c r="O718" s="441"/>
      <c r="P718" s="441"/>
      <c r="Q718" s="441"/>
    </row>
    <row r="719" spans="15:17" s="387" customFormat="1">
      <c r="O719" s="441"/>
      <c r="P719" s="441"/>
      <c r="Q719" s="441"/>
    </row>
    <row r="720" spans="15:17" s="387" customFormat="1">
      <c r="O720" s="441"/>
      <c r="P720" s="441"/>
      <c r="Q720" s="441"/>
    </row>
    <row r="721" spans="15:17" s="387" customFormat="1">
      <c r="O721" s="441"/>
      <c r="P721" s="441"/>
      <c r="Q721" s="441"/>
    </row>
    <row r="722" spans="15:17" s="387" customFormat="1">
      <c r="O722" s="441"/>
      <c r="P722" s="441"/>
      <c r="Q722" s="441"/>
    </row>
    <row r="723" spans="15:17" s="387" customFormat="1">
      <c r="O723" s="441"/>
      <c r="P723" s="441"/>
      <c r="Q723" s="441"/>
    </row>
    <row r="724" spans="15:17" s="387" customFormat="1">
      <c r="O724" s="441"/>
      <c r="P724" s="441"/>
      <c r="Q724" s="441"/>
    </row>
    <row r="725" spans="15:17" s="387" customFormat="1">
      <c r="O725" s="441"/>
      <c r="P725" s="441"/>
      <c r="Q725" s="441"/>
    </row>
    <row r="726" spans="15:17" s="387" customFormat="1">
      <c r="O726" s="441"/>
      <c r="P726" s="441"/>
      <c r="Q726" s="441"/>
    </row>
    <row r="727" spans="15:17" s="387" customFormat="1">
      <c r="O727" s="441"/>
      <c r="P727" s="441"/>
      <c r="Q727" s="441"/>
    </row>
    <row r="728" spans="15:17" s="387" customFormat="1">
      <c r="O728" s="441"/>
      <c r="P728" s="441"/>
      <c r="Q728" s="441"/>
    </row>
    <row r="729" spans="15:17" s="387" customFormat="1">
      <c r="O729" s="441"/>
      <c r="P729" s="441"/>
      <c r="Q729" s="441"/>
    </row>
    <row r="730" spans="15:17" s="387" customFormat="1">
      <c r="O730" s="441"/>
      <c r="P730" s="441"/>
      <c r="Q730" s="441"/>
    </row>
    <row r="731" spans="15:17" s="387" customFormat="1">
      <c r="O731" s="441"/>
      <c r="P731" s="441"/>
      <c r="Q731" s="441"/>
    </row>
    <row r="732" spans="15:17" s="387" customFormat="1">
      <c r="O732" s="441"/>
      <c r="P732" s="441"/>
      <c r="Q732" s="441"/>
    </row>
    <row r="733" spans="15:17" s="387" customFormat="1">
      <c r="O733" s="441"/>
      <c r="P733" s="441"/>
      <c r="Q733" s="441"/>
    </row>
    <row r="734" spans="15:17" s="387" customFormat="1">
      <c r="O734" s="441"/>
      <c r="P734" s="441"/>
      <c r="Q734" s="441"/>
    </row>
    <row r="735" spans="15:17" s="387" customFormat="1">
      <c r="O735" s="441"/>
      <c r="P735" s="441"/>
      <c r="Q735" s="441"/>
    </row>
    <row r="736" spans="15:17" s="387" customFormat="1">
      <c r="O736" s="441"/>
      <c r="P736" s="441"/>
      <c r="Q736" s="441"/>
    </row>
    <row r="737" spans="15:17" s="387" customFormat="1">
      <c r="O737" s="441"/>
      <c r="P737" s="441"/>
      <c r="Q737" s="441"/>
    </row>
    <row r="738" spans="15:17" s="387" customFormat="1">
      <c r="O738" s="441"/>
      <c r="P738" s="441"/>
      <c r="Q738" s="441"/>
    </row>
    <row r="739" spans="15:17" s="387" customFormat="1">
      <c r="O739" s="441"/>
      <c r="P739" s="441"/>
      <c r="Q739" s="441"/>
    </row>
    <row r="740" spans="15:17" s="387" customFormat="1">
      <c r="O740" s="441"/>
      <c r="P740" s="441"/>
      <c r="Q740" s="441"/>
    </row>
    <row r="741" spans="15:17" s="387" customFormat="1">
      <c r="O741" s="441"/>
      <c r="P741" s="441"/>
      <c r="Q741" s="441"/>
    </row>
    <row r="742" spans="15:17" s="387" customFormat="1">
      <c r="O742" s="441"/>
      <c r="P742" s="441"/>
      <c r="Q742" s="441"/>
    </row>
    <row r="743" spans="15:17" s="387" customFormat="1">
      <c r="O743" s="441"/>
      <c r="P743" s="441"/>
      <c r="Q743" s="441"/>
    </row>
    <row r="744" spans="15:17" s="387" customFormat="1">
      <c r="O744" s="441"/>
      <c r="P744" s="441"/>
      <c r="Q744" s="441"/>
    </row>
    <row r="745" spans="15:17" s="387" customFormat="1">
      <c r="O745" s="441"/>
      <c r="P745" s="441"/>
      <c r="Q745" s="441"/>
    </row>
    <row r="746" spans="15:17" s="387" customFormat="1">
      <c r="O746" s="441"/>
      <c r="P746" s="441"/>
      <c r="Q746" s="441"/>
    </row>
    <row r="747" spans="15:17" s="387" customFormat="1">
      <c r="O747" s="441"/>
      <c r="P747" s="441"/>
      <c r="Q747" s="441"/>
    </row>
    <row r="748" spans="15:17" s="387" customFormat="1">
      <c r="O748" s="441"/>
      <c r="P748" s="441"/>
      <c r="Q748" s="441"/>
    </row>
    <row r="749" spans="15:17" s="387" customFormat="1">
      <c r="O749" s="441"/>
      <c r="P749" s="441"/>
      <c r="Q749" s="441"/>
    </row>
    <row r="750" spans="15:17" s="387" customFormat="1">
      <c r="O750" s="441"/>
      <c r="P750" s="441"/>
      <c r="Q750" s="441"/>
    </row>
    <row r="751" spans="15:17" s="387" customFormat="1">
      <c r="O751" s="441"/>
      <c r="P751" s="441"/>
      <c r="Q751" s="441"/>
    </row>
    <row r="752" spans="15:17" s="387" customFormat="1">
      <c r="O752" s="441"/>
      <c r="P752" s="441"/>
      <c r="Q752" s="441"/>
    </row>
    <row r="753" spans="15:17" s="387" customFormat="1">
      <c r="O753" s="441"/>
      <c r="P753" s="441"/>
      <c r="Q753" s="441"/>
    </row>
    <row r="754" spans="15:17" s="387" customFormat="1">
      <c r="O754" s="441"/>
      <c r="P754" s="441"/>
      <c r="Q754" s="441"/>
    </row>
    <row r="755" spans="15:17" s="387" customFormat="1">
      <c r="O755" s="441"/>
      <c r="P755" s="441"/>
      <c r="Q755" s="441"/>
    </row>
    <row r="756" spans="15:17" s="387" customFormat="1">
      <c r="O756" s="441"/>
      <c r="P756" s="441"/>
      <c r="Q756" s="441"/>
    </row>
    <row r="757" spans="15:17" s="387" customFormat="1">
      <c r="O757" s="441"/>
      <c r="P757" s="441"/>
      <c r="Q757" s="441"/>
    </row>
    <row r="758" spans="15:17" s="387" customFormat="1">
      <c r="O758" s="441"/>
      <c r="P758" s="441"/>
      <c r="Q758" s="441"/>
    </row>
    <row r="759" spans="15:17" s="387" customFormat="1">
      <c r="O759" s="441"/>
      <c r="P759" s="441"/>
      <c r="Q759" s="441"/>
    </row>
    <row r="760" spans="15:17" s="387" customFormat="1">
      <c r="O760" s="441"/>
      <c r="P760" s="441"/>
      <c r="Q760" s="441"/>
    </row>
    <row r="761" spans="15:17" s="387" customFormat="1">
      <c r="O761" s="441"/>
      <c r="P761" s="441"/>
      <c r="Q761" s="441"/>
    </row>
    <row r="762" spans="15:17" s="387" customFormat="1">
      <c r="O762" s="441"/>
      <c r="P762" s="441"/>
      <c r="Q762" s="441"/>
    </row>
    <row r="763" spans="15:17" s="387" customFormat="1">
      <c r="O763" s="441"/>
      <c r="P763" s="441"/>
      <c r="Q763" s="441"/>
    </row>
    <row r="764" spans="15:17" s="387" customFormat="1">
      <c r="O764" s="441"/>
      <c r="P764" s="441"/>
      <c r="Q764" s="441"/>
    </row>
    <row r="765" spans="15:17" s="387" customFormat="1">
      <c r="O765" s="441"/>
      <c r="P765" s="441"/>
      <c r="Q765" s="441"/>
    </row>
    <row r="766" spans="15:17" s="387" customFormat="1">
      <c r="O766" s="441"/>
      <c r="P766" s="441"/>
      <c r="Q766" s="441"/>
    </row>
    <row r="767" spans="15:17" s="387" customFormat="1">
      <c r="O767" s="441"/>
      <c r="P767" s="441"/>
      <c r="Q767" s="441"/>
    </row>
    <row r="768" spans="15:17" s="387" customFormat="1">
      <c r="O768" s="441"/>
      <c r="P768" s="441"/>
      <c r="Q768" s="441"/>
    </row>
    <row r="769" spans="15:17" s="387" customFormat="1">
      <c r="O769" s="441"/>
      <c r="P769" s="441"/>
      <c r="Q769" s="441"/>
    </row>
    <row r="770" spans="15:17" s="387" customFormat="1">
      <c r="O770" s="441"/>
      <c r="P770" s="441"/>
      <c r="Q770" s="441"/>
    </row>
    <row r="771" spans="15:17" s="387" customFormat="1">
      <c r="O771" s="441"/>
      <c r="P771" s="441"/>
      <c r="Q771" s="441"/>
    </row>
    <row r="772" spans="15:17" s="387" customFormat="1">
      <c r="O772" s="441"/>
      <c r="P772" s="441"/>
      <c r="Q772" s="441"/>
    </row>
    <row r="773" spans="15:17" s="387" customFormat="1">
      <c r="O773" s="441"/>
      <c r="P773" s="441"/>
      <c r="Q773" s="441"/>
    </row>
    <row r="774" spans="15:17" s="387" customFormat="1">
      <c r="O774" s="441"/>
      <c r="P774" s="441"/>
      <c r="Q774" s="441"/>
    </row>
    <row r="775" spans="15:17" s="387" customFormat="1">
      <c r="O775" s="441"/>
      <c r="P775" s="441"/>
      <c r="Q775" s="441"/>
    </row>
    <row r="776" spans="15:17" s="387" customFormat="1">
      <c r="O776" s="441"/>
      <c r="P776" s="441"/>
      <c r="Q776" s="441"/>
    </row>
    <row r="777" spans="15:17" s="387" customFormat="1">
      <c r="O777" s="441"/>
      <c r="P777" s="441"/>
      <c r="Q777" s="441"/>
    </row>
    <row r="778" spans="15:17" s="387" customFormat="1">
      <c r="O778" s="441"/>
      <c r="P778" s="441"/>
      <c r="Q778" s="441"/>
    </row>
    <row r="779" spans="15:17" s="387" customFormat="1">
      <c r="O779" s="441"/>
      <c r="P779" s="441"/>
      <c r="Q779" s="441"/>
    </row>
    <row r="780" spans="15:17" s="387" customFormat="1">
      <c r="O780" s="441"/>
      <c r="P780" s="441"/>
      <c r="Q780" s="441"/>
    </row>
    <row r="781" spans="15:17" s="387" customFormat="1">
      <c r="O781" s="441"/>
      <c r="P781" s="441"/>
      <c r="Q781" s="441"/>
    </row>
    <row r="782" spans="15:17" s="387" customFormat="1">
      <c r="O782" s="441"/>
      <c r="P782" s="441"/>
      <c r="Q782" s="441"/>
    </row>
    <row r="783" spans="15:17" s="387" customFormat="1">
      <c r="O783" s="441"/>
      <c r="P783" s="441"/>
      <c r="Q783" s="441"/>
    </row>
    <row r="784" spans="15:17" s="387" customFormat="1">
      <c r="O784" s="441"/>
      <c r="P784" s="441"/>
      <c r="Q784" s="441"/>
    </row>
    <row r="785" spans="15:17" s="387" customFormat="1">
      <c r="O785" s="441"/>
      <c r="P785" s="441"/>
      <c r="Q785" s="441"/>
    </row>
    <row r="786" spans="15:17" s="387" customFormat="1">
      <c r="O786" s="441"/>
      <c r="P786" s="441"/>
      <c r="Q786" s="441"/>
    </row>
    <row r="787" spans="15:17" s="387" customFormat="1">
      <c r="O787" s="441"/>
      <c r="P787" s="441"/>
      <c r="Q787" s="441"/>
    </row>
    <row r="788" spans="15:17" s="387" customFormat="1">
      <c r="O788" s="441"/>
      <c r="P788" s="441"/>
      <c r="Q788" s="441"/>
    </row>
    <row r="789" spans="15:17" s="387" customFormat="1">
      <c r="O789" s="441"/>
      <c r="P789" s="441"/>
      <c r="Q789" s="441"/>
    </row>
    <row r="790" spans="15:17" s="387" customFormat="1">
      <c r="O790" s="441"/>
      <c r="P790" s="441"/>
      <c r="Q790" s="441"/>
    </row>
    <row r="791" spans="15:17" s="387" customFormat="1">
      <c r="O791" s="441"/>
      <c r="P791" s="441"/>
      <c r="Q791" s="441"/>
    </row>
    <row r="792" spans="15:17" s="387" customFormat="1">
      <c r="O792" s="441"/>
      <c r="P792" s="441"/>
      <c r="Q792" s="441"/>
    </row>
    <row r="793" spans="15:17" s="387" customFormat="1">
      <c r="O793" s="441"/>
      <c r="P793" s="441"/>
      <c r="Q793" s="441"/>
    </row>
    <row r="794" spans="15:17" s="387" customFormat="1">
      <c r="O794" s="441"/>
      <c r="P794" s="441"/>
      <c r="Q794" s="441"/>
    </row>
    <row r="795" spans="15:17" s="387" customFormat="1">
      <c r="O795" s="441"/>
      <c r="P795" s="441"/>
      <c r="Q795" s="441"/>
    </row>
    <row r="796" spans="15:17" s="387" customFormat="1">
      <c r="O796" s="441"/>
      <c r="P796" s="441"/>
      <c r="Q796" s="441"/>
    </row>
    <row r="797" spans="15:17" s="387" customFormat="1">
      <c r="O797" s="441"/>
      <c r="P797" s="441"/>
      <c r="Q797" s="441"/>
    </row>
    <row r="798" spans="15:17" s="387" customFormat="1">
      <c r="O798" s="441"/>
      <c r="P798" s="441"/>
      <c r="Q798" s="441"/>
    </row>
    <row r="799" spans="15:17" s="387" customFormat="1">
      <c r="O799" s="441"/>
      <c r="P799" s="441"/>
      <c r="Q799" s="441"/>
    </row>
    <row r="800" spans="15:17" s="387" customFormat="1">
      <c r="O800" s="441"/>
      <c r="P800" s="441"/>
      <c r="Q800" s="441"/>
    </row>
    <row r="801" spans="15:17" s="387" customFormat="1">
      <c r="O801" s="441"/>
      <c r="P801" s="441"/>
      <c r="Q801" s="441"/>
    </row>
    <row r="802" spans="15:17" s="387" customFormat="1">
      <c r="O802" s="441"/>
      <c r="P802" s="441"/>
      <c r="Q802" s="441"/>
    </row>
    <row r="803" spans="15:17" s="387" customFormat="1">
      <c r="O803" s="441"/>
      <c r="P803" s="441"/>
      <c r="Q803" s="441"/>
    </row>
    <row r="804" spans="15:17" s="387" customFormat="1">
      <c r="O804" s="441"/>
      <c r="P804" s="441"/>
      <c r="Q804" s="441"/>
    </row>
    <row r="805" spans="15:17" s="387" customFormat="1">
      <c r="O805" s="441"/>
      <c r="P805" s="441"/>
      <c r="Q805" s="441"/>
    </row>
    <row r="806" spans="15:17" s="387" customFormat="1">
      <c r="O806" s="441"/>
      <c r="P806" s="441"/>
      <c r="Q806" s="441"/>
    </row>
    <row r="807" spans="15:17" s="387" customFormat="1">
      <c r="O807" s="441"/>
      <c r="P807" s="441"/>
      <c r="Q807" s="441"/>
    </row>
    <row r="808" spans="15:17" s="387" customFormat="1">
      <c r="O808" s="441"/>
      <c r="P808" s="441"/>
      <c r="Q808" s="441"/>
    </row>
    <row r="809" spans="15:17" s="387" customFormat="1">
      <c r="O809" s="441"/>
      <c r="P809" s="441"/>
      <c r="Q809" s="441"/>
    </row>
    <row r="810" spans="15:17" s="387" customFormat="1">
      <c r="O810" s="441"/>
      <c r="P810" s="441"/>
      <c r="Q810" s="441"/>
    </row>
    <row r="811" spans="15:17" s="387" customFormat="1">
      <c r="O811" s="441"/>
      <c r="P811" s="441"/>
      <c r="Q811" s="441"/>
    </row>
    <row r="812" spans="15:17" s="387" customFormat="1">
      <c r="O812" s="441"/>
      <c r="P812" s="441"/>
      <c r="Q812" s="441"/>
    </row>
    <row r="813" spans="15:17" s="387" customFormat="1">
      <c r="O813" s="441"/>
      <c r="P813" s="441"/>
      <c r="Q813" s="441"/>
    </row>
    <row r="814" spans="15:17" s="387" customFormat="1">
      <c r="O814" s="441"/>
      <c r="P814" s="441"/>
      <c r="Q814" s="441"/>
    </row>
    <row r="815" spans="15:17" s="387" customFormat="1">
      <c r="O815" s="441"/>
      <c r="P815" s="441"/>
      <c r="Q815" s="441"/>
    </row>
    <row r="816" spans="15:17" s="387" customFormat="1">
      <c r="O816" s="441"/>
      <c r="P816" s="441"/>
      <c r="Q816" s="441"/>
    </row>
    <row r="817" spans="15:17" s="387" customFormat="1">
      <c r="O817" s="441"/>
      <c r="P817" s="441"/>
      <c r="Q817" s="441"/>
    </row>
    <row r="818" spans="15:17" s="387" customFormat="1">
      <c r="O818" s="441"/>
      <c r="P818" s="441"/>
      <c r="Q818" s="441"/>
    </row>
    <row r="819" spans="15:17" s="387" customFormat="1">
      <c r="O819" s="441"/>
      <c r="P819" s="441"/>
      <c r="Q819" s="441"/>
    </row>
    <row r="820" spans="15:17" s="387" customFormat="1">
      <c r="O820" s="441"/>
      <c r="P820" s="441"/>
      <c r="Q820" s="441"/>
    </row>
    <row r="821" spans="15:17" s="387" customFormat="1">
      <c r="O821" s="441"/>
      <c r="P821" s="441"/>
      <c r="Q821" s="441"/>
    </row>
    <row r="822" spans="15:17" s="387" customFormat="1">
      <c r="O822" s="441"/>
      <c r="P822" s="441"/>
      <c r="Q822" s="441"/>
    </row>
    <row r="823" spans="15:17" s="387" customFormat="1">
      <c r="O823" s="441"/>
      <c r="P823" s="441"/>
      <c r="Q823" s="441"/>
    </row>
    <row r="824" spans="15:17" s="387" customFormat="1">
      <c r="O824" s="441"/>
      <c r="P824" s="441"/>
      <c r="Q824" s="441"/>
    </row>
    <row r="825" spans="15:17" s="387" customFormat="1">
      <c r="O825" s="441"/>
      <c r="P825" s="441"/>
      <c r="Q825" s="441"/>
    </row>
    <row r="826" spans="15:17" s="387" customFormat="1">
      <c r="O826" s="441"/>
      <c r="P826" s="441"/>
      <c r="Q826" s="441"/>
    </row>
    <row r="827" spans="15:17" s="387" customFormat="1">
      <c r="O827" s="441"/>
      <c r="P827" s="441"/>
      <c r="Q827" s="441"/>
    </row>
    <row r="828" spans="15:17" s="387" customFormat="1">
      <c r="O828" s="441"/>
      <c r="P828" s="441"/>
      <c r="Q828" s="441"/>
    </row>
    <row r="829" spans="15:17" s="387" customFormat="1">
      <c r="O829" s="441"/>
      <c r="P829" s="441"/>
      <c r="Q829" s="441"/>
    </row>
    <row r="830" spans="15:17" s="387" customFormat="1">
      <c r="O830" s="441"/>
      <c r="P830" s="441"/>
      <c r="Q830" s="441"/>
    </row>
    <row r="831" spans="15:17" s="387" customFormat="1">
      <c r="O831" s="441"/>
      <c r="P831" s="441"/>
      <c r="Q831" s="441"/>
    </row>
    <row r="832" spans="15:17" s="387" customFormat="1">
      <c r="O832" s="441"/>
      <c r="P832" s="441"/>
      <c r="Q832" s="441"/>
    </row>
    <row r="833" spans="15:17" s="387" customFormat="1">
      <c r="O833" s="441"/>
      <c r="P833" s="441"/>
      <c r="Q833" s="441"/>
    </row>
    <row r="834" spans="15:17" s="387" customFormat="1">
      <c r="O834" s="441"/>
      <c r="P834" s="441"/>
      <c r="Q834" s="441"/>
    </row>
    <row r="835" spans="15:17" s="387" customFormat="1">
      <c r="O835" s="441"/>
      <c r="P835" s="441"/>
      <c r="Q835" s="441"/>
    </row>
    <row r="836" spans="15:17" s="387" customFormat="1">
      <c r="O836" s="441"/>
      <c r="P836" s="441"/>
      <c r="Q836" s="441"/>
    </row>
    <row r="837" spans="15:17" s="387" customFormat="1">
      <c r="O837" s="441"/>
      <c r="P837" s="441"/>
      <c r="Q837" s="441"/>
    </row>
    <row r="838" spans="15:17" s="387" customFormat="1">
      <c r="O838" s="441"/>
      <c r="P838" s="441"/>
      <c r="Q838" s="441"/>
    </row>
    <row r="839" spans="15:17" s="387" customFormat="1">
      <c r="O839" s="441"/>
      <c r="P839" s="441"/>
      <c r="Q839" s="441"/>
    </row>
    <row r="840" spans="15:17" s="387" customFormat="1">
      <c r="O840" s="441"/>
      <c r="P840" s="441"/>
      <c r="Q840" s="441"/>
    </row>
    <row r="841" spans="15:17" s="387" customFormat="1">
      <c r="O841" s="441"/>
      <c r="P841" s="441"/>
      <c r="Q841" s="441"/>
    </row>
    <row r="842" spans="15:17" s="387" customFormat="1">
      <c r="O842" s="441"/>
      <c r="P842" s="441"/>
      <c r="Q842" s="441"/>
    </row>
    <row r="843" spans="15:17" s="387" customFormat="1">
      <c r="O843" s="441"/>
      <c r="P843" s="441"/>
      <c r="Q843" s="441"/>
    </row>
    <row r="844" spans="15:17" s="387" customFormat="1">
      <c r="O844" s="441"/>
      <c r="P844" s="441"/>
      <c r="Q844" s="441"/>
    </row>
    <row r="845" spans="15:17" s="387" customFormat="1">
      <c r="O845" s="441"/>
      <c r="P845" s="441"/>
      <c r="Q845" s="441"/>
    </row>
    <row r="846" spans="15:17" s="387" customFormat="1">
      <c r="O846" s="441"/>
      <c r="P846" s="441"/>
      <c r="Q846" s="441"/>
    </row>
    <row r="847" spans="15:17" s="387" customFormat="1">
      <c r="O847" s="441"/>
      <c r="P847" s="441"/>
      <c r="Q847" s="441"/>
    </row>
    <row r="848" spans="15:17" s="387" customFormat="1">
      <c r="O848" s="441"/>
      <c r="P848" s="441"/>
      <c r="Q848" s="441"/>
    </row>
    <row r="849" spans="15:17" s="387" customFormat="1">
      <c r="O849" s="441"/>
      <c r="P849" s="441"/>
      <c r="Q849" s="441"/>
    </row>
    <row r="850" spans="15:17" s="387" customFormat="1">
      <c r="O850" s="441"/>
      <c r="P850" s="441"/>
      <c r="Q850" s="441"/>
    </row>
    <row r="851" spans="15:17" s="387" customFormat="1">
      <c r="O851" s="441"/>
      <c r="P851" s="441"/>
      <c r="Q851" s="441"/>
    </row>
    <row r="852" spans="15:17" s="387" customFormat="1">
      <c r="O852" s="441"/>
      <c r="P852" s="441"/>
      <c r="Q852" s="441"/>
    </row>
    <row r="853" spans="15:17" s="387" customFormat="1">
      <c r="O853" s="441"/>
      <c r="P853" s="441"/>
      <c r="Q853" s="441"/>
    </row>
    <row r="854" spans="15:17" s="387" customFormat="1">
      <c r="O854" s="441"/>
      <c r="P854" s="441"/>
      <c r="Q854" s="441"/>
    </row>
    <row r="855" spans="15:17" s="387" customFormat="1">
      <c r="O855" s="441"/>
      <c r="P855" s="441"/>
      <c r="Q855" s="441"/>
    </row>
    <row r="856" spans="15:17" s="387" customFormat="1">
      <c r="O856" s="441"/>
      <c r="P856" s="441"/>
      <c r="Q856" s="441"/>
    </row>
    <row r="857" spans="15:17" s="387" customFormat="1">
      <c r="O857" s="441"/>
      <c r="P857" s="441"/>
      <c r="Q857" s="441"/>
    </row>
    <row r="858" spans="15:17" s="387" customFormat="1">
      <c r="O858" s="441"/>
      <c r="P858" s="441"/>
      <c r="Q858" s="441"/>
    </row>
    <row r="859" spans="15:17" s="387" customFormat="1">
      <c r="O859" s="441"/>
      <c r="P859" s="441"/>
      <c r="Q859" s="441"/>
    </row>
    <row r="860" spans="15:17" s="387" customFormat="1">
      <c r="O860" s="441"/>
      <c r="P860" s="441"/>
      <c r="Q860" s="441"/>
    </row>
    <row r="861" spans="15:17" s="387" customFormat="1">
      <c r="O861" s="441"/>
      <c r="P861" s="441"/>
      <c r="Q861" s="441"/>
    </row>
    <row r="862" spans="15:17" s="387" customFormat="1">
      <c r="O862" s="441"/>
      <c r="P862" s="441"/>
      <c r="Q862" s="441"/>
    </row>
    <row r="863" spans="15:17" s="387" customFormat="1">
      <c r="O863" s="441"/>
      <c r="P863" s="441"/>
      <c r="Q863" s="441"/>
    </row>
    <row r="864" spans="15:17" s="387" customFormat="1">
      <c r="O864" s="441"/>
      <c r="P864" s="441"/>
      <c r="Q864" s="441"/>
    </row>
    <row r="865" spans="15:17" s="387" customFormat="1">
      <c r="O865" s="441"/>
      <c r="P865" s="441"/>
      <c r="Q865" s="441"/>
    </row>
    <row r="866" spans="15:17" s="387" customFormat="1">
      <c r="O866" s="441"/>
      <c r="P866" s="441"/>
      <c r="Q866" s="441"/>
    </row>
    <row r="867" spans="15:17" s="387" customFormat="1">
      <c r="O867" s="441"/>
      <c r="P867" s="441"/>
      <c r="Q867" s="441"/>
    </row>
    <row r="868" spans="15:17" s="387" customFormat="1">
      <c r="O868" s="441"/>
      <c r="P868" s="441"/>
      <c r="Q868" s="441"/>
    </row>
    <row r="869" spans="15:17" s="387" customFormat="1">
      <c r="O869" s="441"/>
      <c r="P869" s="441"/>
      <c r="Q869" s="441"/>
    </row>
    <row r="870" spans="15:17" s="387" customFormat="1">
      <c r="O870" s="441"/>
      <c r="P870" s="441"/>
      <c r="Q870" s="441"/>
    </row>
    <row r="871" spans="15:17" s="387" customFormat="1">
      <c r="O871" s="441"/>
      <c r="P871" s="441"/>
      <c r="Q871" s="441"/>
    </row>
    <row r="872" spans="15:17" s="387" customFormat="1">
      <c r="O872" s="441"/>
      <c r="P872" s="441"/>
      <c r="Q872" s="441"/>
    </row>
    <row r="873" spans="15:17" s="387" customFormat="1">
      <c r="O873" s="441"/>
      <c r="P873" s="441"/>
      <c r="Q873" s="441"/>
    </row>
    <row r="874" spans="15:17" s="387" customFormat="1">
      <c r="O874" s="441"/>
      <c r="P874" s="441"/>
      <c r="Q874" s="441"/>
    </row>
    <row r="875" spans="15:17" s="387" customFormat="1">
      <c r="O875" s="441"/>
      <c r="P875" s="441"/>
      <c r="Q875" s="441"/>
    </row>
    <row r="876" spans="15:17" s="387" customFormat="1">
      <c r="O876" s="441"/>
      <c r="P876" s="441"/>
      <c r="Q876" s="441"/>
    </row>
    <row r="877" spans="15:17" s="387" customFormat="1">
      <c r="O877" s="441"/>
      <c r="P877" s="441"/>
      <c r="Q877" s="441"/>
    </row>
    <row r="878" spans="15:17" s="387" customFormat="1">
      <c r="O878" s="441"/>
      <c r="P878" s="441"/>
      <c r="Q878" s="441"/>
    </row>
    <row r="879" spans="15:17" s="387" customFormat="1">
      <c r="O879" s="441"/>
      <c r="P879" s="441"/>
      <c r="Q879" s="441"/>
    </row>
    <row r="880" spans="15:17" s="387" customFormat="1">
      <c r="O880" s="441"/>
      <c r="P880" s="441"/>
      <c r="Q880" s="441"/>
    </row>
    <row r="881" spans="15:17" s="387" customFormat="1">
      <c r="O881" s="441"/>
      <c r="P881" s="441"/>
      <c r="Q881" s="441"/>
    </row>
    <row r="882" spans="15:17" s="387" customFormat="1">
      <c r="O882" s="441"/>
      <c r="P882" s="441"/>
      <c r="Q882" s="441"/>
    </row>
    <row r="883" spans="15:17" s="387" customFormat="1">
      <c r="O883" s="441"/>
      <c r="P883" s="441"/>
      <c r="Q883" s="441"/>
    </row>
    <row r="884" spans="15:17" s="387" customFormat="1">
      <c r="O884" s="441"/>
      <c r="P884" s="441"/>
      <c r="Q884" s="441"/>
    </row>
    <row r="885" spans="15:17" s="387" customFormat="1">
      <c r="O885" s="441"/>
      <c r="P885" s="441"/>
      <c r="Q885" s="441"/>
    </row>
    <row r="886" spans="15:17" s="387" customFormat="1">
      <c r="O886" s="441"/>
      <c r="P886" s="441"/>
      <c r="Q886" s="441"/>
    </row>
    <row r="887" spans="15:17" s="387" customFormat="1">
      <c r="O887" s="441"/>
      <c r="P887" s="441"/>
      <c r="Q887" s="441"/>
    </row>
    <row r="888" spans="15:17" s="387" customFormat="1">
      <c r="O888" s="441"/>
      <c r="P888" s="441"/>
      <c r="Q888" s="441"/>
    </row>
    <row r="889" spans="15:17" s="387" customFormat="1">
      <c r="O889" s="441"/>
      <c r="P889" s="441"/>
      <c r="Q889" s="441"/>
    </row>
    <row r="890" spans="15:17" s="387" customFormat="1">
      <c r="O890" s="441"/>
      <c r="P890" s="441"/>
      <c r="Q890" s="441"/>
    </row>
    <row r="891" spans="15:17" s="387" customFormat="1">
      <c r="O891" s="441"/>
      <c r="P891" s="441"/>
      <c r="Q891" s="441"/>
    </row>
    <row r="892" spans="15:17" s="387" customFormat="1">
      <c r="O892" s="441"/>
      <c r="P892" s="441"/>
      <c r="Q892" s="441"/>
    </row>
    <row r="893" spans="15:17" s="387" customFormat="1">
      <c r="O893" s="441"/>
      <c r="P893" s="441"/>
      <c r="Q893" s="441"/>
    </row>
    <row r="894" spans="15:17" s="387" customFormat="1">
      <c r="O894" s="441"/>
      <c r="P894" s="441"/>
      <c r="Q894" s="441"/>
    </row>
    <row r="895" spans="15:17" s="387" customFormat="1">
      <c r="O895" s="441"/>
      <c r="P895" s="441"/>
      <c r="Q895" s="441"/>
    </row>
    <row r="896" spans="15:17" s="387" customFormat="1">
      <c r="O896" s="441"/>
      <c r="P896" s="441"/>
      <c r="Q896" s="441"/>
    </row>
    <row r="897" spans="15:17" s="387" customFormat="1">
      <c r="O897" s="441"/>
      <c r="P897" s="441"/>
      <c r="Q897" s="441"/>
    </row>
    <row r="898" spans="15:17" s="387" customFormat="1">
      <c r="O898" s="441"/>
      <c r="P898" s="441"/>
      <c r="Q898" s="441"/>
    </row>
    <row r="899" spans="15:17" s="387" customFormat="1">
      <c r="O899" s="441"/>
      <c r="P899" s="441"/>
      <c r="Q899" s="441"/>
    </row>
    <row r="900" spans="15:17" s="387" customFormat="1">
      <c r="O900" s="441"/>
      <c r="P900" s="441"/>
      <c r="Q900" s="441"/>
    </row>
    <row r="901" spans="15:17" s="387" customFormat="1">
      <c r="O901" s="441"/>
      <c r="P901" s="441"/>
      <c r="Q901" s="441"/>
    </row>
    <row r="902" spans="15:17" s="387" customFormat="1">
      <c r="O902" s="441"/>
      <c r="P902" s="441"/>
      <c r="Q902" s="441"/>
    </row>
    <row r="903" spans="15:17" s="387" customFormat="1">
      <c r="O903" s="441"/>
      <c r="P903" s="441"/>
      <c r="Q903" s="441"/>
    </row>
    <row r="904" spans="15:17" s="387" customFormat="1">
      <c r="O904" s="441"/>
      <c r="P904" s="441"/>
      <c r="Q904" s="441"/>
    </row>
    <row r="905" spans="15:17" s="387" customFormat="1">
      <c r="O905" s="441"/>
      <c r="P905" s="441"/>
      <c r="Q905" s="441"/>
    </row>
    <row r="906" spans="15:17" s="387" customFormat="1">
      <c r="O906" s="441"/>
      <c r="P906" s="441"/>
      <c r="Q906" s="441"/>
    </row>
    <row r="907" spans="15:17" s="387" customFormat="1">
      <c r="O907" s="441"/>
      <c r="P907" s="441"/>
      <c r="Q907" s="441"/>
    </row>
    <row r="908" spans="15:17" s="387" customFormat="1">
      <c r="O908" s="441"/>
      <c r="P908" s="441"/>
      <c r="Q908" s="441"/>
    </row>
    <row r="909" spans="15:17" s="387" customFormat="1">
      <c r="O909" s="441"/>
      <c r="P909" s="441"/>
      <c r="Q909" s="441"/>
    </row>
    <row r="910" spans="15:17" s="387" customFormat="1">
      <c r="O910" s="441"/>
      <c r="P910" s="441"/>
      <c r="Q910" s="441"/>
    </row>
    <row r="911" spans="15:17" s="387" customFormat="1">
      <c r="O911" s="441"/>
      <c r="P911" s="441"/>
      <c r="Q911" s="441"/>
    </row>
    <row r="912" spans="15:17" s="387" customFormat="1">
      <c r="O912" s="441"/>
      <c r="P912" s="441"/>
      <c r="Q912" s="441"/>
    </row>
    <row r="913" spans="15:17" s="387" customFormat="1">
      <c r="O913" s="441"/>
      <c r="P913" s="441"/>
      <c r="Q913" s="441"/>
    </row>
    <row r="914" spans="15:17" s="387" customFormat="1">
      <c r="O914" s="441"/>
      <c r="P914" s="441"/>
      <c r="Q914" s="441"/>
    </row>
    <row r="915" spans="15:17" s="387" customFormat="1">
      <c r="O915" s="441"/>
      <c r="P915" s="441"/>
      <c r="Q915" s="441"/>
    </row>
    <row r="916" spans="15:17" s="387" customFormat="1">
      <c r="O916" s="441"/>
      <c r="P916" s="441"/>
      <c r="Q916" s="441"/>
    </row>
    <row r="917" spans="15:17" s="387" customFormat="1">
      <c r="O917" s="441"/>
      <c r="P917" s="441"/>
      <c r="Q917" s="441"/>
    </row>
    <row r="918" spans="15:17" s="387" customFormat="1">
      <c r="O918" s="441"/>
      <c r="P918" s="441"/>
      <c r="Q918" s="441"/>
    </row>
    <row r="919" spans="15:17" s="387" customFormat="1">
      <c r="O919" s="441"/>
      <c r="P919" s="441"/>
      <c r="Q919" s="441"/>
    </row>
    <row r="920" spans="15:17" s="387" customFormat="1">
      <c r="O920" s="441"/>
      <c r="P920" s="441"/>
      <c r="Q920" s="441"/>
    </row>
    <row r="921" spans="15:17" s="387" customFormat="1">
      <c r="O921" s="441"/>
      <c r="P921" s="441"/>
      <c r="Q921" s="441"/>
    </row>
    <row r="922" spans="15:17" s="387" customFormat="1">
      <c r="O922" s="441"/>
      <c r="P922" s="441"/>
      <c r="Q922" s="441"/>
    </row>
    <row r="923" spans="15:17" s="387" customFormat="1">
      <c r="O923" s="441"/>
      <c r="P923" s="441"/>
      <c r="Q923" s="441"/>
    </row>
    <row r="924" spans="15:17" s="387" customFormat="1">
      <c r="O924" s="441"/>
      <c r="P924" s="441"/>
      <c r="Q924" s="441"/>
    </row>
    <row r="925" spans="15:17" s="387" customFormat="1">
      <c r="O925" s="441"/>
      <c r="P925" s="441"/>
      <c r="Q925" s="441"/>
    </row>
    <row r="926" spans="15:17" s="387" customFormat="1">
      <c r="O926" s="441"/>
      <c r="P926" s="441"/>
      <c r="Q926" s="441"/>
    </row>
    <row r="927" spans="15:17" s="387" customFormat="1">
      <c r="O927" s="441"/>
      <c r="P927" s="441"/>
      <c r="Q927" s="441"/>
    </row>
    <row r="928" spans="15:17" s="387" customFormat="1">
      <c r="O928" s="441"/>
      <c r="P928" s="441"/>
      <c r="Q928" s="441"/>
    </row>
    <row r="929" spans="15:17" s="387" customFormat="1">
      <c r="O929" s="441"/>
      <c r="P929" s="441"/>
      <c r="Q929" s="441"/>
    </row>
    <row r="930" spans="15:17" s="387" customFormat="1">
      <c r="O930" s="441"/>
      <c r="P930" s="441"/>
      <c r="Q930" s="441"/>
    </row>
    <row r="931" spans="15:17" s="387" customFormat="1">
      <c r="O931" s="441"/>
      <c r="P931" s="441"/>
      <c r="Q931" s="441"/>
    </row>
    <row r="932" spans="15:17" s="387" customFormat="1">
      <c r="O932" s="441"/>
      <c r="P932" s="441"/>
      <c r="Q932" s="441"/>
    </row>
    <row r="933" spans="15:17" s="387" customFormat="1">
      <c r="O933" s="441"/>
      <c r="P933" s="441"/>
      <c r="Q933" s="441"/>
    </row>
    <row r="934" spans="15:17" s="387" customFormat="1">
      <c r="O934" s="441"/>
      <c r="P934" s="441"/>
      <c r="Q934" s="441"/>
    </row>
    <row r="935" spans="15:17" s="387" customFormat="1">
      <c r="O935" s="441"/>
      <c r="P935" s="441"/>
      <c r="Q935" s="441"/>
    </row>
    <row r="936" spans="15:17" s="387" customFormat="1">
      <c r="O936" s="441"/>
      <c r="P936" s="441"/>
      <c r="Q936" s="441"/>
    </row>
    <row r="937" spans="15:17" s="387" customFormat="1">
      <c r="O937" s="441"/>
      <c r="P937" s="441"/>
      <c r="Q937" s="441"/>
    </row>
    <row r="938" spans="15:17" s="387" customFormat="1">
      <c r="O938" s="441"/>
      <c r="P938" s="441"/>
      <c r="Q938" s="441"/>
    </row>
    <row r="939" spans="15:17" s="387" customFormat="1">
      <c r="O939" s="441"/>
      <c r="P939" s="441"/>
      <c r="Q939" s="441"/>
    </row>
    <row r="940" spans="15:17" s="387" customFormat="1">
      <c r="O940" s="441"/>
      <c r="P940" s="441"/>
      <c r="Q940" s="441"/>
    </row>
    <row r="941" spans="15:17" s="387" customFormat="1">
      <c r="O941" s="441"/>
      <c r="P941" s="441"/>
      <c r="Q941" s="441"/>
    </row>
    <row r="942" spans="15:17" s="387" customFormat="1">
      <c r="O942" s="441"/>
      <c r="P942" s="441"/>
      <c r="Q942" s="441"/>
    </row>
    <row r="943" spans="15:17" s="387" customFormat="1">
      <c r="O943" s="441"/>
      <c r="P943" s="441"/>
      <c r="Q943" s="441"/>
    </row>
    <row r="944" spans="15:17" s="387" customFormat="1">
      <c r="O944" s="441"/>
      <c r="P944" s="441"/>
      <c r="Q944" s="441"/>
    </row>
    <row r="945" spans="15:17" s="387" customFormat="1">
      <c r="O945" s="441"/>
      <c r="P945" s="441"/>
      <c r="Q945" s="441"/>
    </row>
    <row r="946" spans="15:17" s="387" customFormat="1">
      <c r="O946" s="441"/>
      <c r="P946" s="441"/>
      <c r="Q946" s="441"/>
    </row>
    <row r="947" spans="15:17" s="387" customFormat="1">
      <c r="O947" s="441"/>
      <c r="P947" s="441"/>
      <c r="Q947" s="441"/>
    </row>
    <row r="948" spans="15:17" s="387" customFormat="1">
      <c r="O948" s="441"/>
      <c r="P948" s="441"/>
      <c r="Q948" s="441"/>
    </row>
    <row r="949" spans="15:17" s="387" customFormat="1">
      <c r="O949" s="441"/>
      <c r="P949" s="441"/>
      <c r="Q949" s="441"/>
    </row>
    <row r="950" spans="15:17" s="387" customFormat="1">
      <c r="O950" s="441"/>
      <c r="P950" s="441"/>
      <c r="Q950" s="441"/>
    </row>
    <row r="951" spans="15:17" s="387" customFormat="1">
      <c r="O951" s="441"/>
      <c r="P951" s="441"/>
      <c r="Q951" s="441"/>
    </row>
    <row r="952" spans="15:17" s="387" customFormat="1">
      <c r="O952" s="441"/>
      <c r="P952" s="441"/>
      <c r="Q952" s="441"/>
    </row>
    <row r="953" spans="15:17" s="387" customFormat="1">
      <c r="O953" s="441"/>
      <c r="P953" s="441"/>
      <c r="Q953" s="441"/>
    </row>
    <row r="954" spans="15:17" s="387" customFormat="1">
      <c r="O954" s="441"/>
      <c r="P954" s="441"/>
      <c r="Q954" s="441"/>
    </row>
    <row r="955" spans="15:17" s="387" customFormat="1">
      <c r="O955" s="441"/>
      <c r="P955" s="441"/>
      <c r="Q955" s="441"/>
    </row>
    <row r="956" spans="15:17" s="387" customFormat="1">
      <c r="O956" s="441"/>
      <c r="P956" s="441"/>
      <c r="Q956" s="441"/>
    </row>
    <row r="957" spans="15:17" s="387" customFormat="1">
      <c r="O957" s="441"/>
      <c r="P957" s="441"/>
      <c r="Q957" s="441"/>
    </row>
    <row r="958" spans="15:17" s="387" customFormat="1">
      <c r="O958" s="441"/>
      <c r="P958" s="441"/>
      <c r="Q958" s="441"/>
    </row>
    <row r="959" spans="15:17" s="387" customFormat="1">
      <c r="O959" s="441"/>
      <c r="P959" s="441"/>
      <c r="Q959" s="441"/>
    </row>
    <row r="960" spans="15:17" s="387" customFormat="1">
      <c r="O960" s="441"/>
      <c r="P960" s="441"/>
      <c r="Q960" s="441"/>
    </row>
    <row r="961" spans="15:17" s="387" customFormat="1">
      <c r="O961" s="441"/>
      <c r="P961" s="441"/>
      <c r="Q961" s="441"/>
    </row>
    <row r="962" spans="15:17" s="387" customFormat="1">
      <c r="O962" s="441"/>
      <c r="P962" s="441"/>
      <c r="Q962" s="441"/>
    </row>
    <row r="963" spans="15:17" s="387" customFormat="1">
      <c r="O963" s="441"/>
      <c r="P963" s="441"/>
      <c r="Q963" s="441"/>
    </row>
    <row r="964" spans="15:17" s="387" customFormat="1">
      <c r="O964" s="441"/>
      <c r="P964" s="441"/>
      <c r="Q964" s="441"/>
    </row>
    <row r="965" spans="15:17" s="387" customFormat="1">
      <c r="O965" s="441"/>
      <c r="P965" s="441"/>
      <c r="Q965" s="441"/>
    </row>
    <row r="966" spans="15:17" s="387" customFormat="1">
      <c r="O966" s="441"/>
      <c r="P966" s="441"/>
      <c r="Q966" s="441"/>
    </row>
    <row r="967" spans="15:17" s="387" customFormat="1">
      <c r="O967" s="441"/>
      <c r="P967" s="441"/>
      <c r="Q967" s="441"/>
    </row>
    <row r="968" spans="15:17" s="387" customFormat="1">
      <c r="O968" s="441"/>
      <c r="P968" s="441"/>
      <c r="Q968" s="441"/>
    </row>
    <row r="969" spans="15:17" s="387" customFormat="1">
      <c r="O969" s="441"/>
      <c r="P969" s="441"/>
      <c r="Q969" s="441"/>
    </row>
    <row r="970" spans="15:17" s="387" customFormat="1">
      <c r="O970" s="441"/>
      <c r="P970" s="441"/>
      <c r="Q970" s="441"/>
    </row>
    <row r="971" spans="15:17" s="387" customFormat="1">
      <c r="O971" s="441"/>
      <c r="P971" s="441"/>
      <c r="Q971" s="441"/>
    </row>
    <row r="972" spans="15:17" s="387" customFormat="1">
      <c r="O972" s="441"/>
      <c r="P972" s="441"/>
      <c r="Q972" s="441"/>
    </row>
    <row r="973" spans="15:17" s="387" customFormat="1">
      <c r="O973" s="441"/>
      <c r="P973" s="441"/>
      <c r="Q973" s="441"/>
    </row>
    <row r="974" spans="15:17" s="387" customFormat="1">
      <c r="O974" s="441"/>
      <c r="P974" s="441"/>
      <c r="Q974" s="441"/>
    </row>
    <row r="975" spans="15:17" s="387" customFormat="1">
      <c r="O975" s="441"/>
      <c r="P975" s="441"/>
      <c r="Q975" s="441"/>
    </row>
    <row r="976" spans="15:17" s="387" customFormat="1">
      <c r="O976" s="441"/>
      <c r="P976" s="441"/>
      <c r="Q976" s="441"/>
    </row>
    <row r="977" spans="15:17" s="387" customFormat="1">
      <c r="O977" s="441"/>
      <c r="P977" s="441"/>
      <c r="Q977" s="441"/>
    </row>
    <row r="978" spans="15:17" s="387" customFormat="1">
      <c r="O978" s="441"/>
      <c r="P978" s="441"/>
      <c r="Q978" s="441"/>
    </row>
    <row r="979" spans="15:17" s="387" customFormat="1">
      <c r="O979" s="441"/>
      <c r="P979" s="441"/>
      <c r="Q979" s="441"/>
    </row>
    <row r="980" spans="15:17" s="387" customFormat="1">
      <c r="O980" s="441"/>
      <c r="P980" s="441"/>
      <c r="Q980" s="441"/>
    </row>
    <row r="981" spans="15:17" s="387" customFormat="1">
      <c r="O981" s="441"/>
      <c r="P981" s="441"/>
      <c r="Q981" s="441"/>
    </row>
    <row r="982" spans="15:17" s="387" customFormat="1">
      <c r="O982" s="441"/>
      <c r="P982" s="441"/>
      <c r="Q982" s="441"/>
    </row>
    <row r="983" spans="15:17" s="387" customFormat="1">
      <c r="O983" s="441"/>
      <c r="P983" s="441"/>
      <c r="Q983" s="441"/>
    </row>
    <row r="984" spans="15:17" s="387" customFormat="1">
      <c r="O984" s="441"/>
      <c r="P984" s="441"/>
      <c r="Q984" s="441"/>
    </row>
    <row r="985" spans="15:17" s="387" customFormat="1">
      <c r="O985" s="441"/>
      <c r="P985" s="441"/>
      <c r="Q985" s="441"/>
    </row>
    <row r="986" spans="15:17" s="387" customFormat="1">
      <c r="O986" s="441"/>
      <c r="P986" s="441"/>
      <c r="Q986" s="441"/>
    </row>
    <row r="987" spans="15:17" s="387" customFormat="1">
      <c r="O987" s="441"/>
      <c r="P987" s="441"/>
      <c r="Q987" s="441"/>
    </row>
    <row r="988" spans="15:17" s="387" customFormat="1">
      <c r="O988" s="441"/>
      <c r="P988" s="441"/>
      <c r="Q988" s="441"/>
    </row>
    <row r="989" spans="15:17" s="387" customFormat="1">
      <c r="O989" s="441"/>
      <c r="P989" s="441"/>
      <c r="Q989" s="441"/>
    </row>
    <row r="990" spans="15:17" s="387" customFormat="1">
      <c r="O990" s="441"/>
      <c r="P990" s="441"/>
      <c r="Q990" s="441"/>
    </row>
    <row r="991" spans="15:17" s="387" customFormat="1">
      <c r="O991" s="441"/>
      <c r="P991" s="441"/>
      <c r="Q991" s="441"/>
    </row>
    <row r="992" spans="15:17" s="387" customFormat="1">
      <c r="O992" s="441"/>
      <c r="P992" s="441"/>
      <c r="Q992" s="441"/>
    </row>
    <row r="993" spans="15:17" s="387" customFormat="1">
      <c r="O993" s="441"/>
      <c r="P993" s="441"/>
      <c r="Q993" s="441"/>
    </row>
    <row r="994" spans="15:17" s="387" customFormat="1">
      <c r="O994" s="441"/>
      <c r="P994" s="441"/>
      <c r="Q994" s="441"/>
    </row>
    <row r="995" spans="15:17" s="387" customFormat="1">
      <c r="O995" s="441"/>
      <c r="P995" s="441"/>
      <c r="Q995" s="441"/>
    </row>
    <row r="996" spans="15:17" s="387" customFormat="1">
      <c r="O996" s="441"/>
      <c r="P996" s="441"/>
      <c r="Q996" s="441"/>
    </row>
    <row r="997" spans="15:17" s="387" customFormat="1">
      <c r="O997" s="441"/>
      <c r="P997" s="441"/>
      <c r="Q997" s="441"/>
    </row>
    <row r="998" spans="15:17" s="387" customFormat="1">
      <c r="O998" s="441"/>
      <c r="P998" s="441"/>
      <c r="Q998" s="441"/>
    </row>
    <row r="999" spans="15:17" s="387" customFormat="1">
      <c r="O999" s="441"/>
      <c r="P999" s="441"/>
      <c r="Q999" s="441"/>
    </row>
    <row r="1000" spans="15:17" s="387" customFormat="1">
      <c r="O1000" s="441"/>
      <c r="P1000" s="441"/>
      <c r="Q1000" s="441"/>
    </row>
    <row r="1001" spans="15:17" s="387" customFormat="1">
      <c r="O1001" s="441"/>
      <c r="P1001" s="441"/>
      <c r="Q1001" s="441"/>
    </row>
    <row r="1002" spans="15:17" s="387" customFormat="1">
      <c r="O1002" s="441"/>
      <c r="P1002" s="441"/>
      <c r="Q1002" s="441"/>
    </row>
    <row r="1003" spans="15:17" s="387" customFormat="1">
      <c r="O1003" s="441"/>
      <c r="P1003" s="441"/>
      <c r="Q1003" s="441"/>
    </row>
    <row r="1004" spans="15:17" s="387" customFormat="1">
      <c r="O1004" s="441"/>
      <c r="P1004" s="441"/>
      <c r="Q1004" s="441"/>
    </row>
    <row r="1005" spans="15:17" s="387" customFormat="1">
      <c r="O1005" s="441"/>
      <c r="P1005" s="441"/>
      <c r="Q1005" s="441"/>
    </row>
    <row r="1006" spans="15:17" s="387" customFormat="1">
      <c r="O1006" s="441"/>
      <c r="P1006" s="441"/>
      <c r="Q1006" s="441"/>
    </row>
    <row r="1007" spans="15:17" s="387" customFormat="1">
      <c r="O1007" s="441"/>
      <c r="P1007" s="441"/>
      <c r="Q1007" s="441"/>
    </row>
    <row r="1008" spans="15:17" s="387" customFormat="1">
      <c r="O1008" s="441"/>
      <c r="P1008" s="441"/>
      <c r="Q1008" s="441"/>
    </row>
    <row r="1009" spans="15:17" s="387" customFormat="1">
      <c r="O1009" s="441"/>
      <c r="P1009" s="441"/>
      <c r="Q1009" s="441"/>
    </row>
    <row r="1010" spans="15:17" s="387" customFormat="1">
      <c r="O1010" s="441"/>
      <c r="P1010" s="441"/>
      <c r="Q1010" s="441"/>
    </row>
    <row r="1011" spans="15:17" s="387" customFormat="1">
      <c r="O1011" s="441"/>
      <c r="P1011" s="441"/>
      <c r="Q1011" s="441"/>
    </row>
    <row r="1012" spans="15:17" s="387" customFormat="1">
      <c r="O1012" s="441"/>
      <c r="P1012" s="441"/>
      <c r="Q1012" s="441"/>
    </row>
    <row r="1013" spans="15:17" s="387" customFormat="1">
      <c r="O1013" s="441"/>
      <c r="P1013" s="441"/>
      <c r="Q1013" s="441"/>
    </row>
    <row r="1014" spans="15:17" s="387" customFormat="1">
      <c r="O1014" s="441"/>
      <c r="P1014" s="441"/>
      <c r="Q1014" s="441"/>
    </row>
    <row r="1015" spans="15:17" s="387" customFormat="1">
      <c r="O1015" s="441"/>
      <c r="P1015" s="441"/>
      <c r="Q1015" s="441"/>
    </row>
    <row r="1016" spans="15:17" s="387" customFormat="1">
      <c r="O1016" s="441"/>
      <c r="P1016" s="441"/>
      <c r="Q1016" s="441"/>
    </row>
    <row r="1017" spans="15:17" s="387" customFormat="1">
      <c r="O1017" s="441"/>
      <c r="P1017" s="441"/>
      <c r="Q1017" s="441"/>
    </row>
    <row r="1018" spans="15:17" s="387" customFormat="1">
      <c r="O1018" s="441"/>
      <c r="P1018" s="441"/>
      <c r="Q1018" s="441"/>
    </row>
    <row r="1019" spans="15:17" s="387" customFormat="1">
      <c r="O1019" s="441"/>
      <c r="P1019" s="441"/>
      <c r="Q1019" s="441"/>
    </row>
    <row r="1020" spans="15:17" s="387" customFormat="1">
      <c r="O1020" s="441"/>
      <c r="P1020" s="441"/>
      <c r="Q1020" s="441"/>
    </row>
    <row r="1021" spans="15:17" s="387" customFormat="1">
      <c r="O1021" s="441"/>
      <c r="P1021" s="441"/>
      <c r="Q1021" s="441"/>
    </row>
    <row r="1022" spans="15:17" s="387" customFormat="1">
      <c r="O1022" s="441"/>
      <c r="P1022" s="441"/>
      <c r="Q1022" s="441"/>
    </row>
    <row r="1023" spans="15:17" s="387" customFormat="1">
      <c r="O1023" s="441"/>
      <c r="P1023" s="441"/>
      <c r="Q1023" s="441"/>
    </row>
    <row r="1024" spans="15:17" s="387" customFormat="1">
      <c r="O1024" s="441"/>
      <c r="P1024" s="441"/>
      <c r="Q1024" s="441"/>
    </row>
    <row r="1025" spans="15:17" s="387" customFormat="1">
      <c r="O1025" s="441"/>
      <c r="P1025" s="441"/>
      <c r="Q1025" s="441"/>
    </row>
    <row r="1026" spans="15:17" s="387" customFormat="1">
      <c r="O1026" s="441"/>
      <c r="P1026" s="441"/>
      <c r="Q1026" s="441"/>
    </row>
    <row r="1027" spans="15:17" s="387" customFormat="1">
      <c r="O1027" s="441"/>
      <c r="P1027" s="441"/>
      <c r="Q1027" s="441"/>
    </row>
    <row r="1028" spans="15:17" s="387" customFormat="1">
      <c r="O1028" s="441"/>
      <c r="P1028" s="441"/>
      <c r="Q1028" s="441"/>
    </row>
    <row r="1029" spans="15:17" s="387" customFormat="1">
      <c r="O1029" s="441"/>
      <c r="P1029" s="441"/>
      <c r="Q1029" s="441"/>
    </row>
    <row r="1030" spans="15:17" s="387" customFormat="1">
      <c r="O1030" s="441"/>
      <c r="P1030" s="441"/>
      <c r="Q1030" s="441"/>
    </row>
    <row r="1031" spans="15:17" s="387" customFormat="1">
      <c r="O1031" s="441"/>
      <c r="P1031" s="441"/>
      <c r="Q1031" s="441"/>
    </row>
    <row r="1032" spans="15:17" s="387" customFormat="1">
      <c r="O1032" s="441"/>
      <c r="P1032" s="441"/>
      <c r="Q1032" s="441"/>
    </row>
    <row r="1033" spans="15:17" s="387" customFormat="1">
      <c r="O1033" s="441"/>
      <c r="P1033" s="441"/>
      <c r="Q1033" s="441"/>
    </row>
    <row r="1034" spans="15:17" s="387" customFormat="1">
      <c r="O1034" s="441"/>
      <c r="P1034" s="441"/>
      <c r="Q1034" s="441"/>
    </row>
    <row r="1035" spans="15:17" s="387" customFormat="1">
      <c r="O1035" s="441"/>
      <c r="P1035" s="441"/>
      <c r="Q1035" s="441"/>
    </row>
    <row r="1036" spans="15:17" s="387" customFormat="1">
      <c r="O1036" s="441"/>
      <c r="P1036" s="441"/>
      <c r="Q1036" s="441"/>
    </row>
    <row r="1037" spans="15:17" s="387" customFormat="1">
      <c r="O1037" s="441"/>
      <c r="P1037" s="441"/>
      <c r="Q1037" s="441"/>
    </row>
    <row r="1038" spans="15:17" s="387" customFormat="1">
      <c r="O1038" s="441"/>
      <c r="P1038" s="441"/>
      <c r="Q1038" s="441"/>
    </row>
    <row r="1039" spans="15:17" s="387" customFormat="1">
      <c r="O1039" s="441"/>
      <c r="P1039" s="441"/>
      <c r="Q1039" s="441"/>
    </row>
    <row r="1040" spans="15:17" s="387" customFormat="1">
      <c r="O1040" s="441"/>
      <c r="P1040" s="441"/>
      <c r="Q1040" s="441"/>
    </row>
    <row r="1041" spans="15:17" s="387" customFormat="1">
      <c r="O1041" s="441"/>
      <c r="P1041" s="441"/>
      <c r="Q1041" s="441"/>
    </row>
    <row r="1042" spans="15:17" s="387" customFormat="1">
      <c r="O1042" s="441"/>
      <c r="P1042" s="441"/>
      <c r="Q1042" s="441"/>
    </row>
    <row r="1043" spans="15:17" s="387" customFormat="1">
      <c r="O1043" s="441"/>
      <c r="P1043" s="441"/>
      <c r="Q1043" s="441"/>
    </row>
    <row r="1044" spans="15:17" s="387" customFormat="1">
      <c r="O1044" s="441"/>
      <c r="P1044" s="441"/>
      <c r="Q1044" s="441"/>
    </row>
    <row r="1045" spans="15:17" s="387" customFormat="1">
      <c r="O1045" s="441"/>
      <c r="P1045" s="441"/>
      <c r="Q1045" s="441"/>
    </row>
    <row r="1046" spans="15:17" s="387" customFormat="1">
      <c r="O1046" s="441"/>
      <c r="P1046" s="441"/>
      <c r="Q1046" s="441"/>
    </row>
    <row r="1047" spans="15:17" s="387" customFormat="1">
      <c r="O1047" s="441"/>
      <c r="P1047" s="441"/>
      <c r="Q1047" s="441"/>
    </row>
    <row r="1048" spans="15:17" s="387" customFormat="1">
      <c r="O1048" s="441"/>
      <c r="P1048" s="441"/>
      <c r="Q1048" s="441"/>
    </row>
    <row r="1049" spans="15:17" s="387" customFormat="1">
      <c r="O1049" s="441"/>
      <c r="P1049" s="441"/>
      <c r="Q1049" s="441"/>
    </row>
    <row r="1050" spans="15:17" s="387" customFormat="1">
      <c r="O1050" s="441"/>
      <c r="P1050" s="441"/>
      <c r="Q1050" s="441"/>
    </row>
    <row r="1051" spans="15:17" s="387" customFormat="1">
      <c r="O1051" s="441"/>
      <c r="P1051" s="441"/>
      <c r="Q1051" s="441"/>
    </row>
    <row r="1052" spans="15:17" s="387" customFormat="1">
      <c r="O1052" s="441"/>
      <c r="P1052" s="441"/>
      <c r="Q1052" s="441"/>
    </row>
    <row r="1053" spans="15:17" s="387" customFormat="1">
      <c r="O1053" s="441"/>
      <c r="P1053" s="441"/>
      <c r="Q1053" s="441"/>
    </row>
    <row r="1054" spans="15:17" s="387" customFormat="1">
      <c r="O1054" s="441"/>
      <c r="P1054" s="441"/>
      <c r="Q1054" s="441"/>
    </row>
    <row r="1055" spans="15:17" s="387" customFormat="1">
      <c r="O1055" s="441"/>
      <c r="P1055" s="441"/>
      <c r="Q1055" s="441"/>
    </row>
    <row r="1056" spans="15:17" s="387" customFormat="1">
      <c r="O1056" s="441"/>
      <c r="P1056" s="441"/>
      <c r="Q1056" s="441"/>
    </row>
    <row r="1057" spans="15:17" s="387" customFormat="1">
      <c r="O1057" s="441"/>
      <c r="P1057" s="441"/>
      <c r="Q1057" s="441"/>
    </row>
    <row r="1058" spans="15:17" s="387" customFormat="1">
      <c r="O1058" s="441"/>
      <c r="P1058" s="441"/>
      <c r="Q1058" s="441"/>
    </row>
    <row r="1059" spans="15:17" s="387" customFormat="1">
      <c r="O1059" s="441"/>
      <c r="P1059" s="441"/>
      <c r="Q1059" s="441"/>
    </row>
    <row r="1060" spans="15:17" s="387" customFormat="1">
      <c r="O1060" s="441"/>
      <c r="P1060" s="441"/>
      <c r="Q1060" s="441"/>
    </row>
    <row r="1061" spans="15:17" s="387" customFormat="1">
      <c r="O1061" s="441"/>
      <c r="P1061" s="441"/>
      <c r="Q1061" s="441"/>
    </row>
    <row r="1062" spans="15:17" s="387" customFormat="1">
      <c r="O1062" s="441"/>
      <c r="P1062" s="441"/>
      <c r="Q1062" s="441"/>
    </row>
    <row r="1063" spans="15:17" s="387" customFormat="1">
      <c r="O1063" s="441"/>
      <c r="P1063" s="441"/>
      <c r="Q1063" s="441"/>
    </row>
    <row r="1064" spans="15:17" s="387" customFormat="1">
      <c r="O1064" s="441"/>
      <c r="P1064" s="441"/>
      <c r="Q1064" s="441"/>
    </row>
    <row r="1065" spans="15:17" s="387" customFormat="1">
      <c r="O1065" s="441"/>
      <c r="P1065" s="441"/>
      <c r="Q1065" s="441"/>
    </row>
    <row r="1066" spans="15:17" s="387" customFormat="1">
      <c r="O1066" s="441"/>
      <c r="P1066" s="441"/>
      <c r="Q1066" s="441"/>
    </row>
    <row r="1067" spans="15:17" s="387" customFormat="1">
      <c r="O1067" s="441"/>
      <c r="P1067" s="441"/>
      <c r="Q1067" s="441"/>
    </row>
    <row r="1068" spans="15:17" s="387" customFormat="1">
      <c r="O1068" s="441"/>
      <c r="P1068" s="441"/>
      <c r="Q1068" s="441"/>
    </row>
    <row r="1069" spans="15:17" s="387" customFormat="1">
      <c r="O1069" s="441"/>
      <c r="P1069" s="441"/>
      <c r="Q1069" s="441"/>
    </row>
    <row r="1070" spans="15:17" s="387" customFormat="1">
      <c r="O1070" s="441"/>
      <c r="P1070" s="441"/>
      <c r="Q1070" s="441"/>
    </row>
    <row r="1071" spans="15:17" s="387" customFormat="1">
      <c r="O1071" s="441"/>
      <c r="P1071" s="441"/>
      <c r="Q1071" s="441"/>
    </row>
    <row r="1072" spans="15:17" s="387" customFormat="1">
      <c r="O1072" s="441"/>
      <c r="P1072" s="441"/>
      <c r="Q1072" s="441"/>
    </row>
    <row r="1073" spans="15:17" s="387" customFormat="1">
      <c r="O1073" s="441"/>
      <c r="P1073" s="441"/>
      <c r="Q1073" s="441"/>
    </row>
    <row r="1074" spans="15:17" s="387" customFormat="1">
      <c r="O1074" s="441"/>
      <c r="P1074" s="441"/>
      <c r="Q1074" s="441"/>
    </row>
    <row r="1075" spans="15:17" s="387" customFormat="1">
      <c r="O1075" s="441"/>
      <c r="P1075" s="441"/>
      <c r="Q1075" s="441"/>
    </row>
    <row r="1076" spans="15:17" s="387" customFormat="1">
      <c r="O1076" s="441"/>
      <c r="P1076" s="441"/>
      <c r="Q1076" s="441"/>
    </row>
    <row r="1077" spans="15:17" s="387" customFormat="1">
      <c r="O1077" s="441"/>
      <c r="P1077" s="441"/>
      <c r="Q1077" s="441"/>
    </row>
    <row r="1078" spans="15:17" s="387" customFormat="1">
      <c r="O1078" s="441"/>
      <c r="P1078" s="441"/>
      <c r="Q1078" s="441"/>
    </row>
    <row r="1079" spans="15:17" s="387" customFormat="1">
      <c r="O1079" s="441"/>
      <c r="P1079" s="441"/>
      <c r="Q1079" s="441"/>
    </row>
    <row r="1080" spans="15:17" s="387" customFormat="1">
      <c r="O1080" s="441"/>
      <c r="P1080" s="441"/>
      <c r="Q1080" s="441"/>
    </row>
    <row r="1081" spans="15:17" s="387" customFormat="1">
      <c r="O1081" s="441"/>
      <c r="P1081" s="441"/>
      <c r="Q1081" s="441"/>
    </row>
    <row r="1082" spans="15:17" s="387" customFormat="1">
      <c r="O1082" s="441"/>
      <c r="P1082" s="441"/>
      <c r="Q1082" s="441"/>
    </row>
    <row r="1083" spans="15:17" s="387" customFormat="1">
      <c r="O1083" s="441"/>
      <c r="P1083" s="441"/>
      <c r="Q1083" s="441"/>
    </row>
  </sheetData>
  <sheetProtection algorithmName="SHA-512" hashValue="xQ59Ub1R9qHa1A8hQpZOJEIlFxMRNIPieCtkI9fF8PsvXcOvdenr/s0eEL2RSEPgfoi/Jfs6lzWgLGzXj6YV7A==" saltValue="Uw7H3iqgWcmAz7EnLrstOw==" spinCount="100000" sheet="1" objects="1" scenarios="1"/>
  <mergeCells count="109">
    <mergeCell ref="C10:C11"/>
    <mergeCell ref="D10:D11"/>
    <mergeCell ref="E10:E11"/>
    <mergeCell ref="F10:F11"/>
    <mergeCell ref="K10:K11"/>
    <mergeCell ref="A10:A11"/>
    <mergeCell ref="B10:B11"/>
    <mergeCell ref="B5:J5"/>
    <mergeCell ref="O1:R1"/>
    <mergeCell ref="O10:Q10"/>
    <mergeCell ref="R10:R11"/>
    <mergeCell ref="L10:L11"/>
    <mergeCell ref="M10:M11"/>
    <mergeCell ref="N10:N11"/>
    <mergeCell ref="G10:G11"/>
    <mergeCell ref="I10:I11"/>
    <mergeCell ref="J10:J11"/>
    <mergeCell ref="A1:J1"/>
    <mergeCell ref="B4:F4"/>
    <mergeCell ref="A7:E7"/>
    <mergeCell ref="H10:H11"/>
    <mergeCell ref="A2:R2"/>
    <mergeCell ref="A23:A24"/>
    <mergeCell ref="A29:A30"/>
    <mergeCell ref="Q25:Q26"/>
    <mergeCell ref="A27:A28"/>
    <mergeCell ref="Q13:Q15"/>
    <mergeCell ref="C13:C15"/>
    <mergeCell ref="L13:L15"/>
    <mergeCell ref="M13:M15"/>
    <mergeCell ref="N13:N15"/>
    <mergeCell ref="O13:O15"/>
    <mergeCell ref="P13:P15"/>
    <mergeCell ref="A13:A15"/>
    <mergeCell ref="B13:B15"/>
    <mergeCell ref="A25:A26"/>
    <mergeCell ref="B25:B26"/>
    <mergeCell ref="C25:C26"/>
    <mergeCell ref="L25:L26"/>
    <mergeCell ref="M25:M26"/>
    <mergeCell ref="L23:L24"/>
    <mergeCell ref="M23:M24"/>
    <mergeCell ref="N23:N24"/>
    <mergeCell ref="O23:O24"/>
    <mergeCell ref="B23:B24"/>
    <mergeCell ref="C23:C24"/>
    <mergeCell ref="B36:D36"/>
    <mergeCell ref="L36:R47"/>
    <mergeCell ref="A35:D35"/>
    <mergeCell ref="B27:B28"/>
    <mergeCell ref="Q27:Q28"/>
    <mergeCell ref="C27:C28"/>
    <mergeCell ref="L27:L28"/>
    <mergeCell ref="M27:M28"/>
    <mergeCell ref="N27:N28"/>
    <mergeCell ref="O27:O28"/>
    <mergeCell ref="P27:P28"/>
    <mergeCell ref="Q33:Q34"/>
    <mergeCell ref="Q31:Q32"/>
    <mergeCell ref="B29:B30"/>
    <mergeCell ref="A31:A32"/>
    <mergeCell ref="P23:P24"/>
    <mergeCell ref="B37:D37"/>
    <mergeCell ref="A50:C50"/>
    <mergeCell ref="C33:C34"/>
    <mergeCell ref="L33:L34"/>
    <mergeCell ref="M33:M34"/>
    <mergeCell ref="C31:C32"/>
    <mergeCell ref="L31:L32"/>
    <mergeCell ref="M31:M32"/>
    <mergeCell ref="B31:B32"/>
    <mergeCell ref="L29:L30"/>
    <mergeCell ref="M29:M30"/>
    <mergeCell ref="B42:D42"/>
    <mergeCell ref="B43:D43"/>
    <mergeCell ref="B44:D44"/>
    <mergeCell ref="B38:D38"/>
    <mergeCell ref="B40:D40"/>
    <mergeCell ref="B41:D41"/>
    <mergeCell ref="A33:A34"/>
    <mergeCell ref="B33:B34"/>
    <mergeCell ref="C29:C30"/>
    <mergeCell ref="B47:D47"/>
    <mergeCell ref="B45:D45"/>
    <mergeCell ref="B46:D46"/>
    <mergeCell ref="A8:L8"/>
    <mergeCell ref="A9:R9"/>
    <mergeCell ref="B17:B18"/>
    <mergeCell ref="B39:D39"/>
    <mergeCell ref="R13:R15"/>
    <mergeCell ref="K13:K15"/>
    <mergeCell ref="R23:R24"/>
    <mergeCell ref="K23:K24"/>
    <mergeCell ref="K25:K34"/>
    <mergeCell ref="R25:R34"/>
    <mergeCell ref="N29:N30"/>
    <mergeCell ref="O29:O30"/>
    <mergeCell ref="P29:P30"/>
    <mergeCell ref="N25:N26"/>
    <mergeCell ref="O25:O26"/>
    <mergeCell ref="P25:P26"/>
    <mergeCell ref="N33:N34"/>
    <mergeCell ref="O33:O34"/>
    <mergeCell ref="P33:P34"/>
    <mergeCell ref="Q29:Q30"/>
    <mergeCell ref="N31:N32"/>
    <mergeCell ref="O31:O32"/>
    <mergeCell ref="P31:P32"/>
    <mergeCell ref="Q23:Q24"/>
  </mergeCells>
  <conditionalFormatting sqref="E10:G10 K12 G11 I11:J11 I10:L10 H10:H11">
    <cfRule type="dataBar" priority="1">
      <dataBar>
        <cfvo type="min"/>
        <cfvo type="max"/>
        <color rgb="FF638EC6"/>
      </dataBar>
      <extLst>
        <ext xmlns:x14="http://schemas.microsoft.com/office/spreadsheetml/2009/9/main" uri="{B025F937-C7B1-47D3-B67F-A62EFF666E3E}">
          <x14:id>{623EC25E-24C5-413C-ACA5-BDA91C468272}</x14:id>
        </ext>
      </extLst>
    </cfRule>
  </conditionalFormatting>
  <pageMargins left="0.7" right="0.7" top="0.75" bottom="0.75" header="0.3" footer="0.3"/>
  <pageSetup paperSize="8" scale="62" fitToHeight="0" orientation="landscape" r:id="rId1"/>
  <extLst>
    <ext xmlns:x14="http://schemas.microsoft.com/office/spreadsheetml/2009/9/main" uri="{78C0D931-6437-407d-A8EE-F0AAD7539E65}">
      <x14:conditionalFormattings>
        <x14:conditionalFormatting xmlns:xm="http://schemas.microsoft.com/office/excel/2006/main">
          <x14:cfRule type="dataBar" id="{623EC25E-24C5-413C-ACA5-BDA91C468272}">
            <x14:dataBar minLength="0" maxLength="100" border="1" negativeBarBorderColorSameAsPositive="0">
              <x14:cfvo type="autoMin"/>
              <x14:cfvo type="autoMax"/>
              <x14:borderColor rgb="FF638EC6"/>
              <x14:negativeFillColor rgb="FFFF0000"/>
              <x14:negativeBorderColor rgb="FFFF0000"/>
              <x14:axisColor rgb="FF000000"/>
            </x14:dataBar>
          </x14:cfRule>
          <xm:sqref>E10:G10 K12 G11 I11:J11 I10:L10 H10:H11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2AA0C-A947-47D3-986E-93671AAB61EB}">
  <sheetPr>
    <pageSetUpPr fitToPage="1"/>
  </sheetPr>
  <dimension ref="A1:AX1152"/>
  <sheetViews>
    <sheetView zoomScale="80" zoomScaleNormal="80" workbookViewId="0">
      <pane xSplit="9" ySplit="15" topLeftCell="J16" activePane="bottomRight" state="frozen"/>
      <selection pane="topRight" activeCell="N1" sqref="N1"/>
      <selection pane="bottomLeft" activeCell="A9" sqref="A9"/>
      <selection pane="bottomRight" activeCell="N14" sqref="N14:N15"/>
    </sheetView>
  </sheetViews>
  <sheetFormatPr defaultColWidth="9.109375" defaultRowHeight="11.4"/>
  <cols>
    <col min="1" max="1" width="15.33203125" style="390" customWidth="1"/>
    <col min="2" max="2" width="32.109375" style="390" customWidth="1"/>
    <col min="3" max="3" width="4.33203125" style="390" customWidth="1"/>
    <col min="4" max="4" width="5.5546875" style="390" customWidth="1"/>
    <col min="5" max="6" width="10.6640625" style="391" hidden="1" customWidth="1"/>
    <col min="7" max="7" width="10.6640625" style="390" hidden="1" customWidth="1"/>
    <col min="8" max="8" width="12.6640625" style="390" customWidth="1"/>
    <col min="9" max="9" width="12.5546875" style="390" customWidth="1"/>
    <col min="10" max="11" width="12.33203125" style="390" customWidth="1"/>
    <col min="12" max="12" width="51.44140625" style="390" customWidth="1"/>
    <col min="13" max="13" width="10.6640625" style="390" customWidth="1"/>
    <col min="14" max="14" width="30.5546875" style="390" customWidth="1"/>
    <col min="15" max="17" width="6.33203125" style="1006" customWidth="1"/>
    <col min="18" max="18" width="29.44140625" style="390" customWidth="1"/>
    <col min="19" max="19" width="9.109375" style="390" customWidth="1"/>
    <col min="20" max="20" width="9.109375" style="390"/>
    <col min="21" max="22" width="8.88671875" style="390" customWidth="1"/>
    <col min="23" max="16384" width="9.109375" style="390"/>
  </cols>
  <sheetData>
    <row r="1" spans="1:21" ht="21" customHeight="1">
      <c r="A1" s="1935" t="s">
        <v>2488</v>
      </c>
      <c r="B1" s="1935"/>
      <c r="C1" s="1935"/>
      <c r="D1" s="1935"/>
      <c r="E1" s="1935"/>
      <c r="F1" s="1935"/>
      <c r="G1" s="1935"/>
      <c r="H1" s="1935"/>
      <c r="I1" s="1935"/>
      <c r="J1" s="1935"/>
      <c r="K1" s="1935"/>
      <c r="L1" s="1935"/>
      <c r="O1" s="1963"/>
      <c r="P1" s="1963"/>
      <c r="Q1" s="1963"/>
      <c r="R1" s="1963"/>
    </row>
    <row r="2" spans="1:21" ht="37.799999999999997" customHeight="1">
      <c r="A2" s="1880" t="s">
        <v>3766</v>
      </c>
      <c r="B2" s="1880"/>
      <c r="C2" s="1880"/>
      <c r="D2" s="1880"/>
      <c r="E2" s="1880"/>
      <c r="F2" s="1880"/>
      <c r="G2" s="1880"/>
      <c r="H2" s="1880"/>
      <c r="I2" s="1880"/>
      <c r="J2" s="1880"/>
      <c r="K2" s="1880"/>
      <c r="L2" s="1880"/>
      <c r="M2" s="1880"/>
      <c r="N2" s="1880"/>
      <c r="O2" s="1880"/>
      <c r="P2" s="1880"/>
      <c r="Q2" s="1880"/>
      <c r="R2" s="1880"/>
    </row>
    <row r="3" spans="1:21" ht="7.95" customHeight="1">
      <c r="A3" s="387"/>
      <c r="B3" s="387"/>
      <c r="C3" s="387"/>
      <c r="D3" s="387"/>
      <c r="E3" s="387"/>
      <c r="F3" s="387"/>
      <c r="G3" s="387"/>
      <c r="H3" s="387"/>
      <c r="I3" s="387"/>
      <c r="J3" s="387"/>
      <c r="L3" s="387"/>
    </row>
    <row r="4" spans="1:21">
      <c r="A4" s="390" t="str">
        <f>A16</f>
        <v>04.01.01. (T)</v>
      </c>
      <c r="B4" s="390" t="str">
        <f>B16</f>
        <v>Užtikrinti efektyvią kultūros įstaigų veiklą</v>
      </c>
      <c r="E4" s="390"/>
      <c r="F4" s="390"/>
    </row>
    <row r="5" spans="1:21" ht="27.6" customHeight="1">
      <c r="A5" s="1002" t="str">
        <f>A38</f>
        <v>04.02.01. (T)</v>
      </c>
      <c r="B5" s="1939" t="str">
        <f>B38</f>
        <v>Sąlygų Dainų švenčių tradicijos tęstinumui Visagino savivaldybėje sudarymas, mėgėjų meno kolektyvų pasirengimo ir dalyvavimo Dainų šventėse,  vietiniuose, regioniniuose, respublikiniuose ir tarptautiniuose renginiuose užtikrinimas, mėgėjų meną populiarinančių renginių organizavimas, tautinių mažumų kultūrų įvairovės pristatymas</v>
      </c>
      <c r="C5" s="1939"/>
      <c r="D5" s="1939"/>
      <c r="E5" s="1939"/>
      <c r="F5" s="1939"/>
      <c r="G5" s="1939"/>
      <c r="H5" s="1939"/>
      <c r="I5" s="1939"/>
      <c r="J5" s="1939"/>
      <c r="K5" s="1939"/>
      <c r="L5" s="1939"/>
      <c r="M5" s="1939"/>
      <c r="N5" s="1939"/>
      <c r="O5" s="1939"/>
      <c r="P5" s="1939"/>
      <c r="Q5" s="1939"/>
      <c r="R5" s="1939"/>
      <c r="S5" s="1002"/>
      <c r="T5" s="1002"/>
      <c r="U5" s="1002"/>
    </row>
    <row r="6" spans="1:21" ht="24" customHeight="1">
      <c r="A6" s="390" t="str">
        <f>A58</f>
        <v>04.02.02. (TP)</v>
      </c>
      <c r="B6" s="1940" t="str">
        <f>B58</f>
        <v>Siekiant formuoti regioninį išskirtinumą, kurti savitus, aktualaus turinio, kokybiškus kultūros produktus ir paslaugas, sudaryti sąlygas savivaldybės kultūros lauko veikėjų kultūrinių,  kūrybinių iniciatyvų įgyvendinimui, tam pasitelkti kūrybiškos vietokūros metodo teikiamas galimybes, bei sudaryti sąlygas profesionalaus meno prieinamumui</v>
      </c>
      <c r="C6" s="1940"/>
      <c r="D6" s="1940"/>
      <c r="E6" s="1940"/>
      <c r="F6" s="1940"/>
      <c r="G6" s="1940"/>
      <c r="H6" s="1940"/>
      <c r="I6" s="1940"/>
      <c r="J6" s="1940"/>
      <c r="K6" s="1940"/>
      <c r="L6" s="1940"/>
      <c r="M6" s="1940"/>
      <c r="N6" s="1940"/>
      <c r="O6" s="1940"/>
      <c r="P6" s="1940"/>
      <c r="Q6" s="1940"/>
      <c r="R6" s="1940"/>
    </row>
    <row r="7" spans="1:21" ht="18.600000000000001" customHeight="1">
      <c r="A7" s="1002" t="str">
        <f>A79</f>
        <v>04.02.03. (TP)</v>
      </c>
      <c r="B7" s="390" t="str">
        <f>B79</f>
        <v>Valstybės švenčių, sukakčių, įvykių minėjimas, visuomenės pilietiškumo, patriotiškumo ir nacionalinės savivertės stiprinimas</v>
      </c>
      <c r="E7" s="390"/>
      <c r="F7" s="390"/>
    </row>
    <row r="8" spans="1:21" ht="21" customHeight="1">
      <c r="A8" s="1002" t="str">
        <f>A89</f>
        <v>04.02.04. (T)</v>
      </c>
      <c r="B8" s="390" t="str">
        <f>B89</f>
        <v>Sociokultūrinių bendruomenės poreikių tenkinimas, laisvalaikio, neformaliojo švietimo programų, kultūrinių edukacijų, ugdančių gyventojų kultūrines kompetencijas ir kūrybiškumą, organizavimas įtraukiant skirtingo amžiaus, pomėgių ir poreikių visuomenės grupes</v>
      </c>
      <c r="E8" s="390"/>
      <c r="F8" s="390"/>
    </row>
    <row r="9" spans="1:21" ht="19.2" customHeight="1">
      <c r="A9" s="387"/>
      <c r="B9" s="387"/>
      <c r="C9" s="387"/>
      <c r="D9" s="387"/>
      <c r="E9" s="387"/>
      <c r="F9" s="387"/>
      <c r="G9" s="387"/>
      <c r="H9" s="387"/>
      <c r="I9" s="387"/>
      <c r="J9" s="387"/>
      <c r="L9" s="387"/>
    </row>
    <row r="10" spans="1:21" s="383" customFormat="1" ht="19.2" customHeight="1">
      <c r="A10" s="1936" t="s">
        <v>1463</v>
      </c>
      <c r="B10" s="1936"/>
      <c r="C10" s="1936"/>
      <c r="D10" s="1936"/>
      <c r="E10" s="1936"/>
      <c r="F10" s="419"/>
      <c r="G10" s="419"/>
      <c r="H10" s="419"/>
      <c r="I10" s="400"/>
      <c r="J10" s="400"/>
      <c r="L10" s="400"/>
      <c r="O10" s="1005"/>
      <c r="P10" s="1005"/>
      <c r="Q10" s="1005"/>
      <c r="R10" s="381"/>
    </row>
    <row r="11" spans="1:21" s="383" customFormat="1" ht="22.2" customHeight="1">
      <c r="A11" s="1936" t="s">
        <v>3863</v>
      </c>
      <c r="B11" s="1936"/>
      <c r="C11" s="1936"/>
      <c r="D11" s="1936"/>
      <c r="E11" s="1936"/>
      <c r="F11" s="1936"/>
      <c r="G11" s="1936"/>
      <c r="H11" s="1936"/>
      <c r="I11" s="1936"/>
      <c r="J11" s="1936"/>
      <c r="K11" s="1936"/>
      <c r="L11" s="1936"/>
      <c r="M11" s="1936"/>
      <c r="N11" s="1936"/>
      <c r="O11" s="1936"/>
      <c r="P11" s="1936"/>
      <c r="Q11" s="1936"/>
      <c r="R11" s="1936"/>
    </row>
    <row r="12" spans="1:21" ht="9" customHeight="1">
      <c r="A12" s="438"/>
      <c r="B12" s="387"/>
      <c r="C12" s="387"/>
      <c r="D12" s="387"/>
      <c r="E12" s="387"/>
      <c r="F12" s="387"/>
      <c r="G12" s="387"/>
      <c r="H12" s="387"/>
      <c r="I12" s="387"/>
      <c r="J12" s="431"/>
      <c r="L12" s="387"/>
    </row>
    <row r="13" spans="1:21">
      <c r="A13" s="1971" t="s">
        <v>3871</v>
      </c>
      <c r="B13" s="1971"/>
      <c r="C13" s="1971"/>
      <c r="D13" s="1971"/>
      <c r="E13" s="1971"/>
      <c r="F13" s="1971"/>
      <c r="G13" s="1971"/>
      <c r="H13" s="1971"/>
      <c r="I13" s="1971"/>
      <c r="J13" s="1971"/>
      <c r="L13" s="387"/>
    </row>
    <row r="14" spans="1:21" s="1554" customFormat="1" ht="30" customHeight="1">
      <c r="A14" s="1722" t="s">
        <v>999</v>
      </c>
      <c r="B14" s="1722" t="s">
        <v>2550</v>
      </c>
      <c r="C14" s="1927" t="s">
        <v>1368</v>
      </c>
      <c r="D14" s="1929" t="s">
        <v>1369</v>
      </c>
      <c r="E14" s="1931" t="s">
        <v>1388</v>
      </c>
      <c r="F14" s="1732" t="s">
        <v>1499</v>
      </c>
      <c r="G14" s="1968" t="s">
        <v>3168</v>
      </c>
      <c r="H14" s="1850" t="s">
        <v>2568</v>
      </c>
      <c r="I14" s="1722" t="s">
        <v>2567</v>
      </c>
      <c r="J14" s="1722" t="s">
        <v>2634</v>
      </c>
      <c r="K14" s="1770" t="s">
        <v>2596</v>
      </c>
      <c r="L14" s="1772" t="s">
        <v>3908</v>
      </c>
      <c r="M14" s="1724" t="s">
        <v>1000</v>
      </c>
      <c r="N14" s="1724" t="s">
        <v>1390</v>
      </c>
      <c r="O14" s="1780" t="s">
        <v>1001</v>
      </c>
      <c r="P14" s="1780"/>
      <c r="Q14" s="1780"/>
      <c r="R14" s="1724" t="s">
        <v>1002</v>
      </c>
    </row>
    <row r="15" spans="1:21" s="1554" customFormat="1" ht="51" customHeight="1">
      <c r="A15" s="1808"/>
      <c r="B15" s="1808"/>
      <c r="C15" s="1964"/>
      <c r="D15" s="1965"/>
      <c r="E15" s="1966"/>
      <c r="F15" s="1967"/>
      <c r="G15" s="1969"/>
      <c r="H15" s="1972"/>
      <c r="I15" s="1808"/>
      <c r="J15" s="1808"/>
      <c r="K15" s="1771"/>
      <c r="L15" s="1970"/>
      <c r="M15" s="1725"/>
      <c r="N15" s="1725"/>
      <c r="O15" s="1007">
        <v>2024</v>
      </c>
      <c r="P15" s="1007">
        <v>2025</v>
      </c>
      <c r="Q15" s="1007">
        <v>2026</v>
      </c>
      <c r="R15" s="1725"/>
    </row>
    <row r="16" spans="1:21" ht="30" customHeight="1">
      <c r="A16" s="762" t="s">
        <v>2612</v>
      </c>
      <c r="B16" s="984" t="s">
        <v>1721</v>
      </c>
      <c r="C16" s="985"/>
      <c r="D16" s="985"/>
      <c r="E16" s="986">
        <f>SUM(E22,E36)</f>
        <v>1523.662</v>
      </c>
      <c r="F16" s="987">
        <f>H16/E16-1</f>
        <v>0.12923798060199676</v>
      </c>
      <c r="G16" s="986">
        <f t="shared" ref="G16:J16" si="0">SUM(G22,G36)</f>
        <v>1745.6989999999998</v>
      </c>
      <c r="H16" s="986">
        <f>SUM(H22,H36)</f>
        <v>1720.5769999999998</v>
      </c>
      <c r="I16" s="986">
        <f t="shared" si="0"/>
        <v>1756</v>
      </c>
      <c r="J16" s="986">
        <f t="shared" si="0"/>
        <v>1760.5</v>
      </c>
      <c r="K16" s="871" t="s">
        <v>1188</v>
      </c>
      <c r="L16" s="1008"/>
      <c r="M16" s="988" t="s">
        <v>1713</v>
      </c>
      <c r="N16" s="988" t="s">
        <v>1190</v>
      </c>
      <c r="O16" s="1140" t="s">
        <v>1694</v>
      </c>
      <c r="P16" s="1140" t="s">
        <v>205</v>
      </c>
      <c r="Q16" s="1140" t="s">
        <v>1847</v>
      </c>
      <c r="R16" s="763" t="s">
        <v>1190</v>
      </c>
    </row>
    <row r="17" spans="1:18" ht="20.100000000000001" customHeight="1">
      <c r="A17" s="1914" t="s">
        <v>2613</v>
      </c>
      <c r="B17" s="1890" t="s">
        <v>1507</v>
      </c>
      <c r="C17" s="1980" t="s">
        <v>1376</v>
      </c>
      <c r="D17" s="943" t="s">
        <v>668</v>
      </c>
      <c r="E17" s="745">
        <f>SUM(E23,E29)</f>
        <v>1368.74</v>
      </c>
      <c r="F17" s="944">
        <f>H17/E17-1</f>
        <v>0.10280257755307787</v>
      </c>
      <c r="G17" s="745">
        <f t="shared" ref="G17:J17" si="1">SUM(G23,G29)</f>
        <v>1494.6489999999999</v>
      </c>
      <c r="H17" s="745">
        <f t="shared" ref="H17" si="2">SUM(H23,H29)</f>
        <v>1509.4499999999998</v>
      </c>
      <c r="I17" s="745">
        <f t="shared" si="1"/>
        <v>1511</v>
      </c>
      <c r="J17" s="745">
        <f t="shared" si="1"/>
        <v>1513</v>
      </c>
      <c r="K17" s="1764" t="s">
        <v>2894</v>
      </c>
      <c r="L17" s="1982" t="s">
        <v>1746</v>
      </c>
      <c r="M17" s="1890" t="s">
        <v>1711</v>
      </c>
      <c r="N17" s="1941" t="s">
        <v>1720</v>
      </c>
      <c r="O17" s="1892" t="s">
        <v>1776</v>
      </c>
      <c r="P17" s="1892" t="s">
        <v>1776</v>
      </c>
      <c r="Q17" s="1892" t="s">
        <v>1776</v>
      </c>
      <c r="R17" s="1724" t="s">
        <v>2895</v>
      </c>
    </row>
    <row r="18" spans="1:18" ht="20.100000000000001" customHeight="1">
      <c r="A18" s="1914"/>
      <c r="B18" s="1890"/>
      <c r="C18" s="1980"/>
      <c r="D18" s="943" t="s">
        <v>1754</v>
      </c>
      <c r="E18" s="745">
        <f t="shared" ref="E18:J21" si="3">SUM(E24,E30)</f>
        <v>55.830000000000005</v>
      </c>
      <c r="F18" s="944">
        <f>H18/E18-1</f>
        <v>0.2474117857782554</v>
      </c>
      <c r="G18" s="745">
        <f t="shared" si="3"/>
        <v>41.6</v>
      </c>
      <c r="H18" s="745">
        <f t="shared" ref="H18" si="4">SUM(H24,H30)</f>
        <v>69.643000000000001</v>
      </c>
      <c r="I18" s="745">
        <f t="shared" si="3"/>
        <v>70</v>
      </c>
      <c r="J18" s="745">
        <f t="shared" si="3"/>
        <v>71</v>
      </c>
      <c r="K18" s="1774"/>
      <c r="L18" s="1943"/>
      <c r="M18" s="1890"/>
      <c r="N18" s="1941"/>
      <c r="O18" s="1892"/>
      <c r="P18" s="1892"/>
      <c r="Q18" s="1892"/>
      <c r="R18" s="1942"/>
    </row>
    <row r="19" spans="1:18" ht="20.100000000000001" customHeight="1">
      <c r="A19" s="1914"/>
      <c r="B19" s="1890"/>
      <c r="C19" s="1980"/>
      <c r="D19" s="943" t="s">
        <v>1422</v>
      </c>
      <c r="E19" s="745">
        <f t="shared" si="3"/>
        <v>23.091999999999999</v>
      </c>
      <c r="F19" s="944">
        <f>H19/E19-1</f>
        <v>0.10358565737051806</v>
      </c>
      <c r="G19" s="745">
        <f t="shared" si="3"/>
        <v>23.78</v>
      </c>
      <c r="H19" s="745">
        <f t="shared" ref="H19" si="5">SUM(H25,H31)</f>
        <v>25.484000000000002</v>
      </c>
      <c r="I19" s="745">
        <f t="shared" si="3"/>
        <v>26</v>
      </c>
      <c r="J19" s="745">
        <f t="shared" si="3"/>
        <v>26.5</v>
      </c>
      <c r="K19" s="1774"/>
      <c r="L19" s="1943"/>
      <c r="M19" s="1890"/>
      <c r="N19" s="1941"/>
      <c r="O19" s="1892"/>
      <c r="P19" s="1892"/>
      <c r="Q19" s="1892"/>
      <c r="R19" s="1942"/>
    </row>
    <row r="20" spans="1:18" ht="20.100000000000001" customHeight="1">
      <c r="A20" s="1914"/>
      <c r="B20" s="1890"/>
      <c r="C20" s="1980"/>
      <c r="D20" s="943" t="s">
        <v>341</v>
      </c>
      <c r="E20" s="745">
        <f t="shared" si="3"/>
        <v>0</v>
      </c>
      <c r="F20" s="944"/>
      <c r="G20" s="745">
        <f t="shared" si="3"/>
        <v>0</v>
      </c>
      <c r="H20" s="745">
        <f t="shared" ref="H20" si="6">SUM(H26,H32)</f>
        <v>0</v>
      </c>
      <c r="I20" s="745">
        <f t="shared" si="3"/>
        <v>0</v>
      </c>
      <c r="J20" s="745">
        <f t="shared" si="3"/>
        <v>0</v>
      </c>
      <c r="K20" s="1774"/>
      <c r="L20" s="1943"/>
      <c r="M20" s="1890"/>
      <c r="N20" s="1941"/>
      <c r="O20" s="1892"/>
      <c r="P20" s="1892"/>
      <c r="Q20" s="1892"/>
      <c r="R20" s="1942"/>
    </row>
    <row r="21" spans="1:18" ht="20.100000000000001" customHeight="1">
      <c r="A21" s="1905"/>
      <c r="B21" s="1893"/>
      <c r="C21" s="1981"/>
      <c r="D21" s="945" t="s">
        <v>978</v>
      </c>
      <c r="E21" s="745">
        <f t="shared" si="3"/>
        <v>0</v>
      </c>
      <c r="F21" s="944"/>
      <c r="G21" s="745">
        <f t="shared" si="3"/>
        <v>16</v>
      </c>
      <c r="H21" s="745">
        <v>16</v>
      </c>
      <c r="I21" s="745">
        <f t="shared" si="3"/>
        <v>0</v>
      </c>
      <c r="J21" s="745">
        <f t="shared" si="3"/>
        <v>0</v>
      </c>
      <c r="K21" s="1774"/>
      <c r="L21" s="1943"/>
      <c r="M21" s="1893"/>
      <c r="N21" s="1937"/>
      <c r="O21" s="1938"/>
      <c r="P21" s="1938"/>
      <c r="Q21" s="1938"/>
      <c r="R21" s="1942"/>
    </row>
    <row r="22" spans="1:18" ht="20.100000000000001" customHeight="1">
      <c r="A22" s="1905"/>
      <c r="B22" s="1893"/>
      <c r="C22" s="1981"/>
      <c r="D22" s="1011" t="s">
        <v>1372</v>
      </c>
      <c r="E22" s="1012">
        <f>SUM(E17:E21)</f>
        <v>1447.662</v>
      </c>
      <c r="F22" s="1013">
        <f>H22/E22-1</f>
        <v>0.11944431780346498</v>
      </c>
      <c r="G22" s="1012">
        <f>SUM(G17:G21)</f>
        <v>1576.0289999999998</v>
      </c>
      <c r="H22" s="1012">
        <f t="shared" ref="H22:J22" si="7">SUM(H17:H21)</f>
        <v>1620.5769999999998</v>
      </c>
      <c r="I22" s="1012">
        <f t="shared" si="7"/>
        <v>1607</v>
      </c>
      <c r="J22" s="1012">
        <f t="shared" si="7"/>
        <v>1610.5</v>
      </c>
      <c r="K22" s="1765"/>
      <c r="L22" s="1943"/>
      <c r="M22" s="1893"/>
      <c r="N22" s="1937"/>
      <c r="O22" s="1938"/>
      <c r="P22" s="1938"/>
      <c r="Q22" s="1938"/>
      <c r="R22" s="1725"/>
    </row>
    <row r="23" spans="1:18" ht="20.100000000000001" hidden="1" customHeight="1">
      <c r="A23" s="1949"/>
      <c r="B23" s="1975" t="s">
        <v>1526</v>
      </c>
      <c r="C23" s="1977" t="s">
        <v>1744</v>
      </c>
      <c r="D23" s="1015" t="s">
        <v>668</v>
      </c>
      <c r="E23" s="1001">
        <v>375.84</v>
      </c>
      <c r="F23" s="1016">
        <f>H23/E23-1</f>
        <v>0.12920391656023833</v>
      </c>
      <c r="G23" s="1001">
        <v>391.29</v>
      </c>
      <c r="H23" s="1001">
        <v>424.4</v>
      </c>
      <c r="I23" s="1001">
        <v>425</v>
      </c>
      <c r="J23" s="1001">
        <v>426</v>
      </c>
      <c r="K23" s="451"/>
      <c r="L23" s="1979" t="s">
        <v>2252</v>
      </c>
      <c r="M23" s="1973" t="s">
        <v>1712</v>
      </c>
      <c r="N23" s="1975" t="s">
        <v>1722</v>
      </c>
      <c r="O23" s="1947" t="s">
        <v>1723</v>
      </c>
      <c r="P23" s="1947" t="s">
        <v>1723</v>
      </c>
      <c r="Q23" s="1947" t="s">
        <v>1723</v>
      </c>
      <c r="R23" s="1018"/>
    </row>
    <row r="24" spans="1:18" ht="20.100000000000001" hidden="1" customHeight="1">
      <c r="A24" s="1950"/>
      <c r="B24" s="1976"/>
      <c r="C24" s="1978"/>
      <c r="D24" s="1015" t="s">
        <v>1754</v>
      </c>
      <c r="E24" s="1001">
        <v>1.2</v>
      </c>
      <c r="F24" s="1016">
        <f>H24/E24-1</f>
        <v>0.58333333333333326</v>
      </c>
      <c r="G24" s="1001">
        <v>1.4</v>
      </c>
      <c r="H24" s="1001">
        <v>1.9</v>
      </c>
      <c r="I24" s="1001">
        <v>2</v>
      </c>
      <c r="J24" s="1001">
        <v>2</v>
      </c>
      <c r="K24" s="451"/>
      <c r="L24" s="1979"/>
      <c r="M24" s="1974"/>
      <c r="N24" s="1976"/>
      <c r="O24" s="1948"/>
      <c r="P24" s="1948"/>
      <c r="Q24" s="1948"/>
      <c r="R24" s="1018"/>
    </row>
    <row r="25" spans="1:18" ht="20.100000000000001" hidden="1" customHeight="1">
      <c r="A25" s="1950"/>
      <c r="B25" s="1976"/>
      <c r="C25" s="1978"/>
      <c r="D25" s="1015" t="s">
        <v>1422</v>
      </c>
      <c r="E25" s="1001">
        <v>23.091999999999999</v>
      </c>
      <c r="F25" s="1016">
        <f>H25/E25-1</f>
        <v>0.10358565737051806</v>
      </c>
      <c r="G25" s="1001">
        <v>23.78</v>
      </c>
      <c r="H25" s="1001">
        <v>25.484000000000002</v>
      </c>
      <c r="I25" s="1001">
        <v>26</v>
      </c>
      <c r="J25" s="1001">
        <v>26.5</v>
      </c>
      <c r="K25" s="451"/>
      <c r="L25" s="1979"/>
      <c r="M25" s="1974"/>
      <c r="N25" s="1976"/>
      <c r="O25" s="1948"/>
      <c r="P25" s="1948"/>
      <c r="Q25" s="1948"/>
      <c r="R25" s="1018"/>
    </row>
    <row r="26" spans="1:18" ht="20.100000000000001" hidden="1" customHeight="1">
      <c r="A26" s="1950"/>
      <c r="B26" s="1976"/>
      <c r="C26" s="1978"/>
      <c r="D26" s="1015" t="s">
        <v>341</v>
      </c>
      <c r="E26" s="1001"/>
      <c r="F26" s="1016"/>
      <c r="G26" s="1001"/>
      <c r="H26" s="1001"/>
      <c r="I26" s="1001"/>
      <c r="J26" s="1001"/>
      <c r="K26" s="451"/>
      <c r="L26" s="1979"/>
      <c r="M26" s="1974"/>
      <c r="N26" s="1976"/>
      <c r="O26" s="1948"/>
      <c r="P26" s="1948"/>
      <c r="Q26" s="1948"/>
      <c r="R26" s="1018"/>
    </row>
    <row r="27" spans="1:18" ht="20.100000000000001" hidden="1" customHeight="1">
      <c r="A27" s="1950"/>
      <c r="B27" s="1976"/>
      <c r="C27" s="1978"/>
      <c r="D27" s="1021" t="s">
        <v>978</v>
      </c>
      <c r="E27" s="1001"/>
      <c r="F27" s="1016"/>
      <c r="G27" s="1001"/>
      <c r="H27" s="1001"/>
      <c r="I27" s="1001"/>
      <c r="J27" s="1001"/>
      <c r="K27" s="451"/>
      <c r="L27" s="1979"/>
      <c r="M27" s="1974"/>
      <c r="N27" s="1976"/>
      <c r="O27" s="1948"/>
      <c r="P27" s="1948"/>
      <c r="Q27" s="1948"/>
      <c r="R27" s="1018"/>
    </row>
    <row r="28" spans="1:18" ht="20.100000000000001" hidden="1" customHeight="1">
      <c r="A28" s="1950"/>
      <c r="B28" s="1976"/>
      <c r="C28" s="1978"/>
      <c r="D28" s="1022" t="s">
        <v>1372</v>
      </c>
      <c r="E28" s="1023">
        <f>SUM(E23:E27)</f>
        <v>400.13199999999995</v>
      </c>
      <c r="F28" s="1016">
        <f>H28/E28-1</f>
        <v>0.12908740115761796</v>
      </c>
      <c r="G28" s="1023">
        <f t="shared" ref="G28:J28" si="8">SUM(G23:G27)</f>
        <v>416.47</v>
      </c>
      <c r="H28" s="1023">
        <f t="shared" ref="H28" si="9">SUM(H23:H27)</f>
        <v>451.78399999999993</v>
      </c>
      <c r="I28" s="1023">
        <f t="shared" si="8"/>
        <v>453</v>
      </c>
      <c r="J28" s="1023">
        <f t="shared" si="8"/>
        <v>454.5</v>
      </c>
      <c r="K28" s="451"/>
      <c r="L28" s="1979"/>
      <c r="M28" s="1974"/>
      <c r="N28" s="1976"/>
      <c r="O28" s="1948"/>
      <c r="P28" s="1948"/>
      <c r="Q28" s="1948"/>
      <c r="R28" s="1018"/>
    </row>
    <row r="29" spans="1:18" ht="20.100000000000001" hidden="1" customHeight="1">
      <c r="A29" s="1949"/>
      <c r="B29" s="1975" t="s">
        <v>1527</v>
      </c>
      <c r="C29" s="1977" t="s">
        <v>1745</v>
      </c>
      <c r="D29" s="1015" t="s">
        <v>668</v>
      </c>
      <c r="E29" s="1001">
        <v>992.9</v>
      </c>
      <c r="F29" s="1016">
        <f t="shared" ref="F29:F30" si="10">H29/E29-1</f>
        <v>9.2808943498841723E-2</v>
      </c>
      <c r="G29" s="1001">
        <v>1103.3589999999999</v>
      </c>
      <c r="H29" s="1001">
        <v>1085.05</v>
      </c>
      <c r="I29" s="1001">
        <v>1086</v>
      </c>
      <c r="J29" s="1001">
        <v>1087</v>
      </c>
      <c r="K29" s="451"/>
      <c r="L29" s="1979" t="s">
        <v>2262</v>
      </c>
      <c r="M29" s="1973" t="s">
        <v>1712</v>
      </c>
      <c r="N29" s="1975" t="s">
        <v>1724</v>
      </c>
      <c r="O29" s="1947" t="s">
        <v>1723</v>
      </c>
      <c r="P29" s="1947" t="s">
        <v>1723</v>
      </c>
      <c r="Q29" s="1947" t="s">
        <v>1723</v>
      </c>
      <c r="R29" s="1018"/>
    </row>
    <row r="30" spans="1:18" ht="20.100000000000001" hidden="1" customHeight="1">
      <c r="A30" s="1950"/>
      <c r="B30" s="1976"/>
      <c r="C30" s="1978"/>
      <c r="D30" s="1015" t="s">
        <v>1754</v>
      </c>
      <c r="E30" s="1001">
        <v>54.63</v>
      </c>
      <c r="F30" s="1016">
        <f t="shared" si="10"/>
        <v>0.24003294892915972</v>
      </c>
      <c r="G30" s="1001">
        <v>40.200000000000003</v>
      </c>
      <c r="H30" s="1001">
        <f>63+4.743</f>
        <v>67.742999999999995</v>
      </c>
      <c r="I30" s="1001">
        <v>68</v>
      </c>
      <c r="J30" s="1001">
        <v>69</v>
      </c>
      <c r="K30" s="451"/>
      <c r="L30" s="1979"/>
      <c r="M30" s="1974"/>
      <c r="N30" s="1976"/>
      <c r="O30" s="1948"/>
      <c r="P30" s="1948"/>
      <c r="Q30" s="1948"/>
      <c r="R30" s="1018"/>
    </row>
    <row r="31" spans="1:18" ht="20.100000000000001" hidden="1" customHeight="1">
      <c r="A31" s="1950"/>
      <c r="B31" s="1976"/>
      <c r="C31" s="1978"/>
      <c r="D31" s="1015" t="s">
        <v>1422</v>
      </c>
      <c r="E31" s="1001"/>
      <c r="F31" s="1016"/>
      <c r="G31" s="1001"/>
      <c r="H31" s="1001"/>
      <c r="I31" s="1001"/>
      <c r="J31" s="1001"/>
      <c r="K31" s="451"/>
      <c r="L31" s="1979"/>
      <c r="M31" s="1974"/>
      <c r="N31" s="1976"/>
      <c r="O31" s="1948"/>
      <c r="P31" s="1948"/>
      <c r="Q31" s="1948"/>
      <c r="R31" s="1018"/>
    </row>
    <row r="32" spans="1:18" ht="20.100000000000001" hidden="1" customHeight="1">
      <c r="A32" s="1950"/>
      <c r="B32" s="1976"/>
      <c r="C32" s="1978"/>
      <c r="D32" s="1015" t="s">
        <v>341</v>
      </c>
      <c r="E32" s="1001"/>
      <c r="F32" s="1016"/>
      <c r="G32" s="1001"/>
      <c r="H32" s="1001"/>
      <c r="I32" s="1001"/>
      <c r="J32" s="1001"/>
      <c r="K32" s="451"/>
      <c r="L32" s="1979"/>
      <c r="M32" s="1974"/>
      <c r="N32" s="1976"/>
      <c r="O32" s="1948"/>
      <c r="P32" s="1948"/>
      <c r="Q32" s="1948"/>
      <c r="R32" s="1018"/>
    </row>
    <row r="33" spans="1:18" ht="20.100000000000001" hidden="1" customHeight="1">
      <c r="A33" s="1950"/>
      <c r="B33" s="1976"/>
      <c r="C33" s="1978"/>
      <c r="D33" s="1021" t="s">
        <v>978</v>
      </c>
      <c r="E33" s="1001"/>
      <c r="F33" s="1016"/>
      <c r="G33" s="1001">
        <v>16</v>
      </c>
      <c r="H33" s="1001">
        <v>16</v>
      </c>
      <c r="I33" s="1001">
        <v>0</v>
      </c>
      <c r="J33" s="1001">
        <v>0</v>
      </c>
      <c r="K33" s="451"/>
      <c r="L33" s="1979"/>
      <c r="M33" s="1974"/>
      <c r="N33" s="1976"/>
      <c r="O33" s="1948"/>
      <c r="P33" s="1948"/>
      <c r="Q33" s="1948"/>
      <c r="R33" s="1018"/>
    </row>
    <row r="34" spans="1:18" ht="20.100000000000001" hidden="1" customHeight="1">
      <c r="A34" s="1950"/>
      <c r="B34" s="1976"/>
      <c r="C34" s="1978"/>
      <c r="D34" s="1022" t="s">
        <v>1372</v>
      </c>
      <c r="E34" s="1024">
        <f>SUM(E29:E33)</f>
        <v>1047.53</v>
      </c>
      <c r="F34" s="1025">
        <f>H34/E34-1</f>
        <v>0.11576088512978133</v>
      </c>
      <c r="G34" s="1024">
        <f t="shared" ref="G34:J34" si="11">SUM(G29:G33)</f>
        <v>1159.559</v>
      </c>
      <c r="H34" s="1024">
        <f t="shared" ref="H34" si="12">SUM(H29:H33)</f>
        <v>1168.7929999999999</v>
      </c>
      <c r="I34" s="1024">
        <f t="shared" si="11"/>
        <v>1154</v>
      </c>
      <c r="J34" s="1024">
        <f t="shared" si="11"/>
        <v>1156</v>
      </c>
      <c r="K34" s="451"/>
      <c r="L34" s="1979"/>
      <c r="M34" s="1974"/>
      <c r="N34" s="1976"/>
      <c r="O34" s="1948"/>
      <c r="P34" s="1948"/>
      <c r="Q34" s="1948"/>
      <c r="R34" s="1018"/>
    </row>
    <row r="35" spans="1:18" ht="37.799999999999997" customHeight="1">
      <c r="A35" s="1914" t="s">
        <v>2614</v>
      </c>
      <c r="B35" s="1890" t="s">
        <v>1508</v>
      </c>
      <c r="C35" s="1980" t="s">
        <v>1525</v>
      </c>
      <c r="D35" s="943" t="s">
        <v>668</v>
      </c>
      <c r="E35" s="745">
        <v>76</v>
      </c>
      <c r="F35" s="946">
        <f>H35/E35-1</f>
        <v>0.31578947368421062</v>
      </c>
      <c r="G35" s="745">
        <v>169.67</v>
      </c>
      <c r="H35" s="745">
        <v>100</v>
      </c>
      <c r="I35" s="745">
        <v>149</v>
      </c>
      <c r="J35" s="749">
        <v>150</v>
      </c>
      <c r="K35" s="1764" t="s">
        <v>2896</v>
      </c>
      <c r="L35" s="1943" t="s">
        <v>1747</v>
      </c>
      <c r="M35" s="1893" t="s">
        <v>1725</v>
      </c>
      <c r="N35" s="1937" t="s">
        <v>2462</v>
      </c>
      <c r="O35" s="1938" t="s">
        <v>1723</v>
      </c>
      <c r="P35" s="1938" t="s">
        <v>1723</v>
      </c>
      <c r="Q35" s="1938" t="s">
        <v>1723</v>
      </c>
      <c r="R35" s="1724" t="s">
        <v>2897</v>
      </c>
    </row>
    <row r="36" spans="1:18" ht="27" customHeight="1">
      <c r="A36" s="1915"/>
      <c r="B36" s="1889"/>
      <c r="C36" s="1917"/>
      <c r="D36" s="948" t="s">
        <v>1372</v>
      </c>
      <c r="E36" s="949">
        <f>E35</f>
        <v>76</v>
      </c>
      <c r="F36" s="1026">
        <f>H36/E36-1</f>
        <v>0.31578947368421062</v>
      </c>
      <c r="G36" s="949">
        <f t="shared" ref="G36:J36" si="13">G35</f>
        <v>169.67</v>
      </c>
      <c r="H36" s="949">
        <f t="shared" ref="H36" si="14">H35</f>
        <v>100</v>
      </c>
      <c r="I36" s="949">
        <f t="shared" si="13"/>
        <v>149</v>
      </c>
      <c r="J36" s="962">
        <f t="shared" si="13"/>
        <v>150</v>
      </c>
      <c r="K36" s="1765"/>
      <c r="L36" s="1944"/>
      <c r="M36" s="1893"/>
      <c r="N36" s="1937"/>
      <c r="O36" s="1938"/>
      <c r="P36" s="1938"/>
      <c r="Q36" s="1938"/>
      <c r="R36" s="1725"/>
    </row>
    <row r="37" spans="1:18" ht="34.5" hidden="1" customHeight="1">
      <c r="A37" s="1027"/>
      <c r="B37" s="1028"/>
      <c r="C37" s="1029"/>
      <c r="D37" s="1030"/>
      <c r="E37" s="1031"/>
      <c r="F37" s="1032"/>
      <c r="G37" s="1031"/>
      <c r="H37" s="1031"/>
      <c r="I37" s="1031"/>
      <c r="J37" s="1033"/>
      <c r="K37" s="1034"/>
      <c r="L37" s="1035" t="s">
        <v>3520</v>
      </c>
      <c r="M37" s="1036"/>
      <c r="N37" s="1037"/>
      <c r="O37" s="1440"/>
      <c r="P37" s="1440"/>
      <c r="Q37" s="1440"/>
      <c r="R37" s="1038"/>
    </row>
    <row r="38" spans="1:18" ht="81.599999999999994" customHeight="1">
      <c r="A38" s="951" t="s">
        <v>2615</v>
      </c>
      <c r="B38" s="988" t="s">
        <v>2616</v>
      </c>
      <c r="C38" s="952"/>
      <c r="D38" s="953"/>
      <c r="E38" s="954">
        <f>SUM(E40,E46,E51,E55)</f>
        <v>22.4</v>
      </c>
      <c r="F38" s="955">
        <f>H38/E38-1</f>
        <v>0.77678571428571463</v>
      </c>
      <c r="G38" s="954">
        <f t="shared" ref="G38:J38" si="15">SUM(G40,G46,G51,G55)</f>
        <v>61.971999999999994</v>
      </c>
      <c r="H38" s="954">
        <f t="shared" ref="H38" si="16">SUM(H40,H46,H51,H55)</f>
        <v>39.800000000000004</v>
      </c>
      <c r="I38" s="954">
        <f t="shared" si="15"/>
        <v>16.559999999999999</v>
      </c>
      <c r="J38" s="1039">
        <f t="shared" si="15"/>
        <v>34.279999999999994</v>
      </c>
      <c r="K38" s="1040" t="s">
        <v>1199</v>
      </c>
      <c r="L38" s="1041"/>
      <c r="M38" s="1042" t="s">
        <v>1714</v>
      </c>
      <c r="N38" s="1042" t="s">
        <v>1201</v>
      </c>
      <c r="O38" s="1555" t="s">
        <v>1727</v>
      </c>
      <c r="P38" s="1555" t="s">
        <v>1727</v>
      </c>
      <c r="Q38" s="1555" t="s">
        <v>1727</v>
      </c>
      <c r="R38" s="1043" t="s">
        <v>1201</v>
      </c>
    </row>
    <row r="39" spans="1:18" ht="25.8" customHeight="1">
      <c r="A39" s="1905" t="s">
        <v>2617</v>
      </c>
      <c r="B39" s="1900" t="s">
        <v>1509</v>
      </c>
      <c r="C39" s="1896" t="s">
        <v>1376</v>
      </c>
      <c r="D39" s="956" t="s">
        <v>668</v>
      </c>
      <c r="E39" s="947">
        <f>SUM(E41:E44)</f>
        <v>12</v>
      </c>
      <c r="F39" s="946">
        <f>H39/E39-1</f>
        <v>0.375</v>
      </c>
      <c r="G39" s="947">
        <f>SUM(G41:G44)</f>
        <v>30.751999999999999</v>
      </c>
      <c r="H39" s="947">
        <v>16.5</v>
      </c>
      <c r="I39" s="947">
        <f t="shared" ref="I39:J39" si="17">SUM(I41:I44)</f>
        <v>1</v>
      </c>
      <c r="J39" s="947">
        <f t="shared" si="17"/>
        <v>1</v>
      </c>
      <c r="K39" s="1764" t="s">
        <v>2898</v>
      </c>
      <c r="L39" s="1902" t="s">
        <v>2263</v>
      </c>
      <c r="M39" s="1890" t="s">
        <v>1734</v>
      </c>
      <c r="N39" s="1961" t="s">
        <v>2264</v>
      </c>
      <c r="O39" s="1945" t="s">
        <v>1727</v>
      </c>
      <c r="P39" s="1945" t="s">
        <v>1727</v>
      </c>
      <c r="Q39" s="1945" t="s">
        <v>1727</v>
      </c>
      <c r="R39" s="1662" t="s">
        <v>2899</v>
      </c>
    </row>
    <row r="40" spans="1:18" ht="20.100000000000001" customHeight="1">
      <c r="A40" s="1915"/>
      <c r="B40" s="1900"/>
      <c r="C40" s="1896"/>
      <c r="D40" s="961" t="s">
        <v>1372</v>
      </c>
      <c r="E40" s="962">
        <f>E39</f>
        <v>12</v>
      </c>
      <c r="F40" s="1013">
        <f>H40/E40-1</f>
        <v>0.375</v>
      </c>
      <c r="G40" s="962">
        <f>SUM(G39)</f>
        <v>30.751999999999999</v>
      </c>
      <c r="H40" s="962">
        <f>SUM(H39)</f>
        <v>16.5</v>
      </c>
      <c r="I40" s="962">
        <f t="shared" ref="I40:J40" si="18">SUM(I39)</f>
        <v>1</v>
      </c>
      <c r="J40" s="962">
        <f t="shared" si="18"/>
        <v>1</v>
      </c>
      <c r="K40" s="1765"/>
      <c r="L40" s="1956"/>
      <c r="M40" s="1893"/>
      <c r="N40" s="1962"/>
      <c r="O40" s="1946"/>
      <c r="P40" s="1946"/>
      <c r="Q40" s="1946"/>
      <c r="R40" s="1664"/>
    </row>
    <row r="41" spans="1:18" ht="20.100000000000001" hidden="1" customHeight="1">
      <c r="A41" s="1045"/>
      <c r="B41" s="1046" t="s">
        <v>1755</v>
      </c>
      <c r="C41" s="1047"/>
      <c r="D41" s="1048"/>
      <c r="E41" s="1023"/>
      <c r="F41" s="1049"/>
      <c r="G41" s="1023">
        <v>7</v>
      </c>
      <c r="H41" s="1023">
        <v>2</v>
      </c>
      <c r="I41" s="1023"/>
      <c r="J41" s="1023"/>
      <c r="K41" s="451"/>
      <c r="L41" s="1050" t="s">
        <v>2259</v>
      </c>
      <c r="M41" s="1017"/>
      <c r="N41" s="1051"/>
      <c r="O41" s="1556"/>
      <c r="P41" s="1556"/>
      <c r="Q41" s="1556"/>
      <c r="R41" s="791"/>
    </row>
    <row r="42" spans="1:18" ht="20.100000000000001" hidden="1" customHeight="1">
      <c r="A42" s="1045"/>
      <c r="B42" s="1046" t="s">
        <v>1756</v>
      </c>
      <c r="C42" s="1047"/>
      <c r="D42" s="1048"/>
      <c r="E42" s="1023">
        <v>1</v>
      </c>
      <c r="F42" s="1049">
        <f t="shared" ref="F42:F46" si="19">H42/E42-1</f>
        <v>3</v>
      </c>
      <c r="G42" s="1023">
        <v>5</v>
      </c>
      <c r="H42" s="1023">
        <v>4</v>
      </c>
      <c r="I42" s="1023">
        <v>1</v>
      </c>
      <c r="J42" s="1023">
        <v>1</v>
      </c>
      <c r="K42" s="451"/>
      <c r="L42" s="1052" t="s">
        <v>2254</v>
      </c>
      <c r="M42" s="1017"/>
      <c r="N42" s="1051" t="s">
        <v>2264</v>
      </c>
      <c r="O42" s="1556" t="s">
        <v>1691</v>
      </c>
      <c r="P42" s="1556" t="s">
        <v>1691</v>
      </c>
      <c r="Q42" s="1556" t="s">
        <v>1691</v>
      </c>
      <c r="R42" s="791"/>
    </row>
    <row r="43" spans="1:18" ht="21.75" hidden="1" customHeight="1">
      <c r="A43" s="1045"/>
      <c r="B43" s="1046" t="s">
        <v>1757</v>
      </c>
      <c r="C43" s="1047"/>
      <c r="D43" s="1048"/>
      <c r="E43" s="1023"/>
      <c r="F43" s="1049"/>
      <c r="G43" s="1023"/>
      <c r="H43" s="1023"/>
      <c r="I43" s="1023"/>
      <c r="J43" s="1023"/>
      <c r="K43" s="451"/>
      <c r="L43" s="1052"/>
      <c r="M43" s="1017"/>
      <c r="N43" s="1051"/>
      <c r="O43" s="1556"/>
      <c r="P43" s="1556"/>
      <c r="Q43" s="1556"/>
      <c r="R43" s="791"/>
    </row>
    <row r="44" spans="1:18" ht="19.5" hidden="1" customHeight="1">
      <c r="A44" s="1045"/>
      <c r="B44" s="1046" t="s">
        <v>1758</v>
      </c>
      <c r="C44" s="1047"/>
      <c r="D44" s="1048"/>
      <c r="E44" s="1023">
        <v>11</v>
      </c>
      <c r="F44" s="1049">
        <f t="shared" si="19"/>
        <v>-4.5454545454545414E-2</v>
      </c>
      <c r="G44" s="1023">
        <v>18.751999999999999</v>
      </c>
      <c r="H44" s="1023">
        <v>10.5</v>
      </c>
      <c r="I44" s="1023"/>
      <c r="J44" s="1023"/>
      <c r="K44" s="451"/>
      <c r="L44" s="1052" t="s">
        <v>2463</v>
      </c>
      <c r="M44" s="1017"/>
      <c r="N44" s="1051" t="s">
        <v>2264</v>
      </c>
      <c r="O44" s="1556" t="s">
        <v>1691</v>
      </c>
      <c r="P44" s="1556" t="s">
        <v>1691</v>
      </c>
      <c r="Q44" s="1556" t="s">
        <v>1691</v>
      </c>
      <c r="R44" s="791"/>
    </row>
    <row r="45" spans="1:18" ht="54" customHeight="1">
      <c r="A45" s="1914" t="s">
        <v>2618</v>
      </c>
      <c r="B45" s="1900" t="s">
        <v>1510</v>
      </c>
      <c r="C45" s="1896" t="s">
        <v>1376</v>
      </c>
      <c r="D45" s="956" t="s">
        <v>668</v>
      </c>
      <c r="E45" s="947">
        <f>SUM(E47:E49)</f>
        <v>1.5</v>
      </c>
      <c r="F45" s="944">
        <f t="shared" si="19"/>
        <v>6.7333333333333343</v>
      </c>
      <c r="G45" s="947">
        <f>SUM(G47:G49)</f>
        <v>16.75</v>
      </c>
      <c r="H45" s="947">
        <f>SUM(H47:H49)</f>
        <v>11.600000000000001</v>
      </c>
      <c r="I45" s="947">
        <f t="shared" ref="I45:J45" si="20">SUM(I47:I49)</f>
        <v>1.92</v>
      </c>
      <c r="J45" s="965">
        <f t="shared" si="20"/>
        <v>18.7</v>
      </c>
      <c r="K45" s="1764" t="s">
        <v>2898</v>
      </c>
      <c r="L45" s="1898" t="s">
        <v>2464</v>
      </c>
      <c r="M45" s="1890" t="s">
        <v>1715</v>
      </c>
      <c r="N45" s="1679" t="s">
        <v>1726</v>
      </c>
      <c r="O45" s="1679" t="s">
        <v>566</v>
      </c>
      <c r="P45" s="1679" t="s">
        <v>566</v>
      </c>
      <c r="Q45" s="1679" t="s">
        <v>566</v>
      </c>
      <c r="R45" s="1662" t="s">
        <v>2899</v>
      </c>
    </row>
    <row r="46" spans="1:18" ht="30.6" customHeight="1">
      <c r="A46" s="1905"/>
      <c r="B46" s="1901"/>
      <c r="C46" s="1897"/>
      <c r="D46" s="966" t="s">
        <v>1372</v>
      </c>
      <c r="E46" s="949">
        <f>E45</f>
        <v>1.5</v>
      </c>
      <c r="F46" s="1013">
        <f t="shared" si="19"/>
        <v>6.7333333333333343</v>
      </c>
      <c r="G46" s="949">
        <f>G45</f>
        <v>16.75</v>
      </c>
      <c r="H46" s="949">
        <f>H45</f>
        <v>11.600000000000001</v>
      </c>
      <c r="I46" s="949">
        <f t="shared" ref="I46:J46" si="21">I45</f>
        <v>1.92</v>
      </c>
      <c r="J46" s="949">
        <f t="shared" si="21"/>
        <v>18.7</v>
      </c>
      <c r="K46" s="1765"/>
      <c r="L46" s="1899"/>
      <c r="M46" s="1893"/>
      <c r="N46" s="1866"/>
      <c r="O46" s="1866"/>
      <c r="P46" s="1866"/>
      <c r="Q46" s="1866"/>
      <c r="R46" s="1663"/>
    </row>
    <row r="47" spans="1:18" ht="20.100000000000001" hidden="1" customHeight="1">
      <c r="A47" s="1053"/>
      <c r="B47" s="1054" t="s">
        <v>1755</v>
      </c>
      <c r="C47" s="1055"/>
      <c r="D47" s="1056"/>
      <c r="E47" s="1057"/>
      <c r="F47" s="1049"/>
      <c r="G47" s="1057"/>
      <c r="H47" s="1057"/>
      <c r="I47" s="1058"/>
      <c r="J47" s="1023"/>
      <c r="K47" s="451"/>
      <c r="L47" s="1050"/>
      <c r="M47" s="1017"/>
      <c r="N47" s="1866"/>
      <c r="O47" s="1866"/>
      <c r="P47" s="1866"/>
      <c r="Q47" s="1866"/>
      <c r="R47" s="1663"/>
    </row>
    <row r="48" spans="1:18" ht="20.100000000000001" hidden="1" customHeight="1">
      <c r="A48" s="1053"/>
      <c r="B48" s="1054" t="s">
        <v>1757</v>
      </c>
      <c r="C48" s="1055"/>
      <c r="D48" s="1056"/>
      <c r="E48" s="1057"/>
      <c r="F48" s="1049"/>
      <c r="G48" s="1057">
        <v>0.45</v>
      </c>
      <c r="H48" s="1057">
        <v>0.3</v>
      </c>
      <c r="I48" s="1058">
        <v>0.47</v>
      </c>
      <c r="J48" s="1023">
        <v>0.5</v>
      </c>
      <c r="K48" s="451"/>
      <c r="L48" s="1052" t="s">
        <v>2465</v>
      </c>
      <c r="M48" s="1017"/>
      <c r="N48" s="1866"/>
      <c r="O48" s="1866"/>
      <c r="P48" s="1866"/>
      <c r="Q48" s="1866"/>
      <c r="R48" s="1663"/>
    </row>
    <row r="49" spans="1:18" ht="53.25" hidden="1" customHeight="1">
      <c r="A49" s="1053"/>
      <c r="B49" s="1054" t="s">
        <v>1756</v>
      </c>
      <c r="C49" s="1055"/>
      <c r="D49" s="1056"/>
      <c r="E49" s="1057">
        <v>1.5</v>
      </c>
      <c r="F49" s="1059">
        <f t="shared" ref="F49:F73" si="22">H49/E49-1</f>
        <v>6.5333333333333341</v>
      </c>
      <c r="G49" s="1057">
        <v>16.3</v>
      </c>
      <c r="H49" s="1057">
        <v>11.3</v>
      </c>
      <c r="I49" s="1058">
        <v>1.45</v>
      </c>
      <c r="J49" s="1023">
        <v>18.2</v>
      </c>
      <c r="K49" s="451"/>
      <c r="L49" s="1052" t="s">
        <v>2466</v>
      </c>
      <c r="M49" s="1017"/>
      <c r="N49" s="1866"/>
      <c r="O49" s="1866"/>
      <c r="P49" s="1866"/>
      <c r="Q49" s="1866"/>
      <c r="R49" s="1663"/>
    </row>
    <row r="50" spans="1:18" ht="31.8" customHeight="1">
      <c r="A50" s="1905" t="s">
        <v>2619</v>
      </c>
      <c r="B50" s="1900" t="s">
        <v>1511</v>
      </c>
      <c r="C50" s="1896" t="s">
        <v>1376</v>
      </c>
      <c r="D50" s="956" t="s">
        <v>668</v>
      </c>
      <c r="E50" s="947">
        <f>SUM(E52:E53)</f>
        <v>7.5</v>
      </c>
      <c r="F50" s="944">
        <f t="shared" si="22"/>
        <v>0.10666666666666669</v>
      </c>
      <c r="G50" s="947">
        <f>SUM(G52:G53)</f>
        <v>10.74</v>
      </c>
      <c r="H50" s="947">
        <f>SUM(H52:H53)</f>
        <v>8.3000000000000007</v>
      </c>
      <c r="I50" s="947">
        <f t="shared" ref="I50:J50" si="23">SUM(I52:I53)</f>
        <v>11.74</v>
      </c>
      <c r="J50" s="965">
        <f t="shared" si="23"/>
        <v>12.68</v>
      </c>
      <c r="K50" s="1764" t="s">
        <v>2898</v>
      </c>
      <c r="L50" s="1903" t="s">
        <v>1748</v>
      </c>
      <c r="M50" s="1890" t="s">
        <v>1716</v>
      </c>
      <c r="N50" s="1866"/>
      <c r="O50" s="1866"/>
      <c r="P50" s="1866"/>
      <c r="Q50" s="1866"/>
      <c r="R50" s="1663"/>
    </row>
    <row r="51" spans="1:18" ht="20.100000000000001" customHeight="1">
      <c r="A51" s="1915"/>
      <c r="B51" s="1901"/>
      <c r="C51" s="1897"/>
      <c r="D51" s="966" t="s">
        <v>1372</v>
      </c>
      <c r="E51" s="949">
        <f>E50</f>
        <v>7.5</v>
      </c>
      <c r="F51" s="1013">
        <f t="shared" si="22"/>
        <v>0.10666666666666669</v>
      </c>
      <c r="G51" s="949">
        <f>G50</f>
        <v>10.74</v>
      </c>
      <c r="H51" s="949">
        <f>H50</f>
        <v>8.3000000000000007</v>
      </c>
      <c r="I51" s="949">
        <f t="shared" ref="I51:J51" si="24">I50</f>
        <v>11.74</v>
      </c>
      <c r="J51" s="949">
        <f t="shared" si="24"/>
        <v>12.68</v>
      </c>
      <c r="K51" s="1765"/>
      <c r="L51" s="1899"/>
      <c r="M51" s="1893"/>
      <c r="N51" s="1866"/>
      <c r="O51" s="1866"/>
      <c r="P51" s="1866"/>
      <c r="Q51" s="1866"/>
      <c r="R51" s="1663"/>
    </row>
    <row r="52" spans="1:18" ht="20.100000000000001" hidden="1" customHeight="1">
      <c r="A52" s="1045"/>
      <c r="B52" s="1060" t="s">
        <v>1756</v>
      </c>
      <c r="C52" s="1061"/>
      <c r="D52" s="1022"/>
      <c r="E52" s="1057">
        <v>7.5</v>
      </c>
      <c r="F52" s="1049">
        <f t="shared" si="22"/>
        <v>6.6666666666666652E-2</v>
      </c>
      <c r="G52" s="1057">
        <v>10.14</v>
      </c>
      <c r="H52" s="1057">
        <v>8</v>
      </c>
      <c r="I52" s="1023">
        <v>11.1</v>
      </c>
      <c r="J52" s="1023">
        <v>12</v>
      </c>
      <c r="K52" s="594"/>
      <c r="L52" s="1050" t="s">
        <v>2255</v>
      </c>
      <c r="M52" s="1017"/>
      <c r="N52" s="1866"/>
      <c r="O52" s="1866"/>
      <c r="P52" s="1866"/>
      <c r="Q52" s="1866"/>
      <c r="R52" s="1663"/>
    </row>
    <row r="53" spans="1:18" ht="30.75" hidden="1" customHeight="1">
      <c r="A53" s="1045"/>
      <c r="B53" s="1060" t="s">
        <v>1757</v>
      </c>
      <c r="C53" s="1061"/>
      <c r="D53" s="1022"/>
      <c r="E53" s="1062"/>
      <c r="F53" s="1049"/>
      <c r="G53" s="1057">
        <v>0.6</v>
      </c>
      <c r="H53" s="1057">
        <v>0.3</v>
      </c>
      <c r="I53" s="1023">
        <v>0.64</v>
      </c>
      <c r="J53" s="1023">
        <v>0.68</v>
      </c>
      <c r="K53" s="594"/>
      <c r="L53" s="1052" t="s">
        <v>2467</v>
      </c>
      <c r="M53" s="1017"/>
      <c r="N53" s="1866"/>
      <c r="O53" s="1866"/>
      <c r="P53" s="1866"/>
      <c r="Q53" s="1866"/>
      <c r="R53" s="1663"/>
    </row>
    <row r="54" spans="1:18" ht="45" customHeight="1">
      <c r="A54" s="1984" t="s">
        <v>2620</v>
      </c>
      <c r="B54" s="1907" t="s">
        <v>1512</v>
      </c>
      <c r="C54" s="1951">
        <v>300509331</v>
      </c>
      <c r="D54" s="1063" t="s">
        <v>668</v>
      </c>
      <c r="E54" s="947">
        <v>1.4</v>
      </c>
      <c r="F54" s="944">
        <f t="shared" si="22"/>
        <v>1.4285714285714288</v>
      </c>
      <c r="G54" s="947">
        <f>SUM(G56:G57)</f>
        <v>3.73</v>
      </c>
      <c r="H54" s="947">
        <f>SUM(H56:H57)</f>
        <v>3.4</v>
      </c>
      <c r="I54" s="947">
        <f>SUM(I56:I57)</f>
        <v>1.9</v>
      </c>
      <c r="J54" s="947">
        <f t="shared" ref="J54" si="25">SUM(J56:J57)</f>
        <v>1.9</v>
      </c>
      <c r="K54" s="1764" t="s">
        <v>2898</v>
      </c>
      <c r="L54" s="1898" t="s">
        <v>2468</v>
      </c>
      <c r="M54" s="1890" t="s">
        <v>1717</v>
      </c>
      <c r="N54" s="1866"/>
      <c r="O54" s="1866"/>
      <c r="P54" s="1866"/>
      <c r="Q54" s="1866"/>
      <c r="R54" s="1663"/>
    </row>
    <row r="55" spans="1:18" ht="34.799999999999997" customHeight="1">
      <c r="A55" s="1984"/>
      <c r="B55" s="1907"/>
      <c r="C55" s="1951"/>
      <c r="D55" s="1011" t="s">
        <v>1372</v>
      </c>
      <c r="E55" s="962">
        <f>E54</f>
        <v>1.4</v>
      </c>
      <c r="F55" s="1013">
        <f t="shared" si="22"/>
        <v>1.4285714285714288</v>
      </c>
      <c r="G55" s="962">
        <f>G54</f>
        <v>3.73</v>
      </c>
      <c r="H55" s="962">
        <f>H54</f>
        <v>3.4</v>
      </c>
      <c r="I55" s="962">
        <f t="shared" ref="I55:J55" si="26">I54</f>
        <v>1.9</v>
      </c>
      <c r="J55" s="962">
        <f t="shared" si="26"/>
        <v>1.9</v>
      </c>
      <c r="K55" s="1765"/>
      <c r="L55" s="1899"/>
      <c r="M55" s="1893"/>
      <c r="N55" s="1680"/>
      <c r="O55" s="1680"/>
      <c r="P55" s="1680"/>
      <c r="Q55" s="1680"/>
      <c r="R55" s="1664"/>
    </row>
    <row r="56" spans="1:18" ht="20.100000000000001" hidden="1" customHeight="1">
      <c r="A56" s="1045"/>
      <c r="B56" s="1060" t="s">
        <v>1756</v>
      </c>
      <c r="C56" s="1061"/>
      <c r="D56" s="1022"/>
      <c r="E56" s="1057">
        <v>1.4</v>
      </c>
      <c r="F56" s="1049">
        <f t="shared" si="22"/>
        <v>0</v>
      </c>
      <c r="G56" s="1057">
        <v>1.73</v>
      </c>
      <c r="H56" s="1057">
        <v>1.4</v>
      </c>
      <c r="I56" s="1023">
        <v>1.9</v>
      </c>
      <c r="J56" s="1023">
        <v>1.9</v>
      </c>
      <c r="K56" s="451"/>
      <c r="L56" s="1052" t="s">
        <v>2469</v>
      </c>
      <c r="M56" s="1017"/>
      <c r="N56" s="1064"/>
      <c r="O56" s="1064"/>
      <c r="P56" s="1064"/>
      <c r="Q56" s="1064"/>
      <c r="R56" s="1065"/>
    </row>
    <row r="57" spans="1:18" ht="20.100000000000001" hidden="1" customHeight="1">
      <c r="A57" s="1066"/>
      <c r="B57" s="1067" t="s">
        <v>1755</v>
      </c>
      <c r="C57" s="1068"/>
      <c r="D57" s="1069"/>
      <c r="E57" s="1057"/>
      <c r="F57" s="1070"/>
      <c r="G57" s="1057">
        <v>2</v>
      </c>
      <c r="H57" s="1057">
        <v>2</v>
      </c>
      <c r="I57" s="1058">
        <v>0</v>
      </c>
      <c r="J57" s="1023">
        <v>0</v>
      </c>
      <c r="K57" s="451"/>
      <c r="L57" s="1050" t="s">
        <v>2260</v>
      </c>
      <c r="M57" s="1071"/>
      <c r="N57" s="1072"/>
      <c r="O57" s="1072"/>
      <c r="P57" s="1072"/>
      <c r="Q57" s="1072"/>
      <c r="R57" s="1073"/>
    </row>
    <row r="58" spans="1:18" ht="141.6" customHeight="1">
      <c r="A58" s="740" t="s">
        <v>2621</v>
      </c>
      <c r="B58" s="664" t="s">
        <v>3896</v>
      </c>
      <c r="C58" s="740"/>
      <c r="D58" s="740"/>
      <c r="E58" s="741">
        <f>SUM(E61,E64,E68,E72,E76,)</f>
        <v>84.9</v>
      </c>
      <c r="F58" s="1074">
        <f t="shared" si="22"/>
        <v>0.42850412249705538</v>
      </c>
      <c r="G58" s="741">
        <f t="shared" ref="G58:J58" si="27">SUM(G61,G64,G68,G72,G76,)</f>
        <v>135.6</v>
      </c>
      <c r="H58" s="795">
        <f t="shared" ref="H58" si="28">SUM(H61,H64,H68,H72,H76,)</f>
        <v>121.28</v>
      </c>
      <c r="I58" s="795">
        <f t="shared" si="27"/>
        <v>108.80000000000001</v>
      </c>
      <c r="J58" s="795">
        <f t="shared" si="27"/>
        <v>105.19999999999999</v>
      </c>
      <c r="K58" s="871" t="s">
        <v>2900</v>
      </c>
      <c r="L58" s="740"/>
      <c r="M58" s="759" t="s">
        <v>1718</v>
      </c>
      <c r="N58" s="759" t="s">
        <v>2265</v>
      </c>
      <c r="O58" s="1146" t="s">
        <v>2299</v>
      </c>
      <c r="P58" s="1146" t="s">
        <v>2298</v>
      </c>
      <c r="Q58" s="1146" t="s">
        <v>2297</v>
      </c>
      <c r="R58" s="759" t="s">
        <v>2901</v>
      </c>
    </row>
    <row r="59" spans="1:18" ht="20.100000000000001" customHeight="1">
      <c r="A59" s="1905" t="s">
        <v>2622</v>
      </c>
      <c r="B59" s="1900" t="s">
        <v>1514</v>
      </c>
      <c r="C59" s="1896">
        <v>300509331</v>
      </c>
      <c r="D59" s="956" t="s">
        <v>668</v>
      </c>
      <c r="E59" s="947">
        <f>E62</f>
        <v>11.4</v>
      </c>
      <c r="F59" s="946">
        <f t="shared" si="22"/>
        <v>0.22807017543859653</v>
      </c>
      <c r="G59" s="947">
        <v>16</v>
      </c>
      <c r="H59" s="947">
        <v>14</v>
      </c>
      <c r="I59" s="958">
        <v>17.600000000000001</v>
      </c>
      <c r="J59" s="959">
        <v>19.3</v>
      </c>
      <c r="K59" s="1764" t="s">
        <v>2902</v>
      </c>
      <c r="L59" s="1902" t="s">
        <v>1749</v>
      </c>
      <c r="M59" s="1890" t="s">
        <v>1719</v>
      </c>
      <c r="N59" s="1941" t="s">
        <v>1728</v>
      </c>
      <c r="O59" s="1892" t="s">
        <v>1694</v>
      </c>
      <c r="P59" s="1892" t="s">
        <v>1769</v>
      </c>
      <c r="Q59" s="1892" t="s">
        <v>1770</v>
      </c>
      <c r="R59" s="1737" t="s">
        <v>2893</v>
      </c>
    </row>
    <row r="60" spans="1:18" ht="20.100000000000001" customHeight="1">
      <c r="A60" s="1905"/>
      <c r="B60" s="1900"/>
      <c r="C60" s="1896"/>
      <c r="D60" s="956" t="s">
        <v>587</v>
      </c>
      <c r="E60" s="947">
        <v>0</v>
      </c>
      <c r="F60" s="946"/>
      <c r="G60" s="947">
        <v>0.24</v>
      </c>
      <c r="H60" s="947">
        <v>0</v>
      </c>
      <c r="I60" s="1075"/>
      <c r="J60" s="959"/>
      <c r="K60" s="1774"/>
      <c r="L60" s="1960"/>
      <c r="M60" s="1890"/>
      <c r="N60" s="1941"/>
      <c r="O60" s="1892"/>
      <c r="P60" s="1892"/>
      <c r="Q60" s="1892"/>
      <c r="R60" s="1738"/>
    </row>
    <row r="61" spans="1:18" ht="20.100000000000001" customHeight="1">
      <c r="A61" s="1905"/>
      <c r="B61" s="1900"/>
      <c r="C61" s="1896"/>
      <c r="D61" s="961" t="s">
        <v>1372</v>
      </c>
      <c r="E61" s="962">
        <f>SUM(E59:E60)</f>
        <v>11.4</v>
      </c>
      <c r="F61" s="1013">
        <f t="shared" si="22"/>
        <v>0.22807017543859653</v>
      </c>
      <c r="G61" s="962" cm="1">
        <f t="array" ref="G61:G62">G59:G60</f>
        <v>16</v>
      </c>
      <c r="H61" s="962" cm="1">
        <f t="array" ref="H61:H62">H59:H60</f>
        <v>14</v>
      </c>
      <c r="I61" s="962" cm="1">
        <f t="array" ref="I61:I62">I59:I60</f>
        <v>17.600000000000001</v>
      </c>
      <c r="J61" s="964" cm="1">
        <f t="array" ref="J61:J62">J59:J60</f>
        <v>19.3</v>
      </c>
      <c r="K61" s="1774"/>
      <c r="L61" s="1956"/>
      <c r="M61" s="1893"/>
      <c r="N61" s="1937"/>
      <c r="O61" s="1938"/>
      <c r="P61" s="1938"/>
      <c r="Q61" s="1938"/>
      <c r="R61" s="1739"/>
    </row>
    <row r="62" spans="1:18" ht="20.100000000000001" hidden="1" customHeight="1">
      <c r="A62" s="1053"/>
      <c r="B62" s="1046" t="s">
        <v>1756</v>
      </c>
      <c r="C62" s="1047"/>
      <c r="D62" s="1048"/>
      <c r="E62" s="1023">
        <v>11.4</v>
      </c>
      <c r="F62" s="1076">
        <f t="shared" si="22"/>
        <v>-1</v>
      </c>
      <c r="G62" s="1024">
        <v>0.24</v>
      </c>
      <c r="H62" s="1024">
        <v>0</v>
      </c>
      <c r="I62" s="1077">
        <v>0</v>
      </c>
      <c r="J62" s="1078">
        <v>0</v>
      </c>
      <c r="K62" s="594"/>
      <c r="L62" s="1079"/>
      <c r="M62" s="1017"/>
      <c r="N62" s="1014"/>
      <c r="O62" s="1463"/>
      <c r="P62" s="1463"/>
      <c r="Q62" s="1463"/>
      <c r="R62" s="782"/>
    </row>
    <row r="63" spans="1:18" ht="49.2" customHeight="1">
      <c r="A63" s="1905" t="s">
        <v>2623</v>
      </c>
      <c r="B63" s="1900" t="s">
        <v>1515</v>
      </c>
      <c r="C63" s="1896" t="s">
        <v>1376</v>
      </c>
      <c r="D63" s="956" t="s">
        <v>668</v>
      </c>
      <c r="E63" s="947">
        <f>E66</f>
        <v>14</v>
      </c>
      <c r="F63" s="944">
        <f t="shared" si="22"/>
        <v>0</v>
      </c>
      <c r="G63" s="947">
        <f>SUM(G65:G66)</f>
        <v>10.6</v>
      </c>
      <c r="H63" s="947">
        <v>14</v>
      </c>
      <c r="I63" s="947">
        <f t="shared" ref="I63:J63" si="29">SUM(I65:I66)</f>
        <v>20.6</v>
      </c>
      <c r="J63" s="947">
        <f t="shared" si="29"/>
        <v>13.6</v>
      </c>
      <c r="K63" s="1764" t="s">
        <v>2903</v>
      </c>
      <c r="L63" s="1902" t="s">
        <v>1750</v>
      </c>
      <c r="M63" s="1890" t="s">
        <v>1735</v>
      </c>
      <c r="N63" s="1890" t="s">
        <v>1729</v>
      </c>
      <c r="O63" s="1891" t="s">
        <v>551</v>
      </c>
      <c r="P63" s="1891" t="s">
        <v>551</v>
      </c>
      <c r="Q63" s="1891" t="s">
        <v>551</v>
      </c>
      <c r="R63" s="1662" t="s">
        <v>2904</v>
      </c>
    </row>
    <row r="64" spans="1:18" ht="20.100000000000001" customHeight="1">
      <c r="A64" s="1915"/>
      <c r="B64" s="1901"/>
      <c r="C64" s="1897"/>
      <c r="D64" s="966" t="s">
        <v>1372</v>
      </c>
      <c r="E64" s="949">
        <f>E63</f>
        <v>14</v>
      </c>
      <c r="F64" s="1080">
        <f t="shared" si="22"/>
        <v>0</v>
      </c>
      <c r="G64" s="949">
        <f>SUM(G63)</f>
        <v>10.6</v>
      </c>
      <c r="H64" s="949">
        <f>SUM(H63)</f>
        <v>14</v>
      </c>
      <c r="I64" s="949">
        <f t="shared" ref="I64:J64" si="30">SUM(I63)</f>
        <v>20.6</v>
      </c>
      <c r="J64" s="949">
        <f t="shared" si="30"/>
        <v>13.6</v>
      </c>
      <c r="K64" s="1774"/>
      <c r="L64" s="1959"/>
      <c r="M64" s="1889"/>
      <c r="N64" s="1889"/>
      <c r="O64" s="1916"/>
      <c r="P64" s="1916"/>
      <c r="Q64" s="1916"/>
      <c r="R64" s="1664"/>
    </row>
    <row r="65" spans="1:50" ht="47.25" hidden="1" customHeight="1">
      <c r="A65" s="1021"/>
      <c r="B65" s="1060" t="s">
        <v>1756</v>
      </c>
      <c r="C65" s="1061"/>
      <c r="D65" s="1081"/>
      <c r="E65" s="1023">
        <v>0</v>
      </c>
      <c r="F65" s="1016" t="e">
        <f t="shared" ref="F65" si="31">(G65-E65)/E65</f>
        <v>#DIV/0!</v>
      </c>
      <c r="G65" s="1023">
        <v>0.6</v>
      </c>
      <c r="H65" s="1023">
        <v>0</v>
      </c>
      <c r="I65" s="1023">
        <v>0.6</v>
      </c>
      <c r="J65" s="1023">
        <v>0.6</v>
      </c>
      <c r="K65" s="451"/>
      <c r="L65" s="1052" t="s">
        <v>2470</v>
      </c>
      <c r="M65" s="1019"/>
      <c r="N65" s="1019"/>
      <c r="O65" s="1557"/>
      <c r="P65" s="1557"/>
      <c r="Q65" s="1557"/>
      <c r="R65" s="782"/>
    </row>
    <row r="66" spans="1:50" ht="30.75" hidden="1" customHeight="1">
      <c r="A66" s="1021"/>
      <c r="B66" s="1060" t="s">
        <v>1755</v>
      </c>
      <c r="C66" s="1061"/>
      <c r="D66" s="1081"/>
      <c r="E66" s="1023">
        <v>14</v>
      </c>
      <c r="F66" s="1016">
        <f t="shared" si="22"/>
        <v>-0.2857142857142857</v>
      </c>
      <c r="G66" s="1023">
        <v>10</v>
      </c>
      <c r="H66" s="1023">
        <v>10</v>
      </c>
      <c r="I66" s="1023">
        <v>20</v>
      </c>
      <c r="J66" s="1023">
        <v>13</v>
      </c>
      <c r="K66" s="451"/>
      <c r="L66" s="1052" t="s">
        <v>2471</v>
      </c>
      <c r="M66" s="1019"/>
      <c r="N66" s="1019"/>
      <c r="O66" s="1557"/>
      <c r="P66" s="1557"/>
      <c r="Q66" s="1557"/>
      <c r="R66" s="782"/>
    </row>
    <row r="67" spans="1:50" ht="59.4" customHeight="1">
      <c r="A67" s="1914" t="s">
        <v>2624</v>
      </c>
      <c r="B67" s="1912" t="s">
        <v>1516</v>
      </c>
      <c r="C67" s="1906" t="s">
        <v>1376</v>
      </c>
      <c r="D67" s="1082" t="s">
        <v>668</v>
      </c>
      <c r="E67" s="965">
        <f>SUM(E69,E70)</f>
        <v>41.5</v>
      </c>
      <c r="F67" s="944">
        <f t="shared" si="22"/>
        <v>-0.24096385542168675</v>
      </c>
      <c r="G67" s="965">
        <f>SUM(G69:G70)</f>
        <v>65</v>
      </c>
      <c r="H67" s="965">
        <f>SUM(H69:H70)</f>
        <v>31.5</v>
      </c>
      <c r="I67" s="965">
        <f t="shared" ref="I67" si="32">SUM(I69:I70)</f>
        <v>42.6</v>
      </c>
      <c r="J67" s="965">
        <f>SUM(J69:J70)</f>
        <v>44.3</v>
      </c>
      <c r="K67" s="1764" t="s">
        <v>2905</v>
      </c>
      <c r="L67" s="1903" t="s">
        <v>2472</v>
      </c>
      <c r="M67" s="1890" t="s">
        <v>1736</v>
      </c>
      <c r="N67" s="1890" t="s">
        <v>1730</v>
      </c>
      <c r="O67" s="1916" t="s">
        <v>551</v>
      </c>
      <c r="P67" s="1916" t="s">
        <v>551</v>
      </c>
      <c r="Q67" s="1916" t="s">
        <v>551</v>
      </c>
      <c r="R67" s="1662" t="s">
        <v>2906</v>
      </c>
    </row>
    <row r="68" spans="1:50" ht="31.95" customHeight="1">
      <c r="A68" s="1905"/>
      <c r="B68" s="1901"/>
      <c r="C68" s="1897"/>
      <c r="D68" s="966" t="s">
        <v>1372</v>
      </c>
      <c r="E68" s="949">
        <f>E67</f>
        <v>41.5</v>
      </c>
      <c r="F68" s="1013">
        <f t="shared" si="22"/>
        <v>-0.24096385542168675</v>
      </c>
      <c r="G68" s="949">
        <f>SUM(G67)</f>
        <v>65</v>
      </c>
      <c r="H68" s="949">
        <f>SUM(H67)</f>
        <v>31.5</v>
      </c>
      <c r="I68" s="949">
        <f t="shared" ref="I68:J68" si="33">SUM(I67)</f>
        <v>42.6</v>
      </c>
      <c r="J68" s="949">
        <f t="shared" si="33"/>
        <v>44.3</v>
      </c>
      <c r="K68" s="1774"/>
      <c r="L68" s="1899"/>
      <c r="M68" s="1893"/>
      <c r="N68" s="1893"/>
      <c r="O68" s="1892"/>
      <c r="P68" s="1892"/>
      <c r="Q68" s="1892"/>
      <c r="R68" s="1664"/>
    </row>
    <row r="69" spans="1:50" ht="33.75" hidden="1" customHeight="1">
      <c r="A69" s="1053"/>
      <c r="B69" s="1054" t="s">
        <v>1755</v>
      </c>
      <c r="C69" s="1055"/>
      <c r="D69" s="1056"/>
      <c r="E69" s="1057">
        <v>20</v>
      </c>
      <c r="F69" s="1076">
        <f t="shared" si="22"/>
        <v>-0.5</v>
      </c>
      <c r="G69" s="1062">
        <v>33</v>
      </c>
      <c r="H69" s="1062">
        <v>10</v>
      </c>
      <c r="I69" s="1083"/>
      <c r="J69" s="1024"/>
      <c r="K69" s="451"/>
      <c r="L69" s="1084" t="s">
        <v>2473</v>
      </c>
      <c r="M69" s="1017"/>
      <c r="N69" s="1017"/>
      <c r="O69" s="1462"/>
      <c r="P69" s="1462"/>
      <c r="Q69" s="1462"/>
      <c r="R69" s="782"/>
    </row>
    <row r="70" spans="1:50" ht="30.75" hidden="1" customHeight="1">
      <c r="A70" s="1053"/>
      <c r="B70" s="1054" t="s">
        <v>1756</v>
      </c>
      <c r="C70" s="1055"/>
      <c r="D70" s="1056"/>
      <c r="E70" s="1057">
        <v>21.5</v>
      </c>
      <c r="F70" s="1076">
        <f t="shared" si="22"/>
        <v>0</v>
      </c>
      <c r="G70" s="1062">
        <v>32</v>
      </c>
      <c r="H70" s="1062">
        <v>21.5</v>
      </c>
      <c r="I70" s="1083">
        <v>42.6</v>
      </c>
      <c r="J70" s="1024">
        <v>44.3</v>
      </c>
      <c r="K70" s="451"/>
      <c r="L70" s="1084" t="s">
        <v>2474</v>
      </c>
      <c r="M70" s="1017"/>
      <c r="N70" s="1017"/>
      <c r="O70" s="1462"/>
      <c r="P70" s="1462"/>
      <c r="Q70" s="1462"/>
      <c r="R70" s="782"/>
    </row>
    <row r="71" spans="1:50" ht="99" customHeight="1">
      <c r="A71" s="1905" t="s">
        <v>2625</v>
      </c>
      <c r="B71" s="1900" t="s">
        <v>1517</v>
      </c>
      <c r="C71" s="1896" t="s">
        <v>1376</v>
      </c>
      <c r="D71" s="956" t="s">
        <v>668</v>
      </c>
      <c r="E71" s="947">
        <f>E73</f>
        <v>18</v>
      </c>
      <c r="F71" s="944">
        <f t="shared" si="22"/>
        <v>0</v>
      </c>
      <c r="G71" s="947">
        <f>SUM(G73)</f>
        <v>22</v>
      </c>
      <c r="H71" s="947">
        <f>SUM(H73)</f>
        <v>18</v>
      </c>
      <c r="I71" s="947">
        <f t="shared" ref="I71:J71" si="34">SUM(I73)</f>
        <v>28</v>
      </c>
      <c r="J71" s="965">
        <f t="shared" si="34"/>
        <v>28</v>
      </c>
      <c r="K71" s="1764" t="s">
        <v>2907</v>
      </c>
      <c r="L71" s="1898" t="s">
        <v>1751</v>
      </c>
      <c r="M71" s="1890" t="s">
        <v>1737</v>
      </c>
      <c r="N71" s="1890" t="s">
        <v>1731</v>
      </c>
      <c r="O71" s="1891" t="s">
        <v>1707</v>
      </c>
      <c r="P71" s="1891" t="s">
        <v>1839</v>
      </c>
      <c r="Q71" s="1891" t="s">
        <v>1727</v>
      </c>
      <c r="R71" s="1662" t="s">
        <v>2897</v>
      </c>
    </row>
    <row r="72" spans="1:50" ht="111.75" customHeight="1">
      <c r="A72" s="1905"/>
      <c r="B72" s="1901"/>
      <c r="C72" s="1897"/>
      <c r="D72" s="966" t="s">
        <v>1372</v>
      </c>
      <c r="E72" s="949">
        <f>E71</f>
        <v>18</v>
      </c>
      <c r="F72" s="1013">
        <f t="shared" si="22"/>
        <v>0</v>
      </c>
      <c r="G72" s="949">
        <f>G71</f>
        <v>22</v>
      </c>
      <c r="H72" s="949">
        <f>H71</f>
        <v>18</v>
      </c>
      <c r="I72" s="949">
        <f t="shared" ref="I72:J72" si="35">I71</f>
        <v>28</v>
      </c>
      <c r="J72" s="949">
        <f t="shared" si="35"/>
        <v>28</v>
      </c>
      <c r="K72" s="1774"/>
      <c r="L72" s="1899"/>
      <c r="M72" s="1893"/>
      <c r="N72" s="1893"/>
      <c r="O72" s="1892"/>
      <c r="P72" s="1892"/>
      <c r="Q72" s="1892"/>
      <c r="R72" s="1664"/>
    </row>
    <row r="73" spans="1:50" ht="20.100000000000001" hidden="1" customHeight="1">
      <c r="A73" s="1053"/>
      <c r="B73" s="1054" t="s">
        <v>1755</v>
      </c>
      <c r="C73" s="1055"/>
      <c r="D73" s="1056"/>
      <c r="E73" s="1057">
        <v>18</v>
      </c>
      <c r="F73" s="1076">
        <f t="shared" si="22"/>
        <v>0</v>
      </c>
      <c r="G73" s="1057">
        <v>22</v>
      </c>
      <c r="H73" s="1057">
        <v>18</v>
      </c>
      <c r="I73" s="1058">
        <v>28</v>
      </c>
      <c r="J73" s="1085">
        <v>28</v>
      </c>
      <c r="K73" s="451"/>
      <c r="L73" s="1086"/>
      <c r="M73" s="1017"/>
      <c r="N73" s="1017"/>
      <c r="O73" s="1465"/>
      <c r="P73" s="1465"/>
      <c r="Q73" s="1465"/>
      <c r="R73" s="782"/>
    </row>
    <row r="74" spans="1:50" ht="20.100000000000001" customHeight="1">
      <c r="A74" s="1915" t="s">
        <v>2626</v>
      </c>
      <c r="B74" s="1901" t="s">
        <v>1513</v>
      </c>
      <c r="C74" s="1896" t="s">
        <v>1376</v>
      </c>
      <c r="D74" s="956" t="s">
        <v>668</v>
      </c>
      <c r="E74" s="947"/>
      <c r="F74" s="944"/>
      <c r="G74" s="947">
        <f>G77</f>
        <v>22</v>
      </c>
      <c r="H74" s="947">
        <f>SUM(H77:H78)</f>
        <v>43.78</v>
      </c>
      <c r="I74" s="958"/>
      <c r="J74" s="947"/>
      <c r="K74" s="1764" t="s">
        <v>2907</v>
      </c>
      <c r="L74" s="1899" t="s">
        <v>2266</v>
      </c>
      <c r="M74" s="1890" t="s">
        <v>1738</v>
      </c>
      <c r="N74" s="1890" t="s">
        <v>1731</v>
      </c>
      <c r="O74" s="1891" t="s">
        <v>469</v>
      </c>
      <c r="P74" s="1891" t="s">
        <v>469</v>
      </c>
      <c r="Q74" s="1891" t="s">
        <v>469</v>
      </c>
      <c r="R74" s="1740" t="s">
        <v>2908</v>
      </c>
    </row>
    <row r="75" spans="1:50" ht="20.100000000000001" customHeight="1">
      <c r="A75" s="1922"/>
      <c r="B75" s="1957"/>
      <c r="C75" s="1897"/>
      <c r="D75" s="1087" t="s">
        <v>341</v>
      </c>
      <c r="E75" s="960"/>
      <c r="F75" s="944"/>
      <c r="G75" s="960"/>
      <c r="H75" s="960"/>
      <c r="I75" s="1075"/>
      <c r="J75" s="947"/>
      <c r="K75" s="1774"/>
      <c r="L75" s="1899"/>
      <c r="M75" s="1890"/>
      <c r="N75" s="1890"/>
      <c r="O75" s="1916"/>
      <c r="P75" s="1916"/>
      <c r="Q75" s="1916"/>
      <c r="R75" s="1740"/>
    </row>
    <row r="76" spans="1:50" ht="20.100000000000001" customHeight="1">
      <c r="A76" s="1922"/>
      <c r="B76" s="1957"/>
      <c r="C76" s="1897"/>
      <c r="D76" s="966" t="s">
        <v>1372</v>
      </c>
      <c r="E76" s="949"/>
      <c r="F76" s="1080"/>
      <c r="G76" s="949">
        <f>G74</f>
        <v>22</v>
      </c>
      <c r="H76" s="949">
        <f t="shared" ref="H76:J76" si="36">H74</f>
        <v>43.78</v>
      </c>
      <c r="I76" s="949">
        <f t="shared" si="36"/>
        <v>0</v>
      </c>
      <c r="J76" s="949">
        <f t="shared" si="36"/>
        <v>0</v>
      </c>
      <c r="K76" s="1765"/>
      <c r="L76" s="1958"/>
      <c r="M76" s="1889"/>
      <c r="N76" s="1889"/>
      <c r="O76" s="1916"/>
      <c r="P76" s="1916"/>
      <c r="Q76" s="1916"/>
      <c r="R76" s="1662"/>
    </row>
    <row r="77" spans="1:50" ht="30.75" hidden="1" customHeight="1">
      <c r="A77" s="1045"/>
      <c r="B77" s="1060" t="s">
        <v>3195</v>
      </c>
      <c r="C77" s="1061"/>
      <c r="D77" s="1022"/>
      <c r="E77" s="1024"/>
      <c r="F77" s="1025"/>
      <c r="G77" s="1023">
        <v>22</v>
      </c>
      <c r="H77" s="1023">
        <v>21.78</v>
      </c>
      <c r="I77" s="1024"/>
      <c r="J77" s="1024"/>
      <c r="K77" s="451"/>
      <c r="L77" s="1050"/>
      <c r="M77" s="1020"/>
      <c r="N77" s="1020"/>
      <c r="O77" s="1404"/>
      <c r="P77" s="1404"/>
      <c r="Q77" s="1404"/>
      <c r="R77" s="1088"/>
    </row>
    <row r="78" spans="1:50" ht="30.75" hidden="1" customHeight="1">
      <c r="A78" s="1045"/>
      <c r="B78" s="1060" t="s">
        <v>3521</v>
      </c>
      <c r="C78" s="1061"/>
      <c r="D78" s="1022"/>
      <c r="E78" s="1024"/>
      <c r="F78" s="1025"/>
      <c r="G78" s="1023"/>
      <c r="H78" s="1023">
        <v>22</v>
      </c>
      <c r="I78" s="1024"/>
      <c r="J78" s="1024"/>
      <c r="K78" s="451"/>
      <c r="L78" s="1050"/>
      <c r="M78" s="1017"/>
      <c r="N78" s="1017"/>
      <c r="O78" s="1403"/>
      <c r="P78" s="1403"/>
      <c r="Q78" s="1403"/>
      <c r="R78" s="1088"/>
    </row>
    <row r="79" spans="1:50" s="446" customFormat="1" ht="47.4" customHeight="1">
      <c r="A79" s="951" t="s">
        <v>2627</v>
      </c>
      <c r="B79" s="1089" t="s">
        <v>1518</v>
      </c>
      <c r="C79" s="1090"/>
      <c r="D79" s="953"/>
      <c r="E79" s="954">
        <f>SUM(E81,E85,)</f>
        <v>8</v>
      </c>
      <c r="F79" s="955">
        <f t="shared" ref="F79:F115" si="37">H79/E79-1</f>
        <v>1.2124999999999999</v>
      </c>
      <c r="G79" s="954">
        <f t="shared" ref="G79:J79" si="38">SUM(G81,G85,)</f>
        <v>57.240000000000009</v>
      </c>
      <c r="H79" s="954">
        <f t="shared" ref="H79" si="39">SUM(H81,H85,)</f>
        <v>17.7</v>
      </c>
      <c r="I79" s="954">
        <f t="shared" si="38"/>
        <v>17.119999999999997</v>
      </c>
      <c r="J79" s="954">
        <f t="shared" si="38"/>
        <v>18.740000000000002</v>
      </c>
      <c r="K79" s="871" t="s">
        <v>1205</v>
      </c>
      <c r="L79" s="1091"/>
      <c r="M79" s="1042" t="s">
        <v>1409</v>
      </c>
      <c r="N79" s="1042" t="s">
        <v>1207</v>
      </c>
      <c r="O79" s="1555" t="s">
        <v>566</v>
      </c>
      <c r="P79" s="1555" t="s">
        <v>566</v>
      </c>
      <c r="Q79" s="1555" t="s">
        <v>566</v>
      </c>
      <c r="R79" s="1043" t="s">
        <v>1207</v>
      </c>
      <c r="S79" s="390"/>
      <c r="T79" s="390"/>
      <c r="U79" s="390"/>
      <c r="V79" s="390"/>
      <c r="W79" s="390"/>
      <c r="X79" s="390"/>
      <c r="Y79" s="390"/>
      <c r="Z79" s="390"/>
      <c r="AA79" s="390"/>
      <c r="AB79" s="390"/>
      <c r="AC79" s="390"/>
      <c r="AD79" s="390"/>
      <c r="AE79" s="390"/>
      <c r="AF79" s="390"/>
      <c r="AG79" s="390"/>
      <c r="AH79" s="390"/>
      <c r="AI79" s="390"/>
      <c r="AJ79" s="390"/>
      <c r="AK79" s="390"/>
      <c r="AL79" s="390"/>
      <c r="AM79" s="390"/>
      <c r="AN79" s="390"/>
      <c r="AO79" s="390"/>
      <c r="AP79" s="390"/>
      <c r="AQ79" s="390"/>
      <c r="AR79" s="390"/>
      <c r="AS79" s="390"/>
      <c r="AT79" s="390"/>
      <c r="AU79" s="390"/>
      <c r="AV79" s="390"/>
      <c r="AW79" s="390"/>
      <c r="AX79" s="390"/>
    </row>
    <row r="80" spans="1:50" ht="20.100000000000001" customHeight="1">
      <c r="A80" s="1905" t="s">
        <v>2628</v>
      </c>
      <c r="B80" s="1900" t="s">
        <v>1519</v>
      </c>
      <c r="C80" s="1896">
        <v>300509331</v>
      </c>
      <c r="D80" s="956" t="s">
        <v>668</v>
      </c>
      <c r="E80" s="947">
        <f>E83</f>
        <v>4.7</v>
      </c>
      <c r="F80" s="946">
        <f t="shared" si="37"/>
        <v>1.5531914893617018</v>
      </c>
      <c r="G80" s="947">
        <f>SUM(G83)</f>
        <v>7.7</v>
      </c>
      <c r="H80" s="947">
        <f>SUM(H83,H82)</f>
        <v>12</v>
      </c>
      <c r="I80" s="947">
        <f t="shared" ref="I80:J80" si="40">SUM(I83)</f>
        <v>8.42</v>
      </c>
      <c r="J80" s="947">
        <f t="shared" si="40"/>
        <v>9.24</v>
      </c>
      <c r="K80" s="1764" t="s">
        <v>2909</v>
      </c>
      <c r="L80" s="1902" t="s">
        <v>1752</v>
      </c>
      <c r="M80" s="1890" t="s">
        <v>1739</v>
      </c>
      <c r="N80" s="1941" t="s">
        <v>1733</v>
      </c>
      <c r="O80" s="1892" t="s">
        <v>1691</v>
      </c>
      <c r="P80" s="1892" t="s">
        <v>1691</v>
      </c>
      <c r="Q80" s="1892" t="s">
        <v>1691</v>
      </c>
      <c r="R80" s="1740" t="s">
        <v>1781</v>
      </c>
    </row>
    <row r="81" spans="1:18" ht="24" customHeight="1">
      <c r="A81" s="1905"/>
      <c r="B81" s="1900"/>
      <c r="C81" s="1896"/>
      <c r="D81" s="961" t="s">
        <v>1372</v>
      </c>
      <c r="E81" s="962">
        <f>E80</f>
        <v>4.7</v>
      </c>
      <c r="F81" s="1013">
        <f t="shared" si="37"/>
        <v>1.5531914893617018</v>
      </c>
      <c r="G81" s="962">
        <f>SUM(G80)</f>
        <v>7.7</v>
      </c>
      <c r="H81" s="962">
        <f>SUM(H80)</f>
        <v>12</v>
      </c>
      <c r="I81" s="962">
        <f t="shared" ref="I81:J81" si="41">SUM(I80)</f>
        <v>8.42</v>
      </c>
      <c r="J81" s="962">
        <f t="shared" si="41"/>
        <v>9.24</v>
      </c>
      <c r="K81" s="1774"/>
      <c r="L81" s="1956"/>
      <c r="M81" s="1893"/>
      <c r="N81" s="1937"/>
      <c r="O81" s="1938"/>
      <c r="P81" s="1938"/>
      <c r="Q81" s="1938"/>
      <c r="R81" s="1740"/>
    </row>
    <row r="82" spans="1:18" ht="24" hidden="1" customHeight="1">
      <c r="A82" s="1053"/>
      <c r="B82" s="1054" t="s">
        <v>3795</v>
      </c>
      <c r="C82" s="1055"/>
      <c r="D82" s="1092"/>
      <c r="E82" s="1062"/>
      <c r="F82" s="1076"/>
      <c r="G82" s="1062"/>
      <c r="H82" s="1057">
        <v>9</v>
      </c>
      <c r="I82" s="1077"/>
      <c r="J82" s="1093"/>
      <c r="K82" s="1094"/>
      <c r="L82" s="1086" t="s">
        <v>3796</v>
      </c>
      <c r="M82" s="1000"/>
      <c r="N82" s="1009"/>
      <c r="O82" s="1460"/>
      <c r="P82" s="1460"/>
      <c r="Q82" s="1460"/>
      <c r="R82" s="824"/>
    </row>
    <row r="83" spans="1:18" ht="33" hidden="1" customHeight="1">
      <c r="A83" s="1053"/>
      <c r="B83" s="1054" t="s">
        <v>1756</v>
      </c>
      <c r="C83" s="1055"/>
      <c r="D83" s="1056"/>
      <c r="E83" s="1057">
        <v>4.7</v>
      </c>
      <c r="F83" s="1076">
        <f t="shared" si="37"/>
        <v>-0.36170212765957455</v>
      </c>
      <c r="G83" s="1062">
        <v>7.7</v>
      </c>
      <c r="H83" s="1057">
        <v>3</v>
      </c>
      <c r="I83" s="1083">
        <v>8.42</v>
      </c>
      <c r="J83" s="1093">
        <v>9.24</v>
      </c>
      <c r="K83" s="451"/>
      <c r="L83" s="1084" t="s">
        <v>2475</v>
      </c>
      <c r="M83" s="1017"/>
      <c r="N83" s="1017"/>
      <c r="O83" s="1465"/>
      <c r="P83" s="1465"/>
      <c r="Q83" s="1465"/>
      <c r="R83" s="782"/>
    </row>
    <row r="84" spans="1:18" ht="20.100000000000001" customHeight="1">
      <c r="A84" s="1905" t="s">
        <v>2629</v>
      </c>
      <c r="B84" s="1900" t="s">
        <v>1520</v>
      </c>
      <c r="C84" s="1896" t="s">
        <v>1376</v>
      </c>
      <c r="D84" s="956" t="s">
        <v>668</v>
      </c>
      <c r="E84" s="947">
        <f>SUM(E86,E88)</f>
        <v>3.3</v>
      </c>
      <c r="F84" s="944">
        <f t="shared" si="37"/>
        <v>0.72727272727272751</v>
      </c>
      <c r="G84" s="947">
        <f>SUM(G86:G88)</f>
        <v>49.540000000000006</v>
      </c>
      <c r="H84" s="947">
        <f>SUM(H86:H88)</f>
        <v>5.7</v>
      </c>
      <c r="I84" s="947">
        <f t="shared" ref="I84:J84" si="42">SUM(I86:I88)</f>
        <v>8.6999999999999993</v>
      </c>
      <c r="J84" s="947">
        <f t="shared" si="42"/>
        <v>9.5</v>
      </c>
      <c r="K84" s="1764" t="s">
        <v>2909</v>
      </c>
      <c r="L84" s="1902" t="s">
        <v>2476</v>
      </c>
      <c r="M84" s="1890" t="s">
        <v>1740</v>
      </c>
      <c r="N84" s="1890" t="s">
        <v>1733</v>
      </c>
      <c r="O84" s="1891" t="s">
        <v>1707</v>
      </c>
      <c r="P84" s="1891" t="s">
        <v>1707</v>
      </c>
      <c r="Q84" s="1891" t="s">
        <v>1707</v>
      </c>
      <c r="R84" s="1662" t="s">
        <v>1781</v>
      </c>
    </row>
    <row r="85" spans="1:18" ht="20.100000000000001" customHeight="1">
      <c r="A85" s="1905"/>
      <c r="B85" s="1901"/>
      <c r="C85" s="1897"/>
      <c r="D85" s="966" t="s">
        <v>1372</v>
      </c>
      <c r="E85" s="949">
        <f>E84</f>
        <v>3.3</v>
      </c>
      <c r="F85" s="1013">
        <f t="shared" si="37"/>
        <v>0.72727272727272751</v>
      </c>
      <c r="G85" s="949">
        <f>SUM(G84)</f>
        <v>49.540000000000006</v>
      </c>
      <c r="H85" s="949">
        <f>SUM(H84)</f>
        <v>5.7</v>
      </c>
      <c r="I85" s="949">
        <f t="shared" ref="I85:J85" si="43">SUM(I84)</f>
        <v>8.6999999999999993</v>
      </c>
      <c r="J85" s="949">
        <f t="shared" si="43"/>
        <v>9.5</v>
      </c>
      <c r="K85" s="1774"/>
      <c r="L85" s="1956"/>
      <c r="M85" s="1893"/>
      <c r="N85" s="1893"/>
      <c r="O85" s="1892"/>
      <c r="P85" s="1892"/>
      <c r="Q85" s="1892"/>
      <c r="R85" s="1664"/>
    </row>
    <row r="86" spans="1:18" ht="34.200000000000003" hidden="1" customHeight="1">
      <c r="A86" s="1021"/>
      <c r="B86" s="1060" t="s">
        <v>1756</v>
      </c>
      <c r="C86" s="1061"/>
      <c r="D86" s="1081"/>
      <c r="E86" s="1057">
        <v>0.3</v>
      </c>
      <c r="F86" s="1049">
        <f t="shared" si="37"/>
        <v>2.3333333333333335</v>
      </c>
      <c r="G86" s="1057">
        <v>36.78</v>
      </c>
      <c r="H86" s="1057">
        <v>1</v>
      </c>
      <c r="I86" s="1023">
        <v>5</v>
      </c>
      <c r="J86" s="1023">
        <v>5.5</v>
      </c>
      <c r="K86" s="451"/>
      <c r="L86" s="1052" t="s">
        <v>2256</v>
      </c>
      <c r="M86" s="1014"/>
      <c r="N86" s="1014"/>
      <c r="O86" s="1558"/>
      <c r="P86" s="1558"/>
      <c r="Q86" s="1558"/>
      <c r="R86" s="782"/>
    </row>
    <row r="87" spans="1:18" ht="27" hidden="1" customHeight="1">
      <c r="A87" s="1021"/>
      <c r="B87" s="1060" t="s">
        <v>1758</v>
      </c>
      <c r="C87" s="1061"/>
      <c r="D87" s="1081"/>
      <c r="E87" s="1057">
        <v>0.3</v>
      </c>
      <c r="F87" s="1049">
        <f t="shared" si="37"/>
        <v>12.333333333333334</v>
      </c>
      <c r="G87" s="1057">
        <v>9.06</v>
      </c>
      <c r="H87" s="1057">
        <v>4</v>
      </c>
      <c r="I87" s="1023"/>
      <c r="J87" s="1023"/>
      <c r="K87" s="451"/>
      <c r="L87" s="1052" t="s">
        <v>2477</v>
      </c>
      <c r="M87" s="1014"/>
      <c r="N87" s="1014"/>
      <c r="O87" s="1558"/>
      <c r="P87" s="1558"/>
      <c r="Q87" s="1558"/>
      <c r="R87" s="782"/>
    </row>
    <row r="88" spans="1:18" ht="70.5" hidden="1" customHeight="1">
      <c r="A88" s="1021"/>
      <c r="B88" s="1060" t="s">
        <v>1757</v>
      </c>
      <c r="C88" s="1061"/>
      <c r="D88" s="1081"/>
      <c r="E88" s="1057">
        <v>3</v>
      </c>
      <c r="F88" s="1049">
        <f t="shared" si="37"/>
        <v>-0.76666666666666672</v>
      </c>
      <c r="G88" s="1057">
        <v>3.7</v>
      </c>
      <c r="H88" s="1057">
        <v>0.7</v>
      </c>
      <c r="I88" s="1023">
        <v>3.7</v>
      </c>
      <c r="J88" s="1023">
        <v>4</v>
      </c>
      <c r="K88" s="451"/>
      <c r="L88" s="1052" t="s">
        <v>2478</v>
      </c>
      <c r="M88" s="1014"/>
      <c r="N88" s="1014"/>
      <c r="O88" s="1558"/>
      <c r="P88" s="1558"/>
      <c r="Q88" s="1558"/>
      <c r="R88" s="782"/>
    </row>
    <row r="89" spans="1:18" ht="67.2" customHeight="1">
      <c r="A89" s="1095" t="s">
        <v>2630</v>
      </c>
      <c r="B89" s="919" t="s">
        <v>1521</v>
      </c>
      <c r="C89" s="1096"/>
      <c r="D89" s="740"/>
      <c r="E89" s="1097">
        <f>SUM(E91,E96,E101)</f>
        <v>71.949999999999989</v>
      </c>
      <c r="F89" s="1097">
        <f t="shared" si="37"/>
        <v>0.43293954134815849</v>
      </c>
      <c r="G89" s="1097">
        <f t="shared" ref="G89:J89" si="44">SUM(G91,G96,G101)</f>
        <v>102.42999999999999</v>
      </c>
      <c r="H89" s="1097">
        <f t="shared" ref="H89" si="45">SUM(H91,H96,H101)</f>
        <v>103.1</v>
      </c>
      <c r="I89" s="1097">
        <f t="shared" si="44"/>
        <v>161.37</v>
      </c>
      <c r="J89" s="1097">
        <f t="shared" si="44"/>
        <v>115.46000000000001</v>
      </c>
      <c r="K89" s="871" t="s">
        <v>1205</v>
      </c>
      <c r="L89" s="761"/>
      <c r="M89" s="759" t="s">
        <v>1409</v>
      </c>
      <c r="N89" s="796" t="s">
        <v>1207</v>
      </c>
      <c r="O89" s="1146" t="s">
        <v>1727</v>
      </c>
      <c r="P89" s="1146" t="s">
        <v>2248</v>
      </c>
      <c r="Q89" s="1146" t="s">
        <v>566</v>
      </c>
      <c r="R89" s="759" t="s">
        <v>1207</v>
      </c>
    </row>
    <row r="90" spans="1:18" ht="20.100000000000001" customHeight="1">
      <c r="A90" s="1905" t="s">
        <v>2631</v>
      </c>
      <c r="B90" s="1900" t="s">
        <v>1522</v>
      </c>
      <c r="C90" s="1896" t="s">
        <v>1376</v>
      </c>
      <c r="D90" s="956" t="s">
        <v>668</v>
      </c>
      <c r="E90" s="947">
        <f>SUM(E92,E93)</f>
        <v>1.5499999999999998</v>
      </c>
      <c r="F90" s="946">
        <f t="shared" si="37"/>
        <v>11.38709677419355</v>
      </c>
      <c r="G90" s="947">
        <f>SUM(G92:G93)</f>
        <v>3.6</v>
      </c>
      <c r="H90" s="947">
        <f>SUM(H92,H93,H94)</f>
        <v>19.2</v>
      </c>
      <c r="I90" s="947">
        <f t="shared" ref="I90:J90" si="46">SUM(I92:I93)</f>
        <v>3.91</v>
      </c>
      <c r="J90" s="947">
        <f t="shared" si="46"/>
        <v>4.09</v>
      </c>
      <c r="K90" s="1764" t="s">
        <v>2892</v>
      </c>
      <c r="L90" s="1902" t="s">
        <v>2479</v>
      </c>
      <c r="M90" s="1890" t="s">
        <v>1741</v>
      </c>
      <c r="N90" s="1941" t="s">
        <v>1732</v>
      </c>
      <c r="O90" s="1892" t="s">
        <v>1691</v>
      </c>
      <c r="P90" s="1892" t="s">
        <v>551</v>
      </c>
      <c r="Q90" s="1892" t="s">
        <v>1707</v>
      </c>
      <c r="R90" s="1740" t="s">
        <v>1781</v>
      </c>
    </row>
    <row r="91" spans="1:18" ht="20.100000000000001" customHeight="1">
      <c r="A91" s="1905"/>
      <c r="B91" s="1900"/>
      <c r="C91" s="1896"/>
      <c r="D91" s="961" t="s">
        <v>1372</v>
      </c>
      <c r="E91" s="962">
        <f>E90</f>
        <v>1.5499999999999998</v>
      </c>
      <c r="F91" s="1013">
        <f t="shared" si="37"/>
        <v>11.38709677419355</v>
      </c>
      <c r="G91" s="962">
        <f>SUM(G90)</f>
        <v>3.6</v>
      </c>
      <c r="H91" s="962">
        <f>SUM(H90)</f>
        <v>19.2</v>
      </c>
      <c r="I91" s="962">
        <f t="shared" ref="I91:J91" si="47">SUM(I90)</f>
        <v>3.91</v>
      </c>
      <c r="J91" s="962">
        <f t="shared" si="47"/>
        <v>4.09</v>
      </c>
      <c r="K91" s="1774"/>
      <c r="L91" s="1956"/>
      <c r="M91" s="1893"/>
      <c r="N91" s="1937"/>
      <c r="O91" s="1938"/>
      <c r="P91" s="1938"/>
      <c r="Q91" s="1938"/>
      <c r="R91" s="1740"/>
    </row>
    <row r="92" spans="1:18" ht="20.100000000000001" hidden="1" customHeight="1">
      <c r="A92" s="1045"/>
      <c r="B92" s="1060" t="s">
        <v>1756</v>
      </c>
      <c r="C92" s="1061"/>
      <c r="D92" s="1022"/>
      <c r="E92" s="1057">
        <v>1.2</v>
      </c>
      <c r="F92" s="1076">
        <f t="shared" si="37"/>
        <v>11.833333333333334</v>
      </c>
      <c r="G92" s="1057">
        <v>0.45</v>
      </c>
      <c r="H92" s="1057">
        <v>15.4</v>
      </c>
      <c r="I92" s="1023">
        <v>0.49</v>
      </c>
      <c r="J92" s="1023">
        <v>0.54</v>
      </c>
      <c r="K92" s="451"/>
      <c r="L92" s="1050" t="s">
        <v>3522</v>
      </c>
      <c r="M92" s="1017"/>
      <c r="N92" s="1017"/>
      <c r="O92" s="1445"/>
      <c r="P92" s="1445"/>
      <c r="Q92" s="1445"/>
      <c r="R92" s="782"/>
    </row>
    <row r="93" spans="1:18" ht="27.75" hidden="1" customHeight="1">
      <c r="A93" s="1045"/>
      <c r="B93" s="1060" t="s">
        <v>1757</v>
      </c>
      <c r="C93" s="1061"/>
      <c r="D93" s="1022"/>
      <c r="E93" s="1062">
        <v>0.35</v>
      </c>
      <c r="F93" s="1076">
        <f t="shared" si="37"/>
        <v>4.7142857142857144</v>
      </c>
      <c r="G93" s="1057">
        <v>3.15</v>
      </c>
      <c r="H93" s="1057">
        <v>2</v>
      </c>
      <c r="I93" s="1023">
        <v>3.42</v>
      </c>
      <c r="J93" s="1023">
        <v>3.55</v>
      </c>
      <c r="K93" s="451"/>
      <c r="L93" s="1052" t="s">
        <v>2480</v>
      </c>
      <c r="M93" s="1017"/>
      <c r="N93" s="1017"/>
      <c r="O93" s="1445"/>
      <c r="P93" s="1445"/>
      <c r="Q93" s="1445"/>
      <c r="R93" s="782"/>
    </row>
    <row r="94" spans="1:18" ht="27.75" hidden="1" customHeight="1">
      <c r="A94" s="1098"/>
      <c r="B94" s="1099" t="s">
        <v>715</v>
      </c>
      <c r="C94" s="1098"/>
      <c r="D94" s="1098"/>
      <c r="E94" s="1098"/>
      <c r="F94" s="1076"/>
      <c r="G94" s="1057"/>
      <c r="H94" s="1057">
        <v>1.8</v>
      </c>
      <c r="I94" s="1023"/>
      <c r="J94" s="1023"/>
      <c r="K94" s="595"/>
      <c r="L94" s="1100" t="s">
        <v>3797</v>
      </c>
      <c r="M94" s="1017"/>
      <c r="N94" s="1017"/>
      <c r="O94" s="1445"/>
      <c r="P94" s="1445"/>
      <c r="Q94" s="1445"/>
      <c r="R94" s="801"/>
    </row>
    <row r="95" spans="1:18" ht="20.100000000000001" customHeight="1">
      <c r="A95" s="1914" t="s">
        <v>2632</v>
      </c>
      <c r="B95" s="1912" t="s">
        <v>1524</v>
      </c>
      <c r="C95" s="1906" t="s">
        <v>1376</v>
      </c>
      <c r="D95" s="1082" t="s">
        <v>668</v>
      </c>
      <c r="E95" s="965">
        <f>SUM(E97,E99)</f>
        <v>40.4</v>
      </c>
      <c r="F95" s="944">
        <f t="shared" si="37"/>
        <v>0.24752475247524752</v>
      </c>
      <c r="G95" s="947">
        <f>SUM(G97:G99)</f>
        <v>63.08</v>
      </c>
      <c r="H95" s="947">
        <f>SUM(H97:H99)</f>
        <v>50.4</v>
      </c>
      <c r="I95" s="947">
        <f t="shared" ref="I95:J95" si="48">SUM(I97:I99)</f>
        <v>101.13</v>
      </c>
      <c r="J95" s="947">
        <f t="shared" si="48"/>
        <v>51.2</v>
      </c>
      <c r="K95" s="1764" t="s">
        <v>2892</v>
      </c>
      <c r="L95" s="1902" t="s">
        <v>2481</v>
      </c>
      <c r="M95" s="1890" t="s">
        <v>1742</v>
      </c>
      <c r="N95" s="1941" t="s">
        <v>1732</v>
      </c>
      <c r="O95" s="1892" t="s">
        <v>469</v>
      </c>
      <c r="P95" s="1892" t="s">
        <v>469</v>
      </c>
      <c r="Q95" s="1892" t="s">
        <v>469</v>
      </c>
      <c r="R95" s="1662" t="s">
        <v>2893</v>
      </c>
    </row>
    <row r="96" spans="1:18" ht="20.100000000000001" customHeight="1">
      <c r="A96" s="1905"/>
      <c r="B96" s="1900"/>
      <c r="C96" s="1896"/>
      <c r="D96" s="961" t="s">
        <v>1372</v>
      </c>
      <c r="E96" s="962">
        <f>E95</f>
        <v>40.4</v>
      </c>
      <c r="F96" s="1013">
        <f t="shared" si="37"/>
        <v>0.24752475247524752</v>
      </c>
      <c r="G96" s="962">
        <f>SUM(G95)</f>
        <v>63.08</v>
      </c>
      <c r="H96" s="962">
        <f>SUM(H95)</f>
        <v>50.4</v>
      </c>
      <c r="I96" s="962">
        <f t="shared" ref="I96:J96" si="49">SUM(I95)</f>
        <v>101.13</v>
      </c>
      <c r="J96" s="962">
        <f t="shared" si="49"/>
        <v>51.2</v>
      </c>
      <c r="K96" s="1774"/>
      <c r="L96" s="1956"/>
      <c r="M96" s="1893"/>
      <c r="N96" s="1937"/>
      <c r="O96" s="1938"/>
      <c r="P96" s="1938"/>
      <c r="Q96" s="1938"/>
      <c r="R96" s="1664"/>
    </row>
    <row r="97" spans="1:18" ht="20.100000000000001" hidden="1" customHeight="1">
      <c r="A97" s="1021"/>
      <c r="B97" s="1060" t="s">
        <v>1756</v>
      </c>
      <c r="C97" s="1061"/>
      <c r="D97" s="1081"/>
      <c r="E97" s="1057">
        <v>40</v>
      </c>
      <c r="F97" s="1049">
        <f t="shared" si="37"/>
        <v>0</v>
      </c>
      <c r="G97" s="1023">
        <v>50</v>
      </c>
      <c r="H97" s="1023">
        <v>40</v>
      </c>
      <c r="I97" s="1023">
        <v>100</v>
      </c>
      <c r="J97" s="1101">
        <v>50</v>
      </c>
      <c r="K97" s="451"/>
      <c r="L97" s="1050" t="s">
        <v>2257</v>
      </c>
      <c r="M97" s="1014"/>
      <c r="N97" s="1014"/>
      <c r="O97" s="1558"/>
      <c r="P97" s="1558"/>
      <c r="Q97" s="1558"/>
      <c r="R97" s="791"/>
    </row>
    <row r="98" spans="1:18" ht="20.100000000000001" hidden="1" customHeight="1">
      <c r="A98" s="1021"/>
      <c r="B98" s="1046" t="s">
        <v>1755</v>
      </c>
      <c r="C98" s="1047"/>
      <c r="D98" s="1102"/>
      <c r="E98" s="1023">
        <v>8</v>
      </c>
      <c r="F98" s="1049">
        <f t="shared" si="37"/>
        <v>0.25</v>
      </c>
      <c r="G98" s="1023">
        <v>12</v>
      </c>
      <c r="H98" s="1023">
        <v>10</v>
      </c>
      <c r="I98" s="1023"/>
      <c r="J98" s="1101"/>
      <c r="K98" s="451"/>
      <c r="L98" s="1052" t="s">
        <v>2261</v>
      </c>
      <c r="M98" s="1014"/>
      <c r="N98" s="1051"/>
      <c r="O98" s="1556"/>
      <c r="P98" s="1556"/>
      <c r="Q98" s="1556"/>
      <c r="R98" s="1103"/>
    </row>
    <row r="99" spans="1:18" ht="20.100000000000001" hidden="1" customHeight="1">
      <c r="A99" s="1021"/>
      <c r="B99" s="1060" t="s">
        <v>1757</v>
      </c>
      <c r="C99" s="1061"/>
      <c r="D99" s="1081"/>
      <c r="E99" s="1057">
        <v>0.4</v>
      </c>
      <c r="F99" s="1049">
        <f t="shared" si="37"/>
        <v>0</v>
      </c>
      <c r="G99" s="1057">
        <v>1.08</v>
      </c>
      <c r="H99" s="1057">
        <v>0.4</v>
      </c>
      <c r="I99" s="1023">
        <v>1.1299999999999999</v>
      </c>
      <c r="J99" s="1101">
        <v>1.2</v>
      </c>
      <c r="K99" s="451"/>
      <c r="L99" s="1050" t="s">
        <v>2482</v>
      </c>
      <c r="M99" s="1014"/>
      <c r="N99" s="1014"/>
      <c r="O99" s="1558"/>
      <c r="P99" s="1558"/>
      <c r="Q99" s="1558"/>
      <c r="R99" s="791"/>
    </row>
    <row r="100" spans="1:18" ht="20.100000000000001" customHeight="1">
      <c r="A100" s="1905" t="s">
        <v>2633</v>
      </c>
      <c r="B100" s="1900" t="s">
        <v>1523</v>
      </c>
      <c r="C100" s="1896" t="s">
        <v>1376</v>
      </c>
      <c r="D100" s="956" t="s">
        <v>668</v>
      </c>
      <c r="E100" s="947">
        <f>SUM(E102,E103,E104,)</f>
        <v>30</v>
      </c>
      <c r="F100" s="944">
        <f t="shared" si="37"/>
        <v>0.1166666666666667</v>
      </c>
      <c r="G100" s="947">
        <f>SUM(G102:G104)</f>
        <v>35.75</v>
      </c>
      <c r="H100" s="947">
        <f>SUM(H102:H104)</f>
        <v>33.5</v>
      </c>
      <c r="I100" s="947">
        <f t="shared" ref="I100:J100" si="50">SUM(I102:I104)</f>
        <v>56.33</v>
      </c>
      <c r="J100" s="947">
        <f t="shared" si="50"/>
        <v>60.169999999999995</v>
      </c>
      <c r="K100" s="1764" t="s">
        <v>2892</v>
      </c>
      <c r="L100" s="1902" t="s">
        <v>2483</v>
      </c>
      <c r="M100" s="1890" t="s">
        <v>1743</v>
      </c>
      <c r="N100" s="1890" t="s">
        <v>1732</v>
      </c>
      <c r="O100" s="1891" t="s">
        <v>1776</v>
      </c>
      <c r="P100" s="1891" t="s">
        <v>1776</v>
      </c>
      <c r="Q100" s="1891" t="s">
        <v>1776</v>
      </c>
      <c r="R100" s="1662" t="s">
        <v>2893</v>
      </c>
    </row>
    <row r="101" spans="1:18" ht="20.100000000000001" customHeight="1">
      <c r="A101" s="1905"/>
      <c r="B101" s="1901"/>
      <c r="C101" s="1897"/>
      <c r="D101" s="966" t="s">
        <v>1372</v>
      </c>
      <c r="E101" s="949">
        <f>E100</f>
        <v>30</v>
      </c>
      <c r="F101" s="1013">
        <f t="shared" si="37"/>
        <v>0.1166666666666667</v>
      </c>
      <c r="G101" s="949">
        <f>SUM(G100)</f>
        <v>35.75</v>
      </c>
      <c r="H101" s="949">
        <f>SUM(H100)</f>
        <v>33.5</v>
      </c>
      <c r="I101" s="949">
        <f t="shared" ref="I101:J101" si="51">SUM(I100)</f>
        <v>56.33</v>
      </c>
      <c r="J101" s="949">
        <f t="shared" si="51"/>
        <v>60.169999999999995</v>
      </c>
      <c r="K101" s="1774"/>
      <c r="L101" s="1956"/>
      <c r="M101" s="1893"/>
      <c r="N101" s="1893"/>
      <c r="O101" s="1892"/>
      <c r="P101" s="1892"/>
      <c r="Q101" s="1892"/>
      <c r="R101" s="1664"/>
    </row>
    <row r="102" spans="1:18" ht="20.100000000000001" hidden="1" customHeight="1">
      <c r="A102" s="1021"/>
      <c r="B102" s="1046" t="s">
        <v>1755</v>
      </c>
      <c r="C102" s="1047"/>
      <c r="D102" s="1102"/>
      <c r="E102" s="1023">
        <v>8</v>
      </c>
      <c r="F102" s="1049">
        <f t="shared" si="37"/>
        <v>0</v>
      </c>
      <c r="G102" s="1023"/>
      <c r="H102" s="1104">
        <v>8</v>
      </c>
      <c r="I102" s="1023">
        <v>17</v>
      </c>
      <c r="J102" s="1101">
        <v>17</v>
      </c>
      <c r="K102" s="450"/>
      <c r="L102" s="1050" t="s">
        <v>3897</v>
      </c>
      <c r="M102" s="1014"/>
      <c r="N102" s="1051"/>
      <c r="O102" s="1556"/>
      <c r="P102" s="1556"/>
      <c r="Q102" s="1556"/>
      <c r="R102" s="1103"/>
    </row>
    <row r="103" spans="1:18" ht="20.100000000000001" hidden="1" customHeight="1">
      <c r="A103" s="1021"/>
      <c r="B103" s="1046" t="s">
        <v>1756</v>
      </c>
      <c r="C103" s="1047"/>
      <c r="D103" s="1102"/>
      <c r="E103" s="1023">
        <v>21.5</v>
      </c>
      <c r="F103" s="1049">
        <f t="shared" si="37"/>
        <v>0.16279069767441867</v>
      </c>
      <c r="G103" s="1023">
        <v>35</v>
      </c>
      <c r="H103" s="1023">
        <v>25</v>
      </c>
      <c r="I103" s="1023">
        <v>38.5</v>
      </c>
      <c r="J103" s="1101">
        <v>42.3</v>
      </c>
      <c r="K103" s="450"/>
      <c r="L103" s="1050" t="s">
        <v>2258</v>
      </c>
      <c r="M103" s="1014"/>
      <c r="N103" s="1051"/>
      <c r="O103" s="1556"/>
      <c r="P103" s="1556"/>
      <c r="Q103" s="1556"/>
      <c r="R103" s="1103"/>
    </row>
    <row r="104" spans="1:18" ht="20.100000000000001" hidden="1" customHeight="1">
      <c r="A104" s="1105"/>
      <c r="B104" s="1054" t="s">
        <v>1757</v>
      </c>
      <c r="C104" s="1055"/>
      <c r="D104" s="1056"/>
      <c r="E104" s="1023">
        <v>0.5</v>
      </c>
      <c r="F104" s="1049">
        <f t="shared" si="37"/>
        <v>0</v>
      </c>
      <c r="G104" s="1023">
        <v>0.75</v>
      </c>
      <c r="H104" s="1023">
        <v>0.5</v>
      </c>
      <c r="I104" s="1023">
        <v>0.83</v>
      </c>
      <c r="J104" s="1101">
        <v>0.87</v>
      </c>
      <c r="K104" s="450"/>
      <c r="L104" s="1050" t="s">
        <v>2253</v>
      </c>
      <c r="M104" s="1014"/>
      <c r="N104" s="1051"/>
      <c r="O104" s="1556"/>
      <c r="P104" s="1556"/>
      <c r="Q104" s="1556"/>
      <c r="R104" s="1103"/>
    </row>
    <row r="105" spans="1:18" ht="54" customHeight="1">
      <c r="A105" s="1911"/>
      <c r="B105" s="1911"/>
      <c r="C105" s="1911"/>
      <c r="D105" s="1911"/>
      <c r="E105" s="967" t="s">
        <v>1388</v>
      </c>
      <c r="F105" s="967"/>
      <c r="G105" s="967" t="str">
        <f>G14</f>
        <v>2024  m.asignavimų poreikis</v>
      </c>
      <c r="H105" s="967" t="str">
        <f>H14</f>
        <v>2024  m.asignavimai ir kitos lėšos, tūkst. Eur</v>
      </c>
      <c r="I105" s="928" t="str">
        <f>I14</f>
        <v>2025 m. asignavimai ir kitos lėšos, tūkst. Eur</v>
      </c>
      <c r="J105" s="928" t="str">
        <f>J14</f>
        <v>2026 m. asignavimai ir kitos lėšos, tūkst. Eur</v>
      </c>
      <c r="K105" s="1952"/>
      <c r="L105" s="1953"/>
      <c r="M105" s="1953"/>
      <c r="N105" s="1953"/>
      <c r="O105" s="1953"/>
      <c r="P105" s="1953"/>
      <c r="Q105" s="1953"/>
      <c r="R105" s="1954"/>
    </row>
    <row r="106" spans="1:18" ht="20.100000000000001" customHeight="1">
      <c r="A106" s="971"/>
      <c r="B106" s="1983" t="s">
        <v>990</v>
      </c>
      <c r="C106" s="1983"/>
      <c r="D106" s="1983"/>
      <c r="E106" s="715">
        <f>E107+E108+E110+E111+E112+E113</f>
        <v>1710.9120000000003</v>
      </c>
      <c r="F106" s="944">
        <f t="shared" si="37"/>
        <v>0.16105153274978457</v>
      </c>
      <c r="G106" s="684">
        <f>SUM(G107:G113)</f>
        <v>2086.9409999999998</v>
      </c>
      <c r="H106" s="684">
        <f>H107+H108+H110+H111+H112+H113</f>
        <v>1986.4569999999999</v>
      </c>
      <c r="I106" s="684">
        <f t="shared" ref="I106:J106" si="52">I107+I108+I110+I111+I112+I113</f>
        <v>2059.85</v>
      </c>
      <c r="J106" s="684">
        <f t="shared" si="52"/>
        <v>2034.18</v>
      </c>
      <c r="K106" s="1955"/>
      <c r="L106" s="1955"/>
      <c r="M106" s="1955"/>
      <c r="N106" s="1955"/>
      <c r="O106" s="1955"/>
      <c r="P106" s="1955"/>
      <c r="Q106" s="1955"/>
      <c r="R106" s="1955"/>
    </row>
    <row r="107" spans="1:18" ht="34.799999999999997" customHeight="1">
      <c r="A107" s="975"/>
      <c r="B107" s="1894" t="s">
        <v>2564</v>
      </c>
      <c r="C107" s="1894"/>
      <c r="D107" s="1894"/>
      <c r="E107" s="1106">
        <f>SUM(E17,E35,E39,E45,E50,E54,E59,E63,E67,E71,E74,E80,E84,E90,E95,E100)</f>
        <v>1631.9900000000002</v>
      </c>
      <c r="F107" s="1107">
        <f t="shared" si="37"/>
        <v>0.15891028744048663</v>
      </c>
      <c r="G107" s="1108">
        <f>SUM(G17,G35,G39,G45,G50,G54,G59,G63,G67,G71,G74,G80,G84,G90,G95,G100,)</f>
        <v>2021.5609999999997</v>
      </c>
      <c r="H107" s="1108">
        <f>SUM(H17,H35,H39,H45,H50,H54,H59,H63,H67,H71,H74,H80,H84,H90,H95,H100,)</f>
        <v>1891.33</v>
      </c>
      <c r="I107" s="1108">
        <f t="shared" ref="I107:J107" si="53">SUM(I17,I35,I39,I45,I50,I54,I59,I63,I67,I71,I74,I80,I84,I90,I95,I100,)</f>
        <v>1963.85</v>
      </c>
      <c r="J107" s="1108">
        <f t="shared" si="53"/>
        <v>1936.68</v>
      </c>
      <c r="K107" s="1955"/>
      <c r="L107" s="1955"/>
      <c r="M107" s="1955"/>
      <c r="N107" s="1955"/>
      <c r="O107" s="1955"/>
      <c r="P107" s="1955"/>
      <c r="Q107" s="1955"/>
      <c r="R107" s="1955"/>
    </row>
    <row r="108" spans="1:18" ht="20.100000000000001" customHeight="1">
      <c r="A108" s="975"/>
      <c r="B108" s="1894" t="s">
        <v>993</v>
      </c>
      <c r="C108" s="1894"/>
      <c r="D108" s="1894"/>
      <c r="E108" s="1106">
        <f>SUM(E19)</f>
        <v>23.091999999999999</v>
      </c>
      <c r="F108" s="1107">
        <f t="shared" si="37"/>
        <v>0.10358565737051806</v>
      </c>
      <c r="G108" s="1109">
        <f>SUM(G19)</f>
        <v>23.78</v>
      </c>
      <c r="H108" s="1109">
        <f>SUM(H19)</f>
        <v>25.484000000000002</v>
      </c>
      <c r="I108" s="1109">
        <f t="shared" ref="I108:J108" si="54">SUM(I19)</f>
        <v>26</v>
      </c>
      <c r="J108" s="1109">
        <f t="shared" si="54"/>
        <v>26.5</v>
      </c>
      <c r="K108" s="1955"/>
      <c r="L108" s="1955"/>
      <c r="M108" s="1955"/>
      <c r="N108" s="1955"/>
      <c r="O108" s="1955"/>
      <c r="P108" s="1955"/>
      <c r="Q108" s="1955"/>
      <c r="R108" s="1955"/>
    </row>
    <row r="109" spans="1:18" ht="20.100000000000001" hidden="1" customHeight="1">
      <c r="A109" s="975"/>
      <c r="B109" s="1883" t="s">
        <v>3586</v>
      </c>
      <c r="C109" s="1884"/>
      <c r="D109" s="1885"/>
      <c r="E109" s="1110"/>
      <c r="F109" s="1049"/>
      <c r="G109" s="1001"/>
      <c r="H109" s="1001">
        <f>H108</f>
        <v>25.484000000000002</v>
      </c>
      <c r="I109" s="1001"/>
      <c r="J109" s="1111"/>
      <c r="K109" s="1955"/>
      <c r="L109" s="1955"/>
      <c r="M109" s="1955"/>
      <c r="N109" s="1955"/>
      <c r="O109" s="1955"/>
      <c r="P109" s="1955"/>
      <c r="Q109" s="1955"/>
      <c r="R109" s="1955"/>
    </row>
    <row r="110" spans="1:18" ht="20.100000000000001" customHeight="1">
      <c r="A110" s="975"/>
      <c r="B110" s="1894" t="s">
        <v>994</v>
      </c>
      <c r="C110" s="1894"/>
      <c r="D110" s="1894"/>
      <c r="E110" s="1106">
        <f>SUM(E18)</f>
        <v>55.830000000000005</v>
      </c>
      <c r="F110" s="1107">
        <f t="shared" si="37"/>
        <v>0.2474117857782554</v>
      </c>
      <c r="G110" s="1109">
        <f>SUM(G18)</f>
        <v>41.6</v>
      </c>
      <c r="H110" s="1109">
        <f>SUM(H18)</f>
        <v>69.643000000000001</v>
      </c>
      <c r="I110" s="1109">
        <f>SUM(I18)</f>
        <v>70</v>
      </c>
      <c r="J110" s="1112">
        <f>SUM(J18)</f>
        <v>71</v>
      </c>
      <c r="K110" s="1955"/>
      <c r="L110" s="1955"/>
      <c r="M110" s="1955"/>
      <c r="N110" s="1955"/>
      <c r="O110" s="1955"/>
      <c r="P110" s="1955"/>
      <c r="Q110" s="1955"/>
      <c r="R110" s="1955"/>
    </row>
    <row r="111" spans="1:18" ht="20.100000000000001" customHeight="1">
      <c r="A111" s="975"/>
      <c r="B111" s="1894" t="s">
        <v>2565</v>
      </c>
      <c r="C111" s="1894"/>
      <c r="D111" s="1894"/>
      <c r="E111" s="1106">
        <v>0</v>
      </c>
      <c r="F111" s="1107"/>
      <c r="G111" s="1109">
        <f>SUM(G20,G75,)</f>
        <v>0</v>
      </c>
      <c r="H111" s="1109">
        <f>SUM(H20,H75,)</f>
        <v>0</v>
      </c>
      <c r="I111" s="1109">
        <f>SUM(I20,I75,)</f>
        <v>0</v>
      </c>
      <c r="J111" s="1112">
        <f>SUM(J20,J75,)</f>
        <v>0</v>
      </c>
      <c r="K111" s="1955"/>
      <c r="L111" s="1955"/>
      <c r="M111" s="1955"/>
      <c r="N111" s="1955"/>
      <c r="O111" s="1955"/>
      <c r="P111" s="1955"/>
      <c r="Q111" s="1955"/>
      <c r="R111" s="1955"/>
    </row>
    <row r="112" spans="1:18" ht="20.100000000000001" customHeight="1">
      <c r="A112" s="975"/>
      <c r="B112" s="1894" t="s">
        <v>995</v>
      </c>
      <c r="C112" s="1894"/>
      <c r="D112" s="1894"/>
      <c r="E112" s="1106">
        <v>0</v>
      </c>
      <c r="F112" s="1107"/>
      <c r="G112" s="1109">
        <v>0</v>
      </c>
      <c r="H112" s="1109">
        <v>0</v>
      </c>
      <c r="I112" s="1109">
        <v>0</v>
      </c>
      <c r="J112" s="1112">
        <v>0</v>
      </c>
      <c r="K112" s="1955"/>
      <c r="L112" s="1955"/>
      <c r="M112" s="1955"/>
      <c r="N112" s="1955"/>
      <c r="O112" s="1955"/>
      <c r="P112" s="1955"/>
      <c r="Q112" s="1955"/>
      <c r="R112" s="1955"/>
    </row>
    <row r="113" spans="1:18" ht="20.100000000000001" customHeight="1">
      <c r="A113" s="975" t="s">
        <v>3765</v>
      </c>
      <c r="B113" s="1894" t="s">
        <v>996</v>
      </c>
      <c r="C113" s="1894"/>
      <c r="D113" s="1894"/>
      <c r="E113" s="1106">
        <v>0</v>
      </c>
      <c r="F113" s="1107"/>
      <c r="G113" s="1109">
        <v>0</v>
      </c>
      <c r="H113" s="1109">
        <v>0</v>
      </c>
      <c r="I113" s="1109">
        <v>0</v>
      </c>
      <c r="J113" s="1112">
        <v>0</v>
      </c>
      <c r="K113" s="1955"/>
      <c r="L113" s="1955"/>
      <c r="M113" s="1955"/>
      <c r="N113" s="1955"/>
      <c r="O113" s="1955"/>
      <c r="P113" s="1955"/>
      <c r="Q113" s="1955"/>
      <c r="R113" s="1955"/>
    </row>
    <row r="114" spans="1:18" ht="48.6" customHeight="1">
      <c r="A114" s="971"/>
      <c r="B114" s="1904" t="s">
        <v>997</v>
      </c>
      <c r="C114" s="1904"/>
      <c r="D114" s="1904"/>
      <c r="E114" s="749">
        <v>0</v>
      </c>
      <c r="F114" s="749"/>
      <c r="G114" s="749">
        <v>0</v>
      </c>
      <c r="H114" s="749">
        <f>H21</f>
        <v>16</v>
      </c>
      <c r="I114" s="749">
        <v>0</v>
      </c>
      <c r="J114" s="749">
        <v>0</v>
      </c>
      <c r="K114" s="1955"/>
      <c r="L114" s="1955"/>
      <c r="M114" s="1955"/>
      <c r="N114" s="1955"/>
      <c r="O114" s="1955"/>
      <c r="P114" s="1955"/>
      <c r="Q114" s="1955"/>
      <c r="R114" s="1955"/>
    </row>
    <row r="115" spans="1:18" ht="33.6" customHeight="1">
      <c r="A115" s="1006"/>
      <c r="B115" s="1904" t="s">
        <v>1389</v>
      </c>
      <c r="C115" s="1904"/>
      <c r="D115" s="1904"/>
      <c r="E115" s="1113">
        <f>SUM(E106,E114)</f>
        <v>1710.9120000000003</v>
      </c>
      <c r="F115" s="1114">
        <f t="shared" si="37"/>
        <v>0.17040327030262192</v>
      </c>
      <c r="G115" s="1113">
        <f>SUM(G106,G114)</f>
        <v>2086.9409999999998</v>
      </c>
      <c r="H115" s="1113">
        <f>SUM(H106,H114)</f>
        <v>2002.4569999999999</v>
      </c>
      <c r="I115" s="1113">
        <f t="shared" ref="I115:J115" si="55">I106+I114</f>
        <v>2059.85</v>
      </c>
      <c r="J115" s="1113">
        <f t="shared" si="55"/>
        <v>2034.18</v>
      </c>
      <c r="K115" s="1955"/>
      <c r="L115" s="1955"/>
      <c r="M115" s="1955"/>
      <c r="N115" s="1955"/>
      <c r="O115" s="1955"/>
      <c r="P115" s="1955"/>
      <c r="Q115" s="1955"/>
      <c r="R115" s="1955"/>
    </row>
    <row r="116" spans="1:18" ht="20.100000000000001" customHeight="1">
      <c r="A116" s="1006"/>
      <c r="B116" s="1904" t="s">
        <v>2566</v>
      </c>
      <c r="C116" s="1904"/>
      <c r="D116" s="1904"/>
      <c r="E116" s="1113">
        <v>0</v>
      </c>
      <c r="F116" s="1114"/>
      <c r="G116" s="1113">
        <v>0</v>
      </c>
      <c r="H116" s="1113">
        <v>0</v>
      </c>
      <c r="I116" s="1113">
        <v>0</v>
      </c>
      <c r="J116" s="1113">
        <v>0</v>
      </c>
      <c r="K116" s="1955"/>
      <c r="L116" s="1955"/>
      <c r="M116" s="1955"/>
      <c r="N116" s="1955"/>
      <c r="O116" s="1955"/>
      <c r="P116" s="1955"/>
      <c r="Q116" s="1955"/>
      <c r="R116" s="1955"/>
    </row>
    <row r="117" spans="1:18" ht="36.6" customHeight="1">
      <c r="A117" s="1006"/>
      <c r="B117" s="1904" t="s">
        <v>998</v>
      </c>
      <c r="C117" s="1904"/>
      <c r="D117" s="1904"/>
      <c r="E117" s="1113">
        <v>0</v>
      </c>
      <c r="F117" s="1114"/>
      <c r="G117" s="1113">
        <v>0</v>
      </c>
      <c r="H117" s="1115">
        <f>H115/E115-1</f>
        <v>0.17040327030262192</v>
      </c>
      <c r="I117" s="1115">
        <f>I115/H115-1</f>
        <v>2.8661289605719453E-2</v>
      </c>
      <c r="J117" s="1115">
        <f>J115/I115-1</f>
        <v>-1.2462072481005837E-2</v>
      </c>
      <c r="K117" s="1955"/>
      <c r="L117" s="1955"/>
      <c r="M117" s="1955"/>
      <c r="N117" s="1955"/>
      <c r="O117" s="1955"/>
      <c r="P117" s="1955"/>
      <c r="Q117" s="1955"/>
      <c r="R117" s="1955"/>
    </row>
    <row r="118" spans="1:18">
      <c r="E118" s="390"/>
      <c r="F118" s="390"/>
    </row>
    <row r="119" spans="1:18">
      <c r="E119" s="390"/>
      <c r="F119" s="390"/>
    </row>
    <row r="120" spans="1:18">
      <c r="E120" s="390"/>
      <c r="F120" s="390"/>
    </row>
    <row r="121" spans="1:18" ht="33" customHeight="1">
      <c r="A121" s="387"/>
      <c r="B121" s="440"/>
      <c r="E121" s="439"/>
      <c r="F121" s="439"/>
      <c r="G121" s="439"/>
      <c r="H121" s="439"/>
      <c r="I121" s="439"/>
      <c r="J121" s="439"/>
      <c r="L121" s="439"/>
    </row>
    <row r="122" spans="1:18">
      <c r="A122" s="387"/>
      <c r="B122" s="387"/>
      <c r="C122" s="387"/>
      <c r="D122" s="387"/>
      <c r="E122" s="387"/>
      <c r="F122" s="387"/>
      <c r="G122" s="387"/>
      <c r="H122" s="387"/>
      <c r="I122" s="387"/>
      <c r="J122" s="387"/>
      <c r="L122" s="387"/>
    </row>
    <row r="123" spans="1:18">
      <c r="A123" s="387"/>
      <c r="B123" s="387"/>
      <c r="C123" s="387"/>
      <c r="D123" s="387"/>
      <c r="E123" s="387"/>
      <c r="F123" s="387"/>
      <c r="G123" s="387"/>
      <c r="H123" s="387"/>
      <c r="I123" s="387"/>
      <c r="J123" s="387"/>
      <c r="L123" s="387"/>
    </row>
    <row r="124" spans="1:18">
      <c r="A124" s="387"/>
      <c r="B124" s="387"/>
      <c r="C124" s="387"/>
      <c r="D124" s="387"/>
      <c r="E124" s="387"/>
      <c r="F124" s="387"/>
      <c r="G124" s="387"/>
      <c r="H124" s="387"/>
      <c r="I124" s="387"/>
      <c r="J124" s="387"/>
      <c r="L124" s="387"/>
    </row>
    <row r="125" spans="1:18">
      <c r="A125" s="387"/>
      <c r="B125" s="387"/>
      <c r="C125" s="387"/>
      <c r="D125" s="387"/>
      <c r="E125" s="387"/>
      <c r="F125" s="387"/>
      <c r="G125" s="387"/>
      <c r="H125" s="387"/>
      <c r="I125" s="387"/>
      <c r="J125" s="387"/>
      <c r="L125" s="387"/>
    </row>
    <row r="126" spans="1:18">
      <c r="A126" s="387"/>
      <c r="B126" s="387"/>
      <c r="C126" s="387"/>
      <c r="D126" s="387"/>
      <c r="E126" s="387"/>
      <c r="F126" s="387"/>
      <c r="G126" s="387"/>
      <c r="H126" s="387"/>
      <c r="I126" s="387"/>
      <c r="J126" s="387"/>
      <c r="L126" s="387"/>
    </row>
    <row r="127" spans="1:18">
      <c r="A127" s="387"/>
      <c r="B127" s="387"/>
      <c r="C127" s="387"/>
      <c r="D127" s="387"/>
      <c r="E127" s="387"/>
      <c r="F127" s="387"/>
      <c r="G127" s="387"/>
      <c r="H127" s="387"/>
      <c r="I127" s="387"/>
      <c r="J127" s="387"/>
      <c r="L127" s="387"/>
    </row>
    <row r="128" spans="1:18">
      <c r="A128" s="387"/>
      <c r="B128" s="387"/>
      <c r="C128" s="387"/>
      <c r="D128" s="387"/>
      <c r="E128" s="387"/>
      <c r="F128" s="387"/>
      <c r="G128" s="387"/>
      <c r="H128" s="387"/>
      <c r="I128" s="387"/>
      <c r="J128" s="431"/>
      <c r="L128" s="387"/>
    </row>
    <row r="129" spans="1:12">
      <c r="A129" s="387"/>
      <c r="B129" s="387"/>
      <c r="C129" s="387"/>
      <c r="D129" s="387"/>
      <c r="E129" s="387"/>
      <c r="F129" s="387"/>
      <c r="G129" s="387"/>
      <c r="H129" s="387"/>
      <c r="I129" s="387"/>
      <c r="J129" s="432"/>
      <c r="L129" s="387"/>
    </row>
    <row r="130" spans="1:12">
      <c r="A130" s="387"/>
      <c r="B130" s="387"/>
      <c r="C130" s="387"/>
      <c r="D130" s="387"/>
      <c r="E130" s="387"/>
      <c r="F130" s="387"/>
      <c r="G130" s="387"/>
      <c r="H130" s="387"/>
      <c r="I130" s="387"/>
      <c r="J130" s="431"/>
      <c r="L130" s="387"/>
    </row>
    <row r="131" spans="1:12">
      <c r="A131" s="387"/>
      <c r="B131" s="387"/>
      <c r="C131" s="387"/>
      <c r="D131" s="387"/>
      <c r="E131" s="387"/>
      <c r="F131" s="387"/>
      <c r="G131" s="387"/>
      <c r="H131" s="387"/>
      <c r="I131" s="387"/>
      <c r="J131" s="431"/>
      <c r="L131" s="387"/>
    </row>
    <row r="132" spans="1:12">
      <c r="A132" s="387"/>
      <c r="B132" s="387"/>
      <c r="C132" s="387"/>
      <c r="D132" s="387"/>
      <c r="E132" s="387"/>
      <c r="F132" s="387"/>
      <c r="G132" s="387"/>
      <c r="H132" s="387"/>
      <c r="I132" s="387"/>
      <c r="J132" s="387"/>
      <c r="L132" s="387"/>
    </row>
    <row r="133" spans="1:12">
      <c r="A133" s="387"/>
      <c r="B133" s="387"/>
      <c r="C133" s="387"/>
      <c r="D133" s="387"/>
      <c r="E133" s="387"/>
      <c r="F133" s="387"/>
      <c r="G133" s="387"/>
      <c r="H133" s="387"/>
      <c r="I133" s="387"/>
      <c r="J133" s="387"/>
      <c r="L133" s="387"/>
    </row>
    <row r="134" spans="1:12">
      <c r="A134" s="387"/>
      <c r="B134" s="387"/>
      <c r="C134" s="387"/>
      <c r="D134" s="387"/>
      <c r="E134" s="387"/>
      <c r="F134" s="387"/>
      <c r="G134" s="387"/>
      <c r="H134" s="387"/>
      <c r="I134" s="387"/>
      <c r="J134" s="387"/>
      <c r="L134" s="387"/>
    </row>
    <row r="135" spans="1:12">
      <c r="A135" s="387"/>
      <c r="B135" s="387"/>
      <c r="C135" s="387"/>
      <c r="D135" s="387"/>
      <c r="E135" s="387"/>
      <c r="F135" s="387"/>
      <c r="G135" s="387"/>
      <c r="H135" s="387"/>
      <c r="I135" s="387"/>
      <c r="J135" s="387"/>
      <c r="L135" s="387"/>
    </row>
    <row r="136" spans="1:12">
      <c r="A136" s="387"/>
      <c r="B136" s="387"/>
      <c r="C136" s="387"/>
      <c r="D136" s="387"/>
      <c r="E136" s="387"/>
      <c r="F136" s="387"/>
      <c r="G136" s="387"/>
      <c r="H136" s="387"/>
      <c r="I136" s="387"/>
      <c r="J136" s="387"/>
      <c r="L136" s="387"/>
    </row>
    <row r="137" spans="1:12">
      <c r="A137" s="387"/>
      <c r="B137" s="387"/>
      <c r="C137" s="387"/>
      <c r="D137" s="387"/>
      <c r="E137" s="387"/>
      <c r="F137" s="387"/>
      <c r="G137" s="387"/>
      <c r="H137" s="387"/>
      <c r="I137" s="387"/>
      <c r="J137" s="387"/>
      <c r="L137" s="387"/>
    </row>
    <row r="138" spans="1:12">
      <c r="A138" s="387"/>
      <c r="B138" s="387"/>
      <c r="C138" s="387"/>
      <c r="D138" s="387"/>
      <c r="E138" s="387"/>
      <c r="F138" s="387"/>
      <c r="G138" s="387"/>
      <c r="H138" s="387"/>
      <c r="I138" s="387"/>
      <c r="J138" s="387"/>
      <c r="L138" s="387"/>
    </row>
    <row r="139" spans="1:12">
      <c r="A139" s="387"/>
      <c r="B139" s="387"/>
      <c r="C139" s="387"/>
      <c r="D139" s="387"/>
      <c r="E139" s="387"/>
      <c r="F139" s="387"/>
      <c r="G139" s="387"/>
      <c r="H139" s="387"/>
      <c r="I139" s="387"/>
      <c r="J139" s="387"/>
      <c r="L139" s="387"/>
    </row>
    <row r="140" spans="1:12">
      <c r="A140" s="387"/>
      <c r="B140" s="387"/>
      <c r="C140" s="387"/>
      <c r="D140" s="387"/>
      <c r="E140" s="387"/>
      <c r="F140" s="387"/>
      <c r="G140" s="387"/>
      <c r="H140" s="387"/>
      <c r="I140" s="387"/>
      <c r="J140" s="387"/>
      <c r="L140" s="387"/>
    </row>
    <row r="141" spans="1:12">
      <c r="A141" s="387"/>
      <c r="B141" s="387"/>
      <c r="C141" s="387"/>
      <c r="D141" s="387"/>
      <c r="E141" s="387"/>
      <c r="F141" s="387"/>
      <c r="G141" s="387"/>
      <c r="H141" s="387"/>
      <c r="I141" s="387"/>
      <c r="J141" s="387"/>
      <c r="L141" s="387"/>
    </row>
    <row r="142" spans="1:12">
      <c r="A142" s="387"/>
      <c r="B142" s="387"/>
      <c r="C142" s="387"/>
      <c r="D142" s="387"/>
      <c r="E142" s="387"/>
      <c r="F142" s="387"/>
      <c r="G142" s="387"/>
      <c r="H142" s="387"/>
      <c r="I142" s="387"/>
      <c r="J142" s="387"/>
      <c r="L142" s="387"/>
    </row>
    <row r="143" spans="1:12">
      <c r="A143" s="387"/>
      <c r="B143" s="387"/>
      <c r="C143" s="387"/>
      <c r="D143" s="387"/>
      <c r="E143" s="387"/>
      <c r="F143" s="387"/>
      <c r="G143" s="387"/>
      <c r="H143" s="387"/>
      <c r="I143" s="387"/>
      <c r="J143" s="387"/>
      <c r="L143" s="387"/>
    </row>
    <row r="144" spans="1:12">
      <c r="A144" s="387"/>
      <c r="B144" s="387"/>
      <c r="C144" s="387"/>
      <c r="D144" s="387"/>
      <c r="E144" s="387"/>
      <c r="F144" s="387"/>
      <c r="G144" s="387"/>
      <c r="H144" s="387"/>
      <c r="I144" s="387"/>
      <c r="J144" s="387"/>
      <c r="L144" s="387"/>
    </row>
    <row r="145" spans="1:12">
      <c r="A145" s="387"/>
      <c r="B145" s="387"/>
      <c r="C145" s="387"/>
      <c r="D145" s="387"/>
      <c r="E145" s="387"/>
      <c r="F145" s="387"/>
      <c r="G145" s="387"/>
      <c r="H145" s="387"/>
      <c r="I145" s="387"/>
      <c r="J145" s="387"/>
      <c r="L145" s="387"/>
    </row>
    <row r="146" spans="1:12">
      <c r="A146" s="387"/>
      <c r="B146" s="387"/>
      <c r="C146" s="387"/>
      <c r="D146" s="387"/>
      <c r="E146" s="387"/>
      <c r="F146" s="387"/>
      <c r="G146" s="387"/>
      <c r="H146" s="387"/>
      <c r="I146" s="387"/>
      <c r="J146" s="387"/>
      <c r="L146" s="387"/>
    </row>
    <row r="147" spans="1:12">
      <c r="A147" s="387"/>
      <c r="B147" s="387"/>
      <c r="C147" s="387"/>
      <c r="D147" s="387"/>
      <c r="E147" s="387"/>
      <c r="F147" s="387"/>
      <c r="G147" s="387"/>
      <c r="H147" s="387"/>
      <c r="I147" s="387"/>
      <c r="J147" s="387"/>
      <c r="L147" s="387"/>
    </row>
    <row r="148" spans="1:12">
      <c r="A148" s="387"/>
      <c r="B148" s="387"/>
      <c r="C148" s="387"/>
      <c r="D148" s="387"/>
      <c r="E148" s="387"/>
      <c r="F148" s="387"/>
      <c r="G148" s="387"/>
      <c r="H148" s="387"/>
      <c r="I148" s="387"/>
      <c r="J148" s="387"/>
      <c r="L148" s="387"/>
    </row>
    <row r="149" spans="1:12">
      <c r="A149" s="387"/>
      <c r="B149" s="387"/>
      <c r="C149" s="387"/>
      <c r="D149" s="387"/>
      <c r="E149" s="387"/>
      <c r="F149" s="387"/>
      <c r="G149" s="387"/>
      <c r="H149" s="387"/>
      <c r="I149" s="387"/>
      <c r="J149" s="387"/>
      <c r="L149" s="387"/>
    </row>
    <row r="150" spans="1:12">
      <c r="A150" s="387"/>
      <c r="B150" s="387"/>
      <c r="C150" s="387"/>
      <c r="D150" s="387"/>
      <c r="E150" s="387"/>
      <c r="F150" s="387"/>
      <c r="G150" s="387"/>
      <c r="H150" s="387"/>
      <c r="I150" s="387"/>
      <c r="J150" s="387"/>
      <c r="L150" s="387"/>
    </row>
    <row r="151" spans="1:12">
      <c r="A151" s="387"/>
      <c r="B151" s="387"/>
      <c r="C151" s="387"/>
      <c r="D151" s="387"/>
      <c r="E151" s="387"/>
      <c r="F151" s="387"/>
      <c r="G151" s="387"/>
      <c r="H151" s="387"/>
      <c r="I151" s="387"/>
      <c r="J151" s="387"/>
      <c r="L151" s="387"/>
    </row>
    <row r="152" spans="1:12">
      <c r="A152" s="387"/>
      <c r="B152" s="387"/>
      <c r="C152" s="387"/>
      <c r="D152" s="387"/>
      <c r="E152" s="387"/>
      <c r="F152" s="387"/>
      <c r="G152" s="387"/>
      <c r="H152" s="387"/>
      <c r="I152" s="387"/>
      <c r="J152" s="387"/>
      <c r="L152" s="387"/>
    </row>
    <row r="153" spans="1:12">
      <c r="A153" s="387"/>
      <c r="B153" s="387"/>
      <c r="C153" s="387"/>
      <c r="D153" s="387"/>
      <c r="E153" s="387"/>
      <c r="F153" s="387"/>
      <c r="G153" s="387"/>
      <c r="H153" s="387"/>
      <c r="I153" s="387"/>
      <c r="J153" s="387"/>
      <c r="L153" s="387"/>
    </row>
    <row r="154" spans="1:12">
      <c r="A154" s="387"/>
      <c r="B154" s="387"/>
      <c r="C154" s="387"/>
      <c r="D154" s="387"/>
      <c r="E154" s="387"/>
      <c r="F154" s="387"/>
      <c r="G154" s="387"/>
      <c r="H154" s="387"/>
      <c r="I154" s="387"/>
      <c r="J154" s="387"/>
      <c r="L154" s="387"/>
    </row>
    <row r="155" spans="1:12">
      <c r="A155" s="387"/>
      <c r="B155" s="387"/>
      <c r="C155" s="387"/>
      <c r="D155" s="387"/>
      <c r="E155" s="387"/>
      <c r="F155" s="387"/>
      <c r="G155" s="387"/>
      <c r="H155" s="387"/>
      <c r="I155" s="387"/>
      <c r="J155" s="387"/>
      <c r="L155" s="387"/>
    </row>
    <row r="156" spans="1:12">
      <c r="A156" s="387"/>
      <c r="B156" s="387"/>
      <c r="C156" s="387"/>
      <c r="D156" s="387"/>
      <c r="E156" s="387"/>
      <c r="F156" s="387"/>
      <c r="G156" s="387"/>
      <c r="H156" s="387"/>
      <c r="I156" s="387"/>
      <c r="J156" s="387"/>
      <c r="L156" s="387"/>
    </row>
    <row r="157" spans="1:12">
      <c r="A157" s="387"/>
      <c r="B157" s="387"/>
      <c r="C157" s="387"/>
      <c r="D157" s="387"/>
      <c r="E157" s="387"/>
      <c r="F157" s="387"/>
      <c r="G157" s="387"/>
      <c r="H157" s="387"/>
      <c r="I157" s="387"/>
      <c r="J157" s="387"/>
      <c r="L157" s="387"/>
    </row>
    <row r="158" spans="1:12">
      <c r="A158" s="387"/>
      <c r="B158" s="387"/>
      <c r="C158" s="387"/>
      <c r="D158" s="387"/>
      <c r="E158" s="387"/>
      <c r="F158" s="387"/>
      <c r="G158" s="387"/>
      <c r="H158" s="387"/>
      <c r="I158" s="387"/>
      <c r="J158" s="387"/>
      <c r="L158" s="387"/>
    </row>
    <row r="159" spans="1:12">
      <c r="A159" s="387"/>
      <c r="B159" s="387"/>
      <c r="C159" s="387"/>
      <c r="D159" s="387"/>
      <c r="E159" s="387"/>
      <c r="F159" s="387"/>
      <c r="G159" s="387"/>
      <c r="H159" s="387"/>
      <c r="I159" s="387"/>
      <c r="J159" s="387"/>
      <c r="L159" s="387"/>
    </row>
    <row r="160" spans="1:12">
      <c r="A160" s="387"/>
      <c r="B160" s="387"/>
      <c r="C160" s="387"/>
      <c r="D160" s="387"/>
      <c r="E160" s="387"/>
      <c r="F160" s="387"/>
      <c r="G160" s="387"/>
      <c r="H160" s="387"/>
      <c r="I160" s="387"/>
      <c r="J160" s="387"/>
      <c r="L160" s="387"/>
    </row>
    <row r="161" spans="1:12">
      <c r="A161" s="387"/>
      <c r="B161" s="387"/>
      <c r="C161" s="387"/>
      <c r="D161" s="387"/>
      <c r="E161" s="387"/>
      <c r="F161" s="387"/>
      <c r="G161" s="387"/>
      <c r="H161" s="387"/>
      <c r="I161" s="387"/>
      <c r="J161" s="387"/>
      <c r="L161" s="387"/>
    </row>
    <row r="162" spans="1:12">
      <c r="A162" s="387"/>
      <c r="B162" s="387"/>
      <c r="C162" s="387"/>
      <c r="D162" s="387"/>
      <c r="E162" s="387"/>
      <c r="F162" s="387"/>
      <c r="G162" s="387"/>
      <c r="H162" s="387"/>
      <c r="I162" s="387"/>
      <c r="J162" s="387"/>
      <c r="L162" s="387"/>
    </row>
    <row r="163" spans="1:12">
      <c r="A163" s="387"/>
      <c r="B163" s="387"/>
      <c r="C163" s="387"/>
      <c r="D163" s="387"/>
      <c r="E163" s="387"/>
      <c r="F163" s="387"/>
      <c r="G163" s="387"/>
      <c r="H163" s="387"/>
      <c r="I163" s="387"/>
      <c r="J163" s="387"/>
      <c r="L163" s="387"/>
    </row>
    <row r="164" spans="1:12">
      <c r="A164" s="387"/>
      <c r="B164" s="387"/>
      <c r="C164" s="387"/>
      <c r="D164" s="387"/>
      <c r="E164" s="387"/>
      <c r="F164" s="387"/>
      <c r="G164" s="387"/>
      <c r="H164" s="387"/>
      <c r="I164" s="387"/>
      <c r="J164" s="387"/>
      <c r="L164" s="387"/>
    </row>
    <row r="165" spans="1:12">
      <c r="A165" s="387"/>
      <c r="B165" s="387"/>
      <c r="C165" s="387"/>
      <c r="D165" s="387"/>
      <c r="E165" s="387"/>
      <c r="F165" s="387"/>
      <c r="G165" s="387"/>
      <c r="H165" s="387"/>
      <c r="I165" s="387"/>
      <c r="J165" s="387"/>
      <c r="L165" s="387"/>
    </row>
    <row r="166" spans="1:12">
      <c r="A166" s="387"/>
      <c r="B166" s="387"/>
      <c r="C166" s="387"/>
      <c r="D166" s="387"/>
      <c r="E166" s="387"/>
      <c r="F166" s="387"/>
      <c r="G166" s="387"/>
      <c r="H166" s="387"/>
      <c r="I166" s="387"/>
      <c r="J166" s="387"/>
      <c r="L166" s="387"/>
    </row>
    <row r="167" spans="1:12">
      <c r="A167" s="387"/>
      <c r="B167" s="387"/>
      <c r="C167" s="387"/>
      <c r="D167" s="387"/>
      <c r="E167" s="387"/>
      <c r="F167" s="387"/>
      <c r="G167" s="387"/>
      <c r="H167" s="387"/>
      <c r="I167" s="387"/>
      <c r="J167" s="387"/>
      <c r="L167" s="387"/>
    </row>
    <row r="168" spans="1:12">
      <c r="A168" s="387"/>
      <c r="B168" s="387"/>
      <c r="C168" s="387"/>
      <c r="D168" s="387"/>
      <c r="E168" s="387"/>
      <c r="F168" s="387"/>
      <c r="G168" s="387"/>
      <c r="H168" s="387"/>
      <c r="I168" s="387"/>
      <c r="J168" s="387"/>
      <c r="L168" s="387"/>
    </row>
    <row r="169" spans="1:12">
      <c r="A169" s="387"/>
      <c r="B169" s="387"/>
      <c r="C169" s="387"/>
      <c r="D169" s="387"/>
      <c r="E169" s="387"/>
      <c r="F169" s="387"/>
      <c r="G169" s="387"/>
      <c r="H169" s="387"/>
      <c r="I169" s="387"/>
      <c r="J169" s="387"/>
      <c r="L169" s="387"/>
    </row>
    <row r="170" spans="1:12">
      <c r="E170" s="390"/>
      <c r="F170" s="390"/>
    </row>
    <row r="171" spans="1:12">
      <c r="E171" s="390"/>
      <c r="F171" s="390"/>
    </row>
    <row r="172" spans="1:12">
      <c r="E172" s="390"/>
      <c r="F172" s="390"/>
    </row>
    <row r="173" spans="1:12">
      <c r="E173" s="390"/>
      <c r="F173" s="390"/>
    </row>
    <row r="174" spans="1:12">
      <c r="E174" s="390"/>
      <c r="F174" s="390"/>
    </row>
    <row r="175" spans="1:12">
      <c r="E175" s="390"/>
      <c r="F175" s="390"/>
    </row>
    <row r="176" spans="1:12">
      <c r="E176" s="390"/>
      <c r="F176" s="390"/>
    </row>
    <row r="177" spans="15:17" s="390" customFormat="1">
      <c r="O177" s="1006"/>
      <c r="P177" s="1006"/>
      <c r="Q177" s="1006"/>
    </row>
    <row r="178" spans="15:17" s="390" customFormat="1">
      <c r="O178" s="1006"/>
      <c r="P178" s="1006"/>
      <c r="Q178" s="1006"/>
    </row>
    <row r="179" spans="15:17" s="390" customFormat="1">
      <c r="O179" s="1006"/>
      <c r="P179" s="1006"/>
      <c r="Q179" s="1006"/>
    </row>
    <row r="180" spans="15:17" s="390" customFormat="1">
      <c r="O180" s="1006"/>
      <c r="P180" s="1006"/>
      <c r="Q180" s="1006"/>
    </row>
    <row r="181" spans="15:17" s="390" customFormat="1">
      <c r="O181" s="1006"/>
      <c r="P181" s="1006"/>
      <c r="Q181" s="1006"/>
    </row>
    <row r="182" spans="15:17" s="390" customFormat="1">
      <c r="O182" s="1006"/>
      <c r="P182" s="1006"/>
      <c r="Q182" s="1006"/>
    </row>
    <row r="183" spans="15:17" s="390" customFormat="1">
      <c r="O183" s="1006"/>
      <c r="P183" s="1006"/>
      <c r="Q183" s="1006"/>
    </row>
    <row r="184" spans="15:17" s="390" customFormat="1">
      <c r="O184" s="1006"/>
      <c r="P184" s="1006"/>
      <c r="Q184" s="1006"/>
    </row>
    <row r="185" spans="15:17" s="390" customFormat="1">
      <c r="O185" s="1006"/>
      <c r="P185" s="1006"/>
      <c r="Q185" s="1006"/>
    </row>
    <row r="186" spans="15:17" s="390" customFormat="1">
      <c r="O186" s="1006"/>
      <c r="P186" s="1006"/>
      <c r="Q186" s="1006"/>
    </row>
    <row r="187" spans="15:17" s="390" customFormat="1">
      <c r="O187" s="1006"/>
      <c r="P187" s="1006"/>
      <c r="Q187" s="1006"/>
    </row>
    <row r="188" spans="15:17" s="390" customFormat="1">
      <c r="O188" s="1006"/>
      <c r="P188" s="1006"/>
      <c r="Q188" s="1006"/>
    </row>
    <row r="189" spans="15:17" s="390" customFormat="1">
      <c r="O189" s="1006"/>
      <c r="P189" s="1006"/>
      <c r="Q189" s="1006"/>
    </row>
    <row r="190" spans="15:17" s="390" customFormat="1">
      <c r="O190" s="1006"/>
      <c r="P190" s="1006"/>
      <c r="Q190" s="1006"/>
    </row>
    <row r="191" spans="15:17" s="390" customFormat="1">
      <c r="O191" s="1006"/>
      <c r="P191" s="1006"/>
      <c r="Q191" s="1006"/>
    </row>
    <row r="192" spans="15:17" s="390" customFormat="1">
      <c r="O192" s="1006"/>
      <c r="P192" s="1006"/>
      <c r="Q192" s="1006"/>
    </row>
    <row r="193" spans="15:17" s="390" customFormat="1">
      <c r="O193" s="1006"/>
      <c r="P193" s="1006"/>
      <c r="Q193" s="1006"/>
    </row>
    <row r="194" spans="15:17" s="390" customFormat="1">
      <c r="O194" s="1006"/>
      <c r="P194" s="1006"/>
      <c r="Q194" s="1006"/>
    </row>
    <row r="195" spans="15:17" s="390" customFormat="1">
      <c r="O195" s="1006"/>
      <c r="P195" s="1006"/>
      <c r="Q195" s="1006"/>
    </row>
    <row r="196" spans="15:17" s="390" customFormat="1">
      <c r="O196" s="1006"/>
      <c r="P196" s="1006"/>
      <c r="Q196" s="1006"/>
    </row>
    <row r="197" spans="15:17" s="390" customFormat="1">
      <c r="O197" s="1006"/>
      <c r="P197" s="1006"/>
      <c r="Q197" s="1006"/>
    </row>
    <row r="198" spans="15:17" s="390" customFormat="1">
      <c r="O198" s="1006"/>
      <c r="P198" s="1006"/>
      <c r="Q198" s="1006"/>
    </row>
    <row r="199" spans="15:17" s="390" customFormat="1">
      <c r="O199" s="1006"/>
      <c r="P199" s="1006"/>
      <c r="Q199" s="1006"/>
    </row>
    <row r="200" spans="15:17" s="390" customFormat="1">
      <c r="O200" s="1006"/>
      <c r="P200" s="1006"/>
      <c r="Q200" s="1006"/>
    </row>
    <row r="201" spans="15:17" s="390" customFormat="1">
      <c r="O201" s="1006"/>
      <c r="P201" s="1006"/>
      <c r="Q201" s="1006"/>
    </row>
    <row r="202" spans="15:17" s="390" customFormat="1">
      <c r="O202" s="1006"/>
      <c r="P202" s="1006"/>
      <c r="Q202" s="1006"/>
    </row>
    <row r="203" spans="15:17" s="390" customFormat="1">
      <c r="O203" s="1006"/>
      <c r="P203" s="1006"/>
      <c r="Q203" s="1006"/>
    </row>
    <row r="204" spans="15:17" s="390" customFormat="1">
      <c r="O204" s="1006"/>
      <c r="P204" s="1006"/>
      <c r="Q204" s="1006"/>
    </row>
    <row r="205" spans="15:17" s="390" customFormat="1">
      <c r="O205" s="1006"/>
      <c r="P205" s="1006"/>
      <c r="Q205" s="1006"/>
    </row>
    <row r="206" spans="15:17" s="390" customFormat="1">
      <c r="O206" s="1006"/>
      <c r="P206" s="1006"/>
      <c r="Q206" s="1006"/>
    </row>
    <row r="207" spans="15:17" s="390" customFormat="1">
      <c r="O207" s="1006"/>
      <c r="P207" s="1006"/>
      <c r="Q207" s="1006"/>
    </row>
    <row r="208" spans="15:17" s="390" customFormat="1">
      <c r="O208" s="1006"/>
      <c r="P208" s="1006"/>
      <c r="Q208" s="1006"/>
    </row>
    <row r="209" spans="15:17" s="390" customFormat="1">
      <c r="O209" s="1006"/>
      <c r="P209" s="1006"/>
      <c r="Q209" s="1006"/>
    </row>
    <row r="210" spans="15:17" s="390" customFormat="1">
      <c r="O210" s="1006"/>
      <c r="P210" s="1006"/>
      <c r="Q210" s="1006"/>
    </row>
    <row r="211" spans="15:17" s="390" customFormat="1">
      <c r="O211" s="1006"/>
      <c r="P211" s="1006"/>
      <c r="Q211" s="1006"/>
    </row>
    <row r="212" spans="15:17" s="390" customFormat="1">
      <c r="O212" s="1006"/>
      <c r="P212" s="1006"/>
      <c r="Q212" s="1006"/>
    </row>
    <row r="213" spans="15:17" s="390" customFormat="1">
      <c r="O213" s="1006"/>
      <c r="P213" s="1006"/>
      <c r="Q213" s="1006"/>
    </row>
    <row r="214" spans="15:17" s="390" customFormat="1">
      <c r="O214" s="1006"/>
      <c r="P214" s="1006"/>
      <c r="Q214" s="1006"/>
    </row>
    <row r="215" spans="15:17" s="390" customFormat="1">
      <c r="O215" s="1006"/>
      <c r="P215" s="1006"/>
      <c r="Q215" s="1006"/>
    </row>
    <row r="216" spans="15:17" s="390" customFormat="1">
      <c r="O216" s="1006"/>
      <c r="P216" s="1006"/>
      <c r="Q216" s="1006"/>
    </row>
    <row r="217" spans="15:17" s="390" customFormat="1">
      <c r="O217" s="1006"/>
      <c r="P217" s="1006"/>
      <c r="Q217" s="1006"/>
    </row>
    <row r="218" spans="15:17" s="390" customFormat="1">
      <c r="O218" s="1006"/>
      <c r="P218" s="1006"/>
      <c r="Q218" s="1006"/>
    </row>
    <row r="219" spans="15:17" s="390" customFormat="1">
      <c r="O219" s="1006"/>
      <c r="P219" s="1006"/>
      <c r="Q219" s="1006"/>
    </row>
    <row r="220" spans="15:17" s="390" customFormat="1">
      <c r="O220" s="1006"/>
      <c r="P220" s="1006"/>
      <c r="Q220" s="1006"/>
    </row>
    <row r="221" spans="15:17" s="390" customFormat="1">
      <c r="O221" s="1006"/>
      <c r="P221" s="1006"/>
      <c r="Q221" s="1006"/>
    </row>
    <row r="222" spans="15:17" s="390" customFormat="1">
      <c r="O222" s="1006"/>
      <c r="P222" s="1006"/>
      <c r="Q222" s="1006"/>
    </row>
    <row r="223" spans="15:17" s="390" customFormat="1">
      <c r="O223" s="1006"/>
      <c r="P223" s="1006"/>
      <c r="Q223" s="1006"/>
    </row>
    <row r="224" spans="15:17" s="390" customFormat="1">
      <c r="O224" s="1006"/>
      <c r="P224" s="1006"/>
      <c r="Q224" s="1006"/>
    </row>
    <row r="225" spans="15:17" s="390" customFormat="1">
      <c r="O225" s="1006"/>
      <c r="P225" s="1006"/>
      <c r="Q225" s="1006"/>
    </row>
    <row r="226" spans="15:17" s="390" customFormat="1">
      <c r="O226" s="1006"/>
      <c r="P226" s="1006"/>
      <c r="Q226" s="1006"/>
    </row>
    <row r="227" spans="15:17" s="390" customFormat="1">
      <c r="O227" s="1006"/>
      <c r="P227" s="1006"/>
      <c r="Q227" s="1006"/>
    </row>
    <row r="228" spans="15:17" s="390" customFormat="1">
      <c r="O228" s="1006"/>
      <c r="P228" s="1006"/>
      <c r="Q228" s="1006"/>
    </row>
    <row r="229" spans="15:17" s="390" customFormat="1">
      <c r="O229" s="1006"/>
      <c r="P229" s="1006"/>
      <c r="Q229" s="1006"/>
    </row>
    <row r="230" spans="15:17" s="390" customFormat="1">
      <c r="O230" s="1006"/>
      <c r="P230" s="1006"/>
      <c r="Q230" s="1006"/>
    </row>
    <row r="231" spans="15:17" s="390" customFormat="1">
      <c r="O231" s="1006"/>
      <c r="P231" s="1006"/>
      <c r="Q231" s="1006"/>
    </row>
    <row r="232" spans="15:17" s="390" customFormat="1">
      <c r="O232" s="1006"/>
      <c r="P232" s="1006"/>
      <c r="Q232" s="1006"/>
    </row>
    <row r="233" spans="15:17" s="390" customFormat="1">
      <c r="O233" s="1006"/>
      <c r="P233" s="1006"/>
      <c r="Q233" s="1006"/>
    </row>
    <row r="234" spans="15:17" s="390" customFormat="1">
      <c r="O234" s="1006"/>
      <c r="P234" s="1006"/>
      <c r="Q234" s="1006"/>
    </row>
    <row r="235" spans="15:17" s="390" customFormat="1">
      <c r="O235" s="1006"/>
      <c r="P235" s="1006"/>
      <c r="Q235" s="1006"/>
    </row>
    <row r="236" spans="15:17" s="390" customFormat="1">
      <c r="O236" s="1006"/>
      <c r="P236" s="1006"/>
      <c r="Q236" s="1006"/>
    </row>
    <row r="237" spans="15:17" s="390" customFormat="1">
      <c r="O237" s="1006"/>
      <c r="P237" s="1006"/>
      <c r="Q237" s="1006"/>
    </row>
    <row r="238" spans="15:17" s="390" customFormat="1">
      <c r="O238" s="1006"/>
      <c r="P238" s="1006"/>
      <c r="Q238" s="1006"/>
    </row>
    <row r="239" spans="15:17" s="390" customFormat="1">
      <c r="O239" s="1006"/>
      <c r="P239" s="1006"/>
      <c r="Q239" s="1006"/>
    </row>
    <row r="240" spans="15:17" s="390" customFormat="1">
      <c r="O240" s="1006"/>
      <c r="P240" s="1006"/>
      <c r="Q240" s="1006"/>
    </row>
    <row r="241" spans="15:17" s="390" customFormat="1">
      <c r="O241" s="1006"/>
      <c r="P241" s="1006"/>
      <c r="Q241" s="1006"/>
    </row>
    <row r="242" spans="15:17" s="390" customFormat="1">
      <c r="O242" s="1006"/>
      <c r="P242" s="1006"/>
      <c r="Q242" s="1006"/>
    </row>
    <row r="243" spans="15:17" s="390" customFormat="1">
      <c r="O243" s="1006"/>
      <c r="P243" s="1006"/>
      <c r="Q243" s="1006"/>
    </row>
    <row r="244" spans="15:17" s="390" customFormat="1">
      <c r="O244" s="1006"/>
      <c r="P244" s="1006"/>
      <c r="Q244" s="1006"/>
    </row>
    <row r="245" spans="15:17" s="390" customFormat="1">
      <c r="O245" s="1006"/>
      <c r="P245" s="1006"/>
      <c r="Q245" s="1006"/>
    </row>
    <row r="246" spans="15:17" s="390" customFormat="1">
      <c r="O246" s="1006"/>
      <c r="P246" s="1006"/>
      <c r="Q246" s="1006"/>
    </row>
    <row r="247" spans="15:17" s="390" customFormat="1">
      <c r="O247" s="1006"/>
      <c r="P247" s="1006"/>
      <c r="Q247" s="1006"/>
    </row>
    <row r="248" spans="15:17" s="390" customFormat="1">
      <c r="O248" s="1006"/>
      <c r="P248" s="1006"/>
      <c r="Q248" s="1006"/>
    </row>
    <row r="249" spans="15:17" s="390" customFormat="1">
      <c r="O249" s="1006"/>
      <c r="P249" s="1006"/>
      <c r="Q249" s="1006"/>
    </row>
    <row r="250" spans="15:17" s="390" customFormat="1">
      <c r="O250" s="1006"/>
      <c r="P250" s="1006"/>
      <c r="Q250" s="1006"/>
    </row>
    <row r="251" spans="15:17" s="390" customFormat="1">
      <c r="O251" s="1006"/>
      <c r="P251" s="1006"/>
      <c r="Q251" s="1006"/>
    </row>
    <row r="252" spans="15:17" s="390" customFormat="1">
      <c r="O252" s="1006"/>
      <c r="P252" s="1006"/>
      <c r="Q252" s="1006"/>
    </row>
    <row r="253" spans="15:17" s="390" customFormat="1">
      <c r="O253" s="1006"/>
      <c r="P253" s="1006"/>
      <c r="Q253" s="1006"/>
    </row>
    <row r="254" spans="15:17" s="390" customFormat="1">
      <c r="O254" s="1006"/>
      <c r="P254" s="1006"/>
      <c r="Q254" s="1006"/>
    </row>
    <row r="255" spans="15:17" s="390" customFormat="1">
      <c r="O255" s="1006"/>
      <c r="P255" s="1006"/>
      <c r="Q255" s="1006"/>
    </row>
    <row r="256" spans="15:17" s="390" customFormat="1">
      <c r="O256" s="1006"/>
      <c r="P256" s="1006"/>
      <c r="Q256" s="1006"/>
    </row>
    <row r="257" spans="15:17" s="390" customFormat="1">
      <c r="O257" s="1006"/>
      <c r="P257" s="1006"/>
      <c r="Q257" s="1006"/>
    </row>
    <row r="258" spans="15:17" s="390" customFormat="1">
      <c r="O258" s="1006"/>
      <c r="P258" s="1006"/>
      <c r="Q258" s="1006"/>
    </row>
    <row r="259" spans="15:17" s="390" customFormat="1">
      <c r="O259" s="1006"/>
      <c r="P259" s="1006"/>
      <c r="Q259" s="1006"/>
    </row>
    <row r="260" spans="15:17" s="390" customFormat="1">
      <c r="O260" s="1006"/>
      <c r="P260" s="1006"/>
      <c r="Q260" s="1006"/>
    </row>
    <row r="261" spans="15:17" s="390" customFormat="1">
      <c r="O261" s="1006"/>
      <c r="P261" s="1006"/>
      <c r="Q261" s="1006"/>
    </row>
    <row r="262" spans="15:17" s="390" customFormat="1">
      <c r="O262" s="1006"/>
      <c r="P262" s="1006"/>
      <c r="Q262" s="1006"/>
    </row>
    <row r="263" spans="15:17" s="390" customFormat="1">
      <c r="O263" s="1006"/>
      <c r="P263" s="1006"/>
      <c r="Q263" s="1006"/>
    </row>
    <row r="264" spans="15:17" s="390" customFormat="1">
      <c r="O264" s="1006"/>
      <c r="P264" s="1006"/>
      <c r="Q264" s="1006"/>
    </row>
    <row r="265" spans="15:17" s="390" customFormat="1">
      <c r="O265" s="1006"/>
      <c r="P265" s="1006"/>
      <c r="Q265" s="1006"/>
    </row>
    <row r="266" spans="15:17" s="390" customFormat="1">
      <c r="O266" s="1006"/>
      <c r="P266" s="1006"/>
      <c r="Q266" s="1006"/>
    </row>
    <row r="267" spans="15:17" s="390" customFormat="1">
      <c r="O267" s="1006"/>
      <c r="P267" s="1006"/>
      <c r="Q267" s="1006"/>
    </row>
    <row r="268" spans="15:17" s="390" customFormat="1">
      <c r="O268" s="1006"/>
      <c r="P268" s="1006"/>
      <c r="Q268" s="1006"/>
    </row>
    <row r="269" spans="15:17" s="390" customFormat="1">
      <c r="O269" s="1006"/>
      <c r="P269" s="1006"/>
      <c r="Q269" s="1006"/>
    </row>
    <row r="270" spans="15:17" s="390" customFormat="1">
      <c r="O270" s="1006"/>
      <c r="P270" s="1006"/>
      <c r="Q270" s="1006"/>
    </row>
    <row r="271" spans="15:17" s="390" customFormat="1">
      <c r="O271" s="1006"/>
      <c r="P271" s="1006"/>
      <c r="Q271" s="1006"/>
    </row>
    <row r="272" spans="15:17" s="390" customFormat="1">
      <c r="O272" s="1006"/>
      <c r="P272" s="1006"/>
      <c r="Q272" s="1006"/>
    </row>
    <row r="273" spans="15:17" s="390" customFormat="1">
      <c r="O273" s="1006"/>
      <c r="P273" s="1006"/>
      <c r="Q273" s="1006"/>
    </row>
    <row r="274" spans="15:17" s="390" customFormat="1">
      <c r="O274" s="1006"/>
      <c r="P274" s="1006"/>
      <c r="Q274" s="1006"/>
    </row>
    <row r="275" spans="15:17" s="390" customFormat="1">
      <c r="O275" s="1006"/>
      <c r="P275" s="1006"/>
      <c r="Q275" s="1006"/>
    </row>
    <row r="276" spans="15:17" s="390" customFormat="1">
      <c r="O276" s="1006"/>
      <c r="P276" s="1006"/>
      <c r="Q276" s="1006"/>
    </row>
    <row r="277" spans="15:17" s="390" customFormat="1">
      <c r="O277" s="1006"/>
      <c r="P277" s="1006"/>
      <c r="Q277" s="1006"/>
    </row>
    <row r="278" spans="15:17" s="390" customFormat="1">
      <c r="O278" s="1006"/>
      <c r="P278" s="1006"/>
      <c r="Q278" s="1006"/>
    </row>
    <row r="279" spans="15:17" s="390" customFormat="1">
      <c r="O279" s="1006"/>
      <c r="P279" s="1006"/>
      <c r="Q279" s="1006"/>
    </row>
    <row r="280" spans="15:17" s="390" customFormat="1">
      <c r="O280" s="1006"/>
      <c r="P280" s="1006"/>
      <c r="Q280" s="1006"/>
    </row>
    <row r="281" spans="15:17" s="390" customFormat="1">
      <c r="O281" s="1006"/>
      <c r="P281" s="1006"/>
      <c r="Q281" s="1006"/>
    </row>
    <row r="282" spans="15:17" s="390" customFormat="1">
      <c r="O282" s="1006"/>
      <c r="P282" s="1006"/>
      <c r="Q282" s="1006"/>
    </row>
    <row r="283" spans="15:17" s="390" customFormat="1">
      <c r="O283" s="1006"/>
      <c r="P283" s="1006"/>
      <c r="Q283" s="1006"/>
    </row>
    <row r="284" spans="15:17" s="390" customFormat="1">
      <c r="O284" s="1006"/>
      <c r="P284" s="1006"/>
      <c r="Q284" s="1006"/>
    </row>
    <row r="285" spans="15:17" s="390" customFormat="1">
      <c r="O285" s="1006"/>
      <c r="P285" s="1006"/>
      <c r="Q285" s="1006"/>
    </row>
    <row r="286" spans="15:17" s="390" customFormat="1">
      <c r="O286" s="1006"/>
      <c r="P286" s="1006"/>
      <c r="Q286" s="1006"/>
    </row>
    <row r="287" spans="15:17" s="390" customFormat="1">
      <c r="O287" s="1006"/>
      <c r="P287" s="1006"/>
      <c r="Q287" s="1006"/>
    </row>
    <row r="288" spans="15:17" s="390" customFormat="1">
      <c r="O288" s="1006"/>
      <c r="P288" s="1006"/>
      <c r="Q288" s="1006"/>
    </row>
    <row r="289" spans="15:17" s="390" customFormat="1">
      <c r="O289" s="1006"/>
      <c r="P289" s="1006"/>
      <c r="Q289" s="1006"/>
    </row>
    <row r="290" spans="15:17" s="390" customFormat="1">
      <c r="O290" s="1006"/>
      <c r="P290" s="1006"/>
      <c r="Q290" s="1006"/>
    </row>
    <row r="291" spans="15:17" s="390" customFormat="1">
      <c r="O291" s="1006"/>
      <c r="P291" s="1006"/>
      <c r="Q291" s="1006"/>
    </row>
    <row r="292" spans="15:17" s="390" customFormat="1">
      <c r="O292" s="1006"/>
      <c r="P292" s="1006"/>
      <c r="Q292" s="1006"/>
    </row>
    <row r="293" spans="15:17" s="390" customFormat="1">
      <c r="O293" s="1006"/>
      <c r="P293" s="1006"/>
      <c r="Q293" s="1006"/>
    </row>
    <row r="294" spans="15:17" s="390" customFormat="1">
      <c r="O294" s="1006"/>
      <c r="P294" s="1006"/>
      <c r="Q294" s="1006"/>
    </row>
    <row r="295" spans="15:17" s="390" customFormat="1">
      <c r="O295" s="1006"/>
      <c r="P295" s="1006"/>
      <c r="Q295" s="1006"/>
    </row>
    <row r="296" spans="15:17" s="390" customFormat="1">
      <c r="O296" s="1006"/>
      <c r="P296" s="1006"/>
      <c r="Q296" s="1006"/>
    </row>
    <row r="297" spans="15:17" s="390" customFormat="1">
      <c r="O297" s="1006"/>
      <c r="P297" s="1006"/>
      <c r="Q297" s="1006"/>
    </row>
    <row r="298" spans="15:17" s="390" customFormat="1">
      <c r="O298" s="1006"/>
      <c r="P298" s="1006"/>
      <c r="Q298" s="1006"/>
    </row>
    <row r="299" spans="15:17" s="390" customFormat="1">
      <c r="O299" s="1006"/>
      <c r="P299" s="1006"/>
      <c r="Q299" s="1006"/>
    </row>
    <row r="300" spans="15:17" s="390" customFormat="1">
      <c r="O300" s="1006"/>
      <c r="P300" s="1006"/>
      <c r="Q300" s="1006"/>
    </row>
    <row r="301" spans="15:17" s="390" customFormat="1">
      <c r="O301" s="1006"/>
      <c r="P301" s="1006"/>
      <c r="Q301" s="1006"/>
    </row>
    <row r="302" spans="15:17" s="390" customFormat="1">
      <c r="O302" s="1006"/>
      <c r="P302" s="1006"/>
      <c r="Q302" s="1006"/>
    </row>
    <row r="303" spans="15:17" s="390" customFormat="1">
      <c r="O303" s="1006"/>
      <c r="P303" s="1006"/>
      <c r="Q303" s="1006"/>
    </row>
    <row r="304" spans="15:17" s="390" customFormat="1">
      <c r="O304" s="1006"/>
      <c r="P304" s="1006"/>
      <c r="Q304" s="1006"/>
    </row>
    <row r="305" spans="15:17" s="390" customFormat="1">
      <c r="O305" s="1006"/>
      <c r="P305" s="1006"/>
      <c r="Q305" s="1006"/>
    </row>
    <row r="306" spans="15:17" s="390" customFormat="1">
      <c r="O306" s="1006"/>
      <c r="P306" s="1006"/>
      <c r="Q306" s="1006"/>
    </row>
    <row r="307" spans="15:17" s="390" customFormat="1">
      <c r="O307" s="1006"/>
      <c r="P307" s="1006"/>
      <c r="Q307" s="1006"/>
    </row>
    <row r="308" spans="15:17" s="390" customFormat="1">
      <c r="O308" s="1006"/>
      <c r="P308" s="1006"/>
      <c r="Q308" s="1006"/>
    </row>
    <row r="309" spans="15:17" s="390" customFormat="1">
      <c r="O309" s="1006"/>
      <c r="P309" s="1006"/>
      <c r="Q309" s="1006"/>
    </row>
    <row r="310" spans="15:17" s="390" customFormat="1">
      <c r="O310" s="1006"/>
      <c r="P310" s="1006"/>
      <c r="Q310" s="1006"/>
    </row>
    <row r="311" spans="15:17" s="390" customFormat="1">
      <c r="O311" s="1006"/>
      <c r="P311" s="1006"/>
      <c r="Q311" s="1006"/>
    </row>
    <row r="312" spans="15:17" s="390" customFormat="1">
      <c r="O312" s="1006"/>
      <c r="P312" s="1006"/>
      <c r="Q312" s="1006"/>
    </row>
    <row r="313" spans="15:17" s="390" customFormat="1">
      <c r="O313" s="1006"/>
      <c r="P313" s="1006"/>
      <c r="Q313" s="1006"/>
    </row>
    <row r="314" spans="15:17" s="390" customFormat="1">
      <c r="O314" s="1006"/>
      <c r="P314" s="1006"/>
      <c r="Q314" s="1006"/>
    </row>
    <row r="315" spans="15:17" s="390" customFormat="1">
      <c r="O315" s="1006"/>
      <c r="P315" s="1006"/>
      <c r="Q315" s="1006"/>
    </row>
    <row r="316" spans="15:17" s="390" customFormat="1">
      <c r="O316" s="1006"/>
      <c r="P316" s="1006"/>
      <c r="Q316" s="1006"/>
    </row>
    <row r="317" spans="15:17" s="390" customFormat="1">
      <c r="O317" s="1006"/>
      <c r="P317" s="1006"/>
      <c r="Q317" s="1006"/>
    </row>
    <row r="318" spans="15:17" s="390" customFormat="1">
      <c r="O318" s="1006"/>
      <c r="P318" s="1006"/>
      <c r="Q318" s="1006"/>
    </row>
    <row r="319" spans="15:17" s="390" customFormat="1">
      <c r="O319" s="1006"/>
      <c r="P319" s="1006"/>
      <c r="Q319" s="1006"/>
    </row>
    <row r="320" spans="15:17" s="390" customFormat="1">
      <c r="O320" s="1006"/>
      <c r="P320" s="1006"/>
      <c r="Q320" s="1006"/>
    </row>
    <row r="321" spans="15:17" s="390" customFormat="1">
      <c r="O321" s="1006"/>
      <c r="P321" s="1006"/>
      <c r="Q321" s="1006"/>
    </row>
    <row r="322" spans="15:17" s="390" customFormat="1">
      <c r="O322" s="1006"/>
      <c r="P322" s="1006"/>
      <c r="Q322" s="1006"/>
    </row>
    <row r="323" spans="15:17" s="390" customFormat="1">
      <c r="O323" s="1006"/>
      <c r="P323" s="1006"/>
      <c r="Q323" s="1006"/>
    </row>
    <row r="324" spans="15:17" s="390" customFormat="1">
      <c r="O324" s="1006"/>
      <c r="P324" s="1006"/>
      <c r="Q324" s="1006"/>
    </row>
    <row r="325" spans="15:17" s="390" customFormat="1">
      <c r="O325" s="1006"/>
      <c r="P325" s="1006"/>
      <c r="Q325" s="1006"/>
    </row>
    <row r="326" spans="15:17" s="390" customFormat="1">
      <c r="O326" s="1006"/>
      <c r="P326" s="1006"/>
      <c r="Q326" s="1006"/>
    </row>
    <row r="327" spans="15:17" s="390" customFormat="1">
      <c r="O327" s="1006"/>
      <c r="P327" s="1006"/>
      <c r="Q327" s="1006"/>
    </row>
    <row r="328" spans="15:17" s="390" customFormat="1">
      <c r="O328" s="1006"/>
      <c r="P328" s="1006"/>
      <c r="Q328" s="1006"/>
    </row>
    <row r="329" spans="15:17" s="390" customFormat="1">
      <c r="O329" s="1006"/>
      <c r="P329" s="1006"/>
      <c r="Q329" s="1006"/>
    </row>
    <row r="330" spans="15:17" s="390" customFormat="1">
      <c r="O330" s="1006"/>
      <c r="P330" s="1006"/>
      <c r="Q330" s="1006"/>
    </row>
    <row r="331" spans="15:17" s="390" customFormat="1">
      <c r="O331" s="1006"/>
      <c r="P331" s="1006"/>
      <c r="Q331" s="1006"/>
    </row>
    <row r="332" spans="15:17" s="390" customFormat="1">
      <c r="O332" s="1006"/>
      <c r="P332" s="1006"/>
      <c r="Q332" s="1006"/>
    </row>
    <row r="333" spans="15:17" s="390" customFormat="1">
      <c r="O333" s="1006"/>
      <c r="P333" s="1006"/>
      <c r="Q333" s="1006"/>
    </row>
    <row r="334" spans="15:17" s="390" customFormat="1">
      <c r="O334" s="1006"/>
      <c r="P334" s="1006"/>
      <c r="Q334" s="1006"/>
    </row>
    <row r="335" spans="15:17" s="390" customFormat="1">
      <c r="O335" s="1006"/>
      <c r="P335" s="1006"/>
      <c r="Q335" s="1006"/>
    </row>
    <row r="336" spans="15:17" s="390" customFormat="1">
      <c r="O336" s="1006"/>
      <c r="P336" s="1006"/>
      <c r="Q336" s="1006"/>
    </row>
    <row r="337" spans="15:17" s="390" customFormat="1">
      <c r="O337" s="1006"/>
      <c r="P337" s="1006"/>
      <c r="Q337" s="1006"/>
    </row>
    <row r="338" spans="15:17" s="390" customFormat="1">
      <c r="O338" s="1006"/>
      <c r="P338" s="1006"/>
      <c r="Q338" s="1006"/>
    </row>
    <row r="339" spans="15:17" s="390" customFormat="1">
      <c r="O339" s="1006"/>
      <c r="P339" s="1006"/>
      <c r="Q339" s="1006"/>
    </row>
    <row r="340" spans="15:17" s="390" customFormat="1">
      <c r="O340" s="1006"/>
      <c r="P340" s="1006"/>
      <c r="Q340" s="1006"/>
    </row>
    <row r="341" spans="15:17" s="390" customFormat="1">
      <c r="O341" s="1006"/>
      <c r="P341" s="1006"/>
      <c r="Q341" s="1006"/>
    </row>
    <row r="342" spans="15:17" s="390" customFormat="1">
      <c r="O342" s="1006"/>
      <c r="P342" s="1006"/>
      <c r="Q342" s="1006"/>
    </row>
    <row r="343" spans="15:17" s="390" customFormat="1">
      <c r="O343" s="1006"/>
      <c r="P343" s="1006"/>
      <c r="Q343" s="1006"/>
    </row>
    <row r="344" spans="15:17" s="390" customFormat="1">
      <c r="O344" s="1006"/>
      <c r="P344" s="1006"/>
      <c r="Q344" s="1006"/>
    </row>
    <row r="345" spans="15:17" s="390" customFormat="1">
      <c r="O345" s="1006"/>
      <c r="P345" s="1006"/>
      <c r="Q345" s="1006"/>
    </row>
    <row r="346" spans="15:17" s="390" customFormat="1">
      <c r="O346" s="1006"/>
      <c r="P346" s="1006"/>
      <c r="Q346" s="1006"/>
    </row>
    <row r="347" spans="15:17" s="390" customFormat="1">
      <c r="O347" s="1006"/>
      <c r="P347" s="1006"/>
      <c r="Q347" s="1006"/>
    </row>
    <row r="348" spans="15:17" s="390" customFormat="1">
      <c r="O348" s="1006"/>
      <c r="P348" s="1006"/>
      <c r="Q348" s="1006"/>
    </row>
    <row r="349" spans="15:17" s="390" customFormat="1">
      <c r="O349" s="1006"/>
      <c r="P349" s="1006"/>
      <c r="Q349" s="1006"/>
    </row>
    <row r="350" spans="15:17" s="390" customFormat="1">
      <c r="O350" s="1006"/>
      <c r="P350" s="1006"/>
      <c r="Q350" s="1006"/>
    </row>
    <row r="351" spans="15:17" s="390" customFormat="1">
      <c r="O351" s="1006"/>
      <c r="P351" s="1006"/>
      <c r="Q351" s="1006"/>
    </row>
    <row r="352" spans="15:17" s="390" customFormat="1">
      <c r="O352" s="1006"/>
      <c r="P352" s="1006"/>
      <c r="Q352" s="1006"/>
    </row>
    <row r="353" spans="15:17" s="390" customFormat="1">
      <c r="O353" s="1006"/>
      <c r="P353" s="1006"/>
      <c r="Q353" s="1006"/>
    </row>
    <row r="354" spans="15:17" s="390" customFormat="1">
      <c r="O354" s="1006"/>
      <c r="P354" s="1006"/>
      <c r="Q354" s="1006"/>
    </row>
    <row r="355" spans="15:17" s="390" customFormat="1">
      <c r="O355" s="1006"/>
      <c r="P355" s="1006"/>
      <c r="Q355" s="1006"/>
    </row>
    <row r="356" spans="15:17" s="390" customFormat="1">
      <c r="O356" s="1006"/>
      <c r="P356" s="1006"/>
      <c r="Q356" s="1006"/>
    </row>
    <row r="357" spans="15:17" s="390" customFormat="1">
      <c r="O357" s="1006"/>
      <c r="P357" s="1006"/>
      <c r="Q357" s="1006"/>
    </row>
    <row r="358" spans="15:17" s="390" customFormat="1">
      <c r="O358" s="1006"/>
      <c r="P358" s="1006"/>
      <c r="Q358" s="1006"/>
    </row>
    <row r="359" spans="15:17" s="390" customFormat="1">
      <c r="O359" s="1006"/>
      <c r="P359" s="1006"/>
      <c r="Q359" s="1006"/>
    </row>
    <row r="360" spans="15:17" s="390" customFormat="1">
      <c r="O360" s="1006"/>
      <c r="P360" s="1006"/>
      <c r="Q360" s="1006"/>
    </row>
    <row r="361" spans="15:17" s="390" customFormat="1">
      <c r="O361" s="1006"/>
      <c r="P361" s="1006"/>
      <c r="Q361" s="1006"/>
    </row>
    <row r="362" spans="15:17" s="390" customFormat="1">
      <c r="O362" s="1006"/>
      <c r="P362" s="1006"/>
      <c r="Q362" s="1006"/>
    </row>
    <row r="363" spans="15:17" s="390" customFormat="1">
      <c r="O363" s="1006"/>
      <c r="P363" s="1006"/>
      <c r="Q363" s="1006"/>
    </row>
    <row r="364" spans="15:17" s="390" customFormat="1">
      <c r="O364" s="1006"/>
      <c r="P364" s="1006"/>
      <c r="Q364" s="1006"/>
    </row>
    <row r="365" spans="15:17" s="390" customFormat="1">
      <c r="O365" s="1006"/>
      <c r="P365" s="1006"/>
      <c r="Q365" s="1006"/>
    </row>
    <row r="366" spans="15:17" s="390" customFormat="1">
      <c r="O366" s="1006"/>
      <c r="P366" s="1006"/>
      <c r="Q366" s="1006"/>
    </row>
    <row r="367" spans="15:17" s="390" customFormat="1">
      <c r="O367" s="1006"/>
      <c r="P367" s="1006"/>
      <c r="Q367" s="1006"/>
    </row>
    <row r="368" spans="15:17" s="390" customFormat="1">
      <c r="O368" s="1006"/>
      <c r="P368" s="1006"/>
      <c r="Q368" s="1006"/>
    </row>
    <row r="369" spans="15:17" s="390" customFormat="1">
      <c r="O369" s="1006"/>
      <c r="P369" s="1006"/>
      <c r="Q369" s="1006"/>
    </row>
    <row r="370" spans="15:17" s="390" customFormat="1">
      <c r="O370" s="1006"/>
      <c r="P370" s="1006"/>
      <c r="Q370" s="1006"/>
    </row>
    <row r="371" spans="15:17" s="390" customFormat="1">
      <c r="O371" s="1006"/>
      <c r="P371" s="1006"/>
      <c r="Q371" s="1006"/>
    </row>
    <row r="372" spans="15:17" s="390" customFormat="1">
      <c r="O372" s="1006"/>
      <c r="P372" s="1006"/>
      <c r="Q372" s="1006"/>
    </row>
    <row r="373" spans="15:17" s="390" customFormat="1">
      <c r="O373" s="1006"/>
      <c r="P373" s="1006"/>
      <c r="Q373" s="1006"/>
    </row>
    <row r="374" spans="15:17" s="390" customFormat="1">
      <c r="O374" s="1006"/>
      <c r="P374" s="1006"/>
      <c r="Q374" s="1006"/>
    </row>
    <row r="375" spans="15:17" s="390" customFormat="1">
      <c r="O375" s="1006"/>
      <c r="P375" s="1006"/>
      <c r="Q375" s="1006"/>
    </row>
    <row r="376" spans="15:17" s="390" customFormat="1">
      <c r="O376" s="1006"/>
      <c r="P376" s="1006"/>
      <c r="Q376" s="1006"/>
    </row>
    <row r="377" spans="15:17" s="390" customFormat="1">
      <c r="O377" s="1006"/>
      <c r="P377" s="1006"/>
      <c r="Q377" s="1006"/>
    </row>
    <row r="378" spans="15:17" s="390" customFormat="1">
      <c r="O378" s="1006"/>
      <c r="P378" s="1006"/>
      <c r="Q378" s="1006"/>
    </row>
    <row r="379" spans="15:17" s="390" customFormat="1">
      <c r="O379" s="1006"/>
      <c r="P379" s="1006"/>
      <c r="Q379" s="1006"/>
    </row>
    <row r="380" spans="15:17" s="390" customFormat="1">
      <c r="O380" s="1006"/>
      <c r="P380" s="1006"/>
      <c r="Q380" s="1006"/>
    </row>
    <row r="381" spans="15:17" s="390" customFormat="1">
      <c r="O381" s="1006"/>
      <c r="P381" s="1006"/>
      <c r="Q381" s="1006"/>
    </row>
    <row r="382" spans="15:17" s="390" customFormat="1">
      <c r="O382" s="1006"/>
      <c r="P382" s="1006"/>
      <c r="Q382" s="1006"/>
    </row>
    <row r="383" spans="15:17" s="390" customFormat="1">
      <c r="O383" s="1006"/>
      <c r="P383" s="1006"/>
      <c r="Q383" s="1006"/>
    </row>
    <row r="384" spans="15:17" s="390" customFormat="1">
      <c r="O384" s="1006"/>
      <c r="P384" s="1006"/>
      <c r="Q384" s="1006"/>
    </row>
    <row r="385" spans="15:17" s="390" customFormat="1">
      <c r="O385" s="1006"/>
      <c r="P385" s="1006"/>
      <c r="Q385" s="1006"/>
    </row>
    <row r="386" spans="15:17" s="390" customFormat="1">
      <c r="O386" s="1006"/>
      <c r="P386" s="1006"/>
      <c r="Q386" s="1006"/>
    </row>
    <row r="387" spans="15:17" s="390" customFormat="1">
      <c r="O387" s="1006"/>
      <c r="P387" s="1006"/>
      <c r="Q387" s="1006"/>
    </row>
    <row r="388" spans="15:17" s="390" customFormat="1">
      <c r="O388" s="1006"/>
      <c r="P388" s="1006"/>
      <c r="Q388" s="1006"/>
    </row>
    <row r="389" spans="15:17" s="390" customFormat="1">
      <c r="O389" s="1006"/>
      <c r="P389" s="1006"/>
      <c r="Q389" s="1006"/>
    </row>
    <row r="390" spans="15:17" s="390" customFormat="1">
      <c r="O390" s="1006"/>
      <c r="P390" s="1006"/>
      <c r="Q390" s="1006"/>
    </row>
    <row r="391" spans="15:17" s="390" customFormat="1">
      <c r="O391" s="1006"/>
      <c r="P391" s="1006"/>
      <c r="Q391" s="1006"/>
    </row>
    <row r="392" spans="15:17" s="390" customFormat="1">
      <c r="O392" s="1006"/>
      <c r="P392" s="1006"/>
      <c r="Q392" s="1006"/>
    </row>
    <row r="393" spans="15:17" s="390" customFormat="1">
      <c r="O393" s="1006"/>
      <c r="P393" s="1006"/>
      <c r="Q393" s="1006"/>
    </row>
    <row r="394" spans="15:17" s="390" customFormat="1">
      <c r="O394" s="1006"/>
      <c r="P394" s="1006"/>
      <c r="Q394" s="1006"/>
    </row>
    <row r="395" spans="15:17" s="390" customFormat="1">
      <c r="O395" s="1006"/>
      <c r="P395" s="1006"/>
      <c r="Q395" s="1006"/>
    </row>
    <row r="396" spans="15:17" s="390" customFormat="1">
      <c r="O396" s="1006"/>
      <c r="P396" s="1006"/>
      <c r="Q396" s="1006"/>
    </row>
    <row r="397" spans="15:17" s="390" customFormat="1">
      <c r="O397" s="1006"/>
      <c r="P397" s="1006"/>
      <c r="Q397" s="1006"/>
    </row>
    <row r="398" spans="15:17" s="390" customFormat="1">
      <c r="O398" s="1006"/>
      <c r="P398" s="1006"/>
      <c r="Q398" s="1006"/>
    </row>
    <row r="399" spans="15:17" s="390" customFormat="1">
      <c r="O399" s="1006"/>
      <c r="P399" s="1006"/>
      <c r="Q399" s="1006"/>
    </row>
    <row r="400" spans="15:17" s="390" customFormat="1">
      <c r="O400" s="1006"/>
      <c r="P400" s="1006"/>
      <c r="Q400" s="1006"/>
    </row>
    <row r="401" spans="15:17" s="390" customFormat="1">
      <c r="O401" s="1006"/>
      <c r="P401" s="1006"/>
      <c r="Q401" s="1006"/>
    </row>
    <row r="402" spans="15:17" s="390" customFormat="1">
      <c r="O402" s="1006"/>
      <c r="P402" s="1006"/>
      <c r="Q402" s="1006"/>
    </row>
    <row r="403" spans="15:17" s="390" customFormat="1">
      <c r="O403" s="1006"/>
      <c r="P403" s="1006"/>
      <c r="Q403" s="1006"/>
    </row>
    <row r="404" spans="15:17" s="390" customFormat="1">
      <c r="O404" s="1006"/>
      <c r="P404" s="1006"/>
      <c r="Q404" s="1006"/>
    </row>
    <row r="405" spans="15:17" s="390" customFormat="1">
      <c r="O405" s="1006"/>
      <c r="P405" s="1006"/>
      <c r="Q405" s="1006"/>
    </row>
    <row r="406" spans="15:17" s="390" customFormat="1">
      <c r="O406" s="1006"/>
      <c r="P406" s="1006"/>
      <c r="Q406" s="1006"/>
    </row>
    <row r="407" spans="15:17" s="390" customFormat="1">
      <c r="O407" s="1006"/>
      <c r="P407" s="1006"/>
      <c r="Q407" s="1006"/>
    </row>
    <row r="408" spans="15:17" s="390" customFormat="1">
      <c r="O408" s="1006"/>
      <c r="P408" s="1006"/>
      <c r="Q408" s="1006"/>
    </row>
    <row r="409" spans="15:17" s="390" customFormat="1">
      <c r="O409" s="1006"/>
      <c r="P409" s="1006"/>
      <c r="Q409" s="1006"/>
    </row>
    <row r="410" spans="15:17" s="390" customFormat="1">
      <c r="O410" s="1006"/>
      <c r="P410" s="1006"/>
      <c r="Q410" s="1006"/>
    </row>
    <row r="411" spans="15:17" s="390" customFormat="1">
      <c r="O411" s="1006"/>
      <c r="P411" s="1006"/>
      <c r="Q411" s="1006"/>
    </row>
    <row r="412" spans="15:17" s="390" customFormat="1">
      <c r="O412" s="1006"/>
      <c r="P412" s="1006"/>
      <c r="Q412" s="1006"/>
    </row>
    <row r="413" spans="15:17" s="390" customFormat="1">
      <c r="O413" s="1006"/>
      <c r="P413" s="1006"/>
      <c r="Q413" s="1006"/>
    </row>
    <row r="414" spans="15:17" s="390" customFormat="1">
      <c r="O414" s="1006"/>
      <c r="P414" s="1006"/>
      <c r="Q414" s="1006"/>
    </row>
    <row r="415" spans="15:17" s="390" customFormat="1">
      <c r="O415" s="1006"/>
      <c r="P415" s="1006"/>
      <c r="Q415" s="1006"/>
    </row>
    <row r="416" spans="15:17" s="390" customFormat="1">
      <c r="O416" s="1006"/>
      <c r="P416" s="1006"/>
      <c r="Q416" s="1006"/>
    </row>
    <row r="417" spans="15:17" s="390" customFormat="1">
      <c r="O417" s="1006"/>
      <c r="P417" s="1006"/>
      <c r="Q417" s="1006"/>
    </row>
    <row r="418" spans="15:17" s="390" customFormat="1">
      <c r="O418" s="1006"/>
      <c r="P418" s="1006"/>
      <c r="Q418" s="1006"/>
    </row>
    <row r="419" spans="15:17" s="390" customFormat="1">
      <c r="O419" s="1006"/>
      <c r="P419" s="1006"/>
      <c r="Q419" s="1006"/>
    </row>
    <row r="420" spans="15:17" s="390" customFormat="1">
      <c r="O420" s="1006"/>
      <c r="P420" s="1006"/>
      <c r="Q420" s="1006"/>
    </row>
    <row r="421" spans="15:17" s="390" customFormat="1">
      <c r="O421" s="1006"/>
      <c r="P421" s="1006"/>
      <c r="Q421" s="1006"/>
    </row>
    <row r="422" spans="15:17" s="390" customFormat="1">
      <c r="O422" s="1006"/>
      <c r="P422" s="1006"/>
      <c r="Q422" s="1006"/>
    </row>
    <row r="423" spans="15:17" s="390" customFormat="1">
      <c r="O423" s="1006"/>
      <c r="P423" s="1006"/>
      <c r="Q423" s="1006"/>
    </row>
    <row r="424" spans="15:17" s="390" customFormat="1">
      <c r="O424" s="1006"/>
      <c r="P424" s="1006"/>
      <c r="Q424" s="1006"/>
    </row>
    <row r="425" spans="15:17" s="390" customFormat="1">
      <c r="O425" s="1006"/>
      <c r="P425" s="1006"/>
      <c r="Q425" s="1006"/>
    </row>
    <row r="426" spans="15:17" s="390" customFormat="1">
      <c r="O426" s="1006"/>
      <c r="P426" s="1006"/>
      <c r="Q426" s="1006"/>
    </row>
    <row r="427" spans="15:17" s="390" customFormat="1">
      <c r="O427" s="1006"/>
      <c r="P427" s="1006"/>
      <c r="Q427" s="1006"/>
    </row>
    <row r="428" spans="15:17" s="390" customFormat="1">
      <c r="O428" s="1006"/>
      <c r="P428" s="1006"/>
      <c r="Q428" s="1006"/>
    </row>
    <row r="429" spans="15:17" s="390" customFormat="1">
      <c r="O429" s="1006"/>
      <c r="P429" s="1006"/>
      <c r="Q429" s="1006"/>
    </row>
    <row r="430" spans="15:17" s="390" customFormat="1">
      <c r="O430" s="1006"/>
      <c r="P430" s="1006"/>
      <c r="Q430" s="1006"/>
    </row>
    <row r="431" spans="15:17" s="390" customFormat="1">
      <c r="O431" s="1006"/>
      <c r="P431" s="1006"/>
      <c r="Q431" s="1006"/>
    </row>
    <row r="432" spans="15:17" s="390" customFormat="1">
      <c r="O432" s="1006"/>
      <c r="P432" s="1006"/>
      <c r="Q432" s="1006"/>
    </row>
    <row r="433" spans="15:17" s="390" customFormat="1">
      <c r="O433" s="1006"/>
      <c r="P433" s="1006"/>
      <c r="Q433" s="1006"/>
    </row>
    <row r="434" spans="15:17" s="390" customFormat="1">
      <c r="O434" s="1006"/>
      <c r="P434" s="1006"/>
      <c r="Q434" s="1006"/>
    </row>
    <row r="435" spans="15:17" s="390" customFormat="1">
      <c r="O435" s="1006"/>
      <c r="P435" s="1006"/>
      <c r="Q435" s="1006"/>
    </row>
    <row r="436" spans="15:17" s="390" customFormat="1">
      <c r="O436" s="1006"/>
      <c r="P436" s="1006"/>
      <c r="Q436" s="1006"/>
    </row>
    <row r="437" spans="15:17" s="390" customFormat="1">
      <c r="O437" s="1006"/>
      <c r="P437" s="1006"/>
      <c r="Q437" s="1006"/>
    </row>
    <row r="438" spans="15:17" s="390" customFormat="1">
      <c r="O438" s="1006"/>
      <c r="P438" s="1006"/>
      <c r="Q438" s="1006"/>
    </row>
    <row r="439" spans="15:17" s="390" customFormat="1">
      <c r="O439" s="1006"/>
      <c r="P439" s="1006"/>
      <c r="Q439" s="1006"/>
    </row>
    <row r="440" spans="15:17" s="390" customFormat="1">
      <c r="O440" s="1006"/>
      <c r="P440" s="1006"/>
      <c r="Q440" s="1006"/>
    </row>
    <row r="441" spans="15:17" s="390" customFormat="1">
      <c r="O441" s="1006"/>
      <c r="P441" s="1006"/>
      <c r="Q441" s="1006"/>
    </row>
    <row r="442" spans="15:17" s="390" customFormat="1">
      <c r="O442" s="1006"/>
      <c r="P442" s="1006"/>
      <c r="Q442" s="1006"/>
    </row>
    <row r="443" spans="15:17" s="390" customFormat="1">
      <c r="O443" s="1006"/>
      <c r="P443" s="1006"/>
      <c r="Q443" s="1006"/>
    </row>
    <row r="444" spans="15:17" s="390" customFormat="1">
      <c r="O444" s="1006"/>
      <c r="P444" s="1006"/>
      <c r="Q444" s="1006"/>
    </row>
    <row r="445" spans="15:17" s="390" customFormat="1">
      <c r="O445" s="1006"/>
      <c r="P445" s="1006"/>
      <c r="Q445" s="1006"/>
    </row>
    <row r="446" spans="15:17" s="390" customFormat="1">
      <c r="O446" s="1006"/>
      <c r="P446" s="1006"/>
      <c r="Q446" s="1006"/>
    </row>
    <row r="447" spans="15:17" s="390" customFormat="1">
      <c r="O447" s="1006"/>
      <c r="P447" s="1006"/>
      <c r="Q447" s="1006"/>
    </row>
    <row r="448" spans="15:17" s="390" customFormat="1">
      <c r="O448" s="1006"/>
      <c r="P448" s="1006"/>
      <c r="Q448" s="1006"/>
    </row>
    <row r="449" spans="15:17" s="390" customFormat="1">
      <c r="O449" s="1006"/>
      <c r="P449" s="1006"/>
      <c r="Q449" s="1006"/>
    </row>
    <row r="450" spans="15:17" s="390" customFormat="1">
      <c r="O450" s="1006"/>
      <c r="P450" s="1006"/>
      <c r="Q450" s="1006"/>
    </row>
    <row r="451" spans="15:17" s="390" customFormat="1">
      <c r="O451" s="1006"/>
      <c r="P451" s="1006"/>
      <c r="Q451" s="1006"/>
    </row>
    <row r="452" spans="15:17" s="390" customFormat="1">
      <c r="O452" s="1006"/>
      <c r="P452" s="1006"/>
      <c r="Q452" s="1006"/>
    </row>
    <row r="453" spans="15:17" s="390" customFormat="1">
      <c r="O453" s="1006"/>
      <c r="P453" s="1006"/>
      <c r="Q453" s="1006"/>
    </row>
    <row r="454" spans="15:17" s="390" customFormat="1">
      <c r="O454" s="1006"/>
      <c r="P454" s="1006"/>
      <c r="Q454" s="1006"/>
    </row>
    <row r="455" spans="15:17" s="390" customFormat="1">
      <c r="O455" s="1006"/>
      <c r="P455" s="1006"/>
      <c r="Q455" s="1006"/>
    </row>
    <row r="456" spans="15:17" s="390" customFormat="1">
      <c r="O456" s="1006"/>
      <c r="P456" s="1006"/>
      <c r="Q456" s="1006"/>
    </row>
    <row r="457" spans="15:17" s="390" customFormat="1">
      <c r="O457" s="1006"/>
      <c r="P457" s="1006"/>
      <c r="Q457" s="1006"/>
    </row>
    <row r="458" spans="15:17" s="390" customFormat="1">
      <c r="O458" s="1006"/>
      <c r="P458" s="1006"/>
      <c r="Q458" s="1006"/>
    </row>
    <row r="459" spans="15:17" s="390" customFormat="1">
      <c r="O459" s="1006"/>
      <c r="P459" s="1006"/>
      <c r="Q459" s="1006"/>
    </row>
    <row r="460" spans="15:17" s="390" customFormat="1">
      <c r="O460" s="1006"/>
      <c r="P460" s="1006"/>
      <c r="Q460" s="1006"/>
    </row>
    <row r="461" spans="15:17" s="390" customFormat="1">
      <c r="O461" s="1006"/>
      <c r="P461" s="1006"/>
      <c r="Q461" s="1006"/>
    </row>
    <row r="462" spans="15:17" s="390" customFormat="1">
      <c r="O462" s="1006"/>
      <c r="P462" s="1006"/>
      <c r="Q462" s="1006"/>
    </row>
    <row r="463" spans="15:17" s="390" customFormat="1">
      <c r="O463" s="1006"/>
      <c r="P463" s="1006"/>
      <c r="Q463" s="1006"/>
    </row>
    <row r="464" spans="15:17" s="390" customFormat="1">
      <c r="O464" s="1006"/>
      <c r="P464" s="1006"/>
      <c r="Q464" s="1006"/>
    </row>
    <row r="465" spans="15:17" s="390" customFormat="1">
      <c r="O465" s="1006"/>
      <c r="P465" s="1006"/>
      <c r="Q465" s="1006"/>
    </row>
    <row r="466" spans="15:17" s="390" customFormat="1">
      <c r="O466" s="1006"/>
      <c r="P466" s="1006"/>
      <c r="Q466" s="1006"/>
    </row>
    <row r="467" spans="15:17" s="390" customFormat="1">
      <c r="O467" s="1006"/>
      <c r="P467" s="1006"/>
      <c r="Q467" s="1006"/>
    </row>
    <row r="468" spans="15:17" s="390" customFormat="1">
      <c r="O468" s="1006"/>
      <c r="P468" s="1006"/>
      <c r="Q468" s="1006"/>
    </row>
    <row r="469" spans="15:17" s="390" customFormat="1">
      <c r="O469" s="1006"/>
      <c r="P469" s="1006"/>
      <c r="Q469" s="1006"/>
    </row>
    <row r="470" spans="15:17" s="390" customFormat="1">
      <c r="O470" s="1006"/>
      <c r="P470" s="1006"/>
      <c r="Q470" s="1006"/>
    </row>
    <row r="471" spans="15:17" s="390" customFormat="1">
      <c r="O471" s="1006"/>
      <c r="P471" s="1006"/>
      <c r="Q471" s="1006"/>
    </row>
    <row r="472" spans="15:17" s="390" customFormat="1">
      <c r="O472" s="1006"/>
      <c r="P472" s="1006"/>
      <c r="Q472" s="1006"/>
    </row>
    <row r="473" spans="15:17" s="390" customFormat="1">
      <c r="O473" s="1006"/>
      <c r="P473" s="1006"/>
      <c r="Q473" s="1006"/>
    </row>
    <row r="474" spans="15:17" s="390" customFormat="1">
      <c r="O474" s="1006"/>
      <c r="P474" s="1006"/>
      <c r="Q474" s="1006"/>
    </row>
    <row r="475" spans="15:17" s="390" customFormat="1">
      <c r="O475" s="1006"/>
      <c r="P475" s="1006"/>
      <c r="Q475" s="1006"/>
    </row>
    <row r="476" spans="15:17" s="390" customFormat="1">
      <c r="O476" s="1006"/>
      <c r="P476" s="1006"/>
      <c r="Q476" s="1006"/>
    </row>
    <row r="477" spans="15:17" s="390" customFormat="1">
      <c r="O477" s="1006"/>
      <c r="P477" s="1006"/>
      <c r="Q477" s="1006"/>
    </row>
    <row r="478" spans="15:17" s="390" customFormat="1">
      <c r="O478" s="1006"/>
      <c r="P478" s="1006"/>
      <c r="Q478" s="1006"/>
    </row>
    <row r="479" spans="15:17" s="390" customFormat="1">
      <c r="O479" s="1006"/>
      <c r="P479" s="1006"/>
      <c r="Q479" s="1006"/>
    </row>
    <row r="480" spans="15:17" s="390" customFormat="1">
      <c r="O480" s="1006"/>
      <c r="P480" s="1006"/>
      <c r="Q480" s="1006"/>
    </row>
    <row r="481" spans="15:17" s="390" customFormat="1">
      <c r="O481" s="1006"/>
      <c r="P481" s="1006"/>
      <c r="Q481" s="1006"/>
    </row>
    <row r="482" spans="15:17" s="390" customFormat="1">
      <c r="O482" s="1006"/>
      <c r="P482" s="1006"/>
      <c r="Q482" s="1006"/>
    </row>
    <row r="483" spans="15:17" s="390" customFormat="1">
      <c r="O483" s="1006"/>
      <c r="P483" s="1006"/>
      <c r="Q483" s="1006"/>
    </row>
    <row r="484" spans="15:17" s="390" customFormat="1">
      <c r="O484" s="1006"/>
      <c r="P484" s="1006"/>
      <c r="Q484" s="1006"/>
    </row>
    <row r="485" spans="15:17" s="390" customFormat="1">
      <c r="O485" s="1006"/>
      <c r="P485" s="1006"/>
      <c r="Q485" s="1006"/>
    </row>
    <row r="486" spans="15:17" s="390" customFormat="1">
      <c r="O486" s="1006"/>
      <c r="P486" s="1006"/>
      <c r="Q486" s="1006"/>
    </row>
    <row r="487" spans="15:17" s="390" customFormat="1">
      <c r="O487" s="1006"/>
      <c r="P487" s="1006"/>
      <c r="Q487" s="1006"/>
    </row>
    <row r="488" spans="15:17" s="390" customFormat="1">
      <c r="O488" s="1006"/>
      <c r="P488" s="1006"/>
      <c r="Q488" s="1006"/>
    </row>
    <row r="489" spans="15:17" s="390" customFormat="1">
      <c r="O489" s="1006"/>
      <c r="P489" s="1006"/>
      <c r="Q489" s="1006"/>
    </row>
    <row r="490" spans="15:17" s="390" customFormat="1">
      <c r="O490" s="1006"/>
      <c r="P490" s="1006"/>
      <c r="Q490" s="1006"/>
    </row>
    <row r="491" spans="15:17" s="390" customFormat="1">
      <c r="O491" s="1006"/>
      <c r="P491" s="1006"/>
      <c r="Q491" s="1006"/>
    </row>
    <row r="492" spans="15:17" s="390" customFormat="1">
      <c r="O492" s="1006"/>
      <c r="P492" s="1006"/>
      <c r="Q492" s="1006"/>
    </row>
    <row r="493" spans="15:17" s="390" customFormat="1">
      <c r="O493" s="1006"/>
      <c r="P493" s="1006"/>
      <c r="Q493" s="1006"/>
    </row>
    <row r="494" spans="15:17" s="390" customFormat="1">
      <c r="O494" s="1006"/>
      <c r="P494" s="1006"/>
      <c r="Q494" s="1006"/>
    </row>
    <row r="495" spans="15:17" s="390" customFormat="1">
      <c r="O495" s="1006"/>
      <c r="P495" s="1006"/>
      <c r="Q495" s="1006"/>
    </row>
    <row r="496" spans="15:17" s="390" customFormat="1">
      <c r="O496" s="1006"/>
      <c r="P496" s="1006"/>
      <c r="Q496" s="1006"/>
    </row>
    <row r="497" spans="15:17" s="390" customFormat="1">
      <c r="O497" s="1006"/>
      <c r="P497" s="1006"/>
      <c r="Q497" s="1006"/>
    </row>
    <row r="498" spans="15:17" s="390" customFormat="1">
      <c r="O498" s="1006"/>
      <c r="P498" s="1006"/>
      <c r="Q498" s="1006"/>
    </row>
    <row r="499" spans="15:17" s="390" customFormat="1">
      <c r="O499" s="1006"/>
      <c r="P499" s="1006"/>
      <c r="Q499" s="1006"/>
    </row>
    <row r="500" spans="15:17" s="390" customFormat="1">
      <c r="O500" s="1006"/>
      <c r="P500" s="1006"/>
      <c r="Q500" s="1006"/>
    </row>
    <row r="501" spans="15:17" s="390" customFormat="1">
      <c r="O501" s="1006"/>
      <c r="P501" s="1006"/>
      <c r="Q501" s="1006"/>
    </row>
    <row r="502" spans="15:17" s="390" customFormat="1">
      <c r="O502" s="1006"/>
      <c r="P502" s="1006"/>
      <c r="Q502" s="1006"/>
    </row>
    <row r="503" spans="15:17" s="390" customFormat="1">
      <c r="O503" s="1006"/>
      <c r="P503" s="1006"/>
      <c r="Q503" s="1006"/>
    </row>
    <row r="504" spans="15:17" s="390" customFormat="1">
      <c r="O504" s="1006"/>
      <c r="P504" s="1006"/>
      <c r="Q504" s="1006"/>
    </row>
    <row r="505" spans="15:17" s="390" customFormat="1">
      <c r="O505" s="1006"/>
      <c r="P505" s="1006"/>
      <c r="Q505" s="1006"/>
    </row>
    <row r="506" spans="15:17" s="390" customFormat="1">
      <c r="O506" s="1006"/>
      <c r="P506" s="1006"/>
      <c r="Q506" s="1006"/>
    </row>
    <row r="507" spans="15:17" s="390" customFormat="1">
      <c r="O507" s="1006"/>
      <c r="P507" s="1006"/>
      <c r="Q507" s="1006"/>
    </row>
    <row r="508" spans="15:17" s="390" customFormat="1">
      <c r="O508" s="1006"/>
      <c r="P508" s="1006"/>
      <c r="Q508" s="1006"/>
    </row>
    <row r="509" spans="15:17" s="390" customFormat="1">
      <c r="O509" s="1006"/>
      <c r="P509" s="1006"/>
      <c r="Q509" s="1006"/>
    </row>
    <row r="510" spans="15:17" s="390" customFormat="1">
      <c r="O510" s="1006"/>
      <c r="P510" s="1006"/>
      <c r="Q510" s="1006"/>
    </row>
    <row r="511" spans="15:17" s="390" customFormat="1">
      <c r="O511" s="1006"/>
      <c r="P511" s="1006"/>
      <c r="Q511" s="1006"/>
    </row>
    <row r="512" spans="15:17" s="390" customFormat="1">
      <c r="O512" s="1006"/>
      <c r="P512" s="1006"/>
      <c r="Q512" s="1006"/>
    </row>
    <row r="513" spans="15:17" s="390" customFormat="1">
      <c r="O513" s="1006"/>
      <c r="P513" s="1006"/>
      <c r="Q513" s="1006"/>
    </row>
    <row r="514" spans="15:17" s="390" customFormat="1">
      <c r="O514" s="1006"/>
      <c r="P514" s="1006"/>
      <c r="Q514" s="1006"/>
    </row>
    <row r="515" spans="15:17" s="390" customFormat="1">
      <c r="O515" s="1006"/>
      <c r="P515" s="1006"/>
      <c r="Q515" s="1006"/>
    </row>
    <row r="516" spans="15:17" s="390" customFormat="1">
      <c r="O516" s="1006"/>
      <c r="P516" s="1006"/>
      <c r="Q516" s="1006"/>
    </row>
    <row r="517" spans="15:17" s="390" customFormat="1">
      <c r="O517" s="1006"/>
      <c r="P517" s="1006"/>
      <c r="Q517" s="1006"/>
    </row>
    <row r="518" spans="15:17" s="390" customFormat="1">
      <c r="O518" s="1006"/>
      <c r="P518" s="1006"/>
      <c r="Q518" s="1006"/>
    </row>
    <row r="519" spans="15:17" s="390" customFormat="1">
      <c r="O519" s="1006"/>
      <c r="P519" s="1006"/>
      <c r="Q519" s="1006"/>
    </row>
    <row r="520" spans="15:17" s="390" customFormat="1">
      <c r="O520" s="1006"/>
      <c r="P520" s="1006"/>
      <c r="Q520" s="1006"/>
    </row>
    <row r="521" spans="15:17" s="390" customFormat="1">
      <c r="O521" s="1006"/>
      <c r="P521" s="1006"/>
      <c r="Q521" s="1006"/>
    </row>
    <row r="522" spans="15:17" s="390" customFormat="1">
      <c r="O522" s="1006"/>
      <c r="P522" s="1006"/>
      <c r="Q522" s="1006"/>
    </row>
    <row r="523" spans="15:17" s="390" customFormat="1">
      <c r="O523" s="1006"/>
      <c r="P523" s="1006"/>
      <c r="Q523" s="1006"/>
    </row>
    <row r="524" spans="15:17" s="390" customFormat="1">
      <c r="O524" s="1006"/>
      <c r="P524" s="1006"/>
      <c r="Q524" s="1006"/>
    </row>
    <row r="525" spans="15:17" s="390" customFormat="1">
      <c r="O525" s="1006"/>
      <c r="P525" s="1006"/>
      <c r="Q525" s="1006"/>
    </row>
    <row r="526" spans="15:17" s="390" customFormat="1">
      <c r="O526" s="1006"/>
      <c r="P526" s="1006"/>
      <c r="Q526" s="1006"/>
    </row>
    <row r="527" spans="15:17" s="390" customFormat="1">
      <c r="O527" s="1006"/>
      <c r="P527" s="1006"/>
      <c r="Q527" s="1006"/>
    </row>
    <row r="528" spans="15:17" s="390" customFormat="1">
      <c r="O528" s="1006"/>
      <c r="P528" s="1006"/>
      <c r="Q528" s="1006"/>
    </row>
    <row r="529" spans="15:17" s="390" customFormat="1">
      <c r="O529" s="1006"/>
      <c r="P529" s="1006"/>
      <c r="Q529" s="1006"/>
    </row>
    <row r="530" spans="15:17" s="390" customFormat="1">
      <c r="O530" s="1006"/>
      <c r="P530" s="1006"/>
      <c r="Q530" s="1006"/>
    </row>
    <row r="531" spans="15:17" s="390" customFormat="1">
      <c r="O531" s="1006"/>
      <c r="P531" s="1006"/>
      <c r="Q531" s="1006"/>
    </row>
    <row r="532" spans="15:17" s="390" customFormat="1">
      <c r="O532" s="1006"/>
      <c r="P532" s="1006"/>
      <c r="Q532" s="1006"/>
    </row>
    <row r="533" spans="15:17" s="390" customFormat="1">
      <c r="O533" s="1006"/>
      <c r="P533" s="1006"/>
      <c r="Q533" s="1006"/>
    </row>
    <row r="534" spans="15:17" s="390" customFormat="1">
      <c r="O534" s="1006"/>
      <c r="P534" s="1006"/>
      <c r="Q534" s="1006"/>
    </row>
    <row r="535" spans="15:17" s="390" customFormat="1">
      <c r="O535" s="1006"/>
      <c r="P535" s="1006"/>
      <c r="Q535" s="1006"/>
    </row>
    <row r="536" spans="15:17" s="390" customFormat="1">
      <c r="O536" s="1006"/>
      <c r="P536" s="1006"/>
      <c r="Q536" s="1006"/>
    </row>
    <row r="537" spans="15:17" s="390" customFormat="1">
      <c r="O537" s="1006"/>
      <c r="P537" s="1006"/>
      <c r="Q537" s="1006"/>
    </row>
    <row r="538" spans="15:17" s="390" customFormat="1">
      <c r="O538" s="1006"/>
      <c r="P538" s="1006"/>
      <c r="Q538" s="1006"/>
    </row>
    <row r="539" spans="15:17" s="390" customFormat="1">
      <c r="O539" s="1006"/>
      <c r="P539" s="1006"/>
      <c r="Q539" s="1006"/>
    </row>
    <row r="540" spans="15:17" s="390" customFormat="1">
      <c r="O540" s="1006"/>
      <c r="P540" s="1006"/>
      <c r="Q540" s="1006"/>
    </row>
    <row r="541" spans="15:17" s="390" customFormat="1">
      <c r="O541" s="1006"/>
      <c r="P541" s="1006"/>
      <c r="Q541" s="1006"/>
    </row>
    <row r="542" spans="15:17" s="390" customFormat="1">
      <c r="O542" s="1006"/>
      <c r="P542" s="1006"/>
      <c r="Q542" s="1006"/>
    </row>
    <row r="543" spans="15:17" s="390" customFormat="1">
      <c r="O543" s="1006"/>
      <c r="P543" s="1006"/>
      <c r="Q543" s="1006"/>
    </row>
    <row r="544" spans="15:17" s="390" customFormat="1">
      <c r="O544" s="1006"/>
      <c r="P544" s="1006"/>
      <c r="Q544" s="1006"/>
    </row>
    <row r="545" spans="15:17" s="390" customFormat="1">
      <c r="O545" s="1006"/>
      <c r="P545" s="1006"/>
      <c r="Q545" s="1006"/>
    </row>
    <row r="546" spans="15:17" s="390" customFormat="1">
      <c r="O546" s="1006"/>
      <c r="P546" s="1006"/>
      <c r="Q546" s="1006"/>
    </row>
    <row r="547" spans="15:17" s="390" customFormat="1">
      <c r="O547" s="1006"/>
      <c r="P547" s="1006"/>
      <c r="Q547" s="1006"/>
    </row>
    <row r="548" spans="15:17" s="390" customFormat="1">
      <c r="O548" s="1006"/>
      <c r="P548" s="1006"/>
      <c r="Q548" s="1006"/>
    </row>
    <row r="549" spans="15:17" s="390" customFormat="1">
      <c r="O549" s="1006"/>
      <c r="P549" s="1006"/>
      <c r="Q549" s="1006"/>
    </row>
    <row r="550" spans="15:17" s="390" customFormat="1">
      <c r="O550" s="1006"/>
      <c r="P550" s="1006"/>
      <c r="Q550" s="1006"/>
    </row>
    <row r="551" spans="15:17" s="390" customFormat="1">
      <c r="O551" s="1006"/>
      <c r="P551" s="1006"/>
      <c r="Q551" s="1006"/>
    </row>
    <row r="552" spans="15:17" s="390" customFormat="1">
      <c r="O552" s="1006"/>
      <c r="P552" s="1006"/>
      <c r="Q552" s="1006"/>
    </row>
    <row r="553" spans="15:17" s="390" customFormat="1">
      <c r="O553" s="1006"/>
      <c r="P553" s="1006"/>
      <c r="Q553" s="1006"/>
    </row>
    <row r="554" spans="15:17" s="390" customFormat="1">
      <c r="O554" s="1006"/>
      <c r="P554" s="1006"/>
      <c r="Q554" s="1006"/>
    </row>
    <row r="555" spans="15:17" s="390" customFormat="1">
      <c r="O555" s="1006"/>
      <c r="P555" s="1006"/>
      <c r="Q555" s="1006"/>
    </row>
    <row r="556" spans="15:17" s="390" customFormat="1">
      <c r="O556" s="1006"/>
      <c r="P556" s="1006"/>
      <c r="Q556" s="1006"/>
    </row>
    <row r="557" spans="15:17" s="390" customFormat="1">
      <c r="O557" s="1006"/>
      <c r="P557" s="1006"/>
      <c r="Q557" s="1006"/>
    </row>
    <row r="558" spans="15:17" s="390" customFormat="1">
      <c r="O558" s="1006"/>
      <c r="P558" s="1006"/>
      <c r="Q558" s="1006"/>
    </row>
    <row r="559" spans="15:17" s="390" customFormat="1">
      <c r="O559" s="1006"/>
      <c r="P559" s="1006"/>
      <c r="Q559" s="1006"/>
    </row>
    <row r="560" spans="15:17" s="390" customFormat="1">
      <c r="O560" s="1006"/>
      <c r="P560" s="1006"/>
      <c r="Q560" s="1006"/>
    </row>
    <row r="561" spans="15:17" s="390" customFormat="1">
      <c r="O561" s="1006"/>
      <c r="P561" s="1006"/>
      <c r="Q561" s="1006"/>
    </row>
    <row r="562" spans="15:17" s="390" customFormat="1">
      <c r="O562" s="1006"/>
      <c r="P562" s="1006"/>
      <c r="Q562" s="1006"/>
    </row>
    <row r="563" spans="15:17" s="390" customFormat="1">
      <c r="O563" s="1006"/>
      <c r="P563" s="1006"/>
      <c r="Q563" s="1006"/>
    </row>
    <row r="564" spans="15:17" s="390" customFormat="1">
      <c r="O564" s="1006"/>
      <c r="P564" s="1006"/>
      <c r="Q564" s="1006"/>
    </row>
    <row r="565" spans="15:17" s="390" customFormat="1">
      <c r="O565" s="1006"/>
      <c r="P565" s="1006"/>
      <c r="Q565" s="1006"/>
    </row>
    <row r="566" spans="15:17" s="390" customFormat="1">
      <c r="O566" s="1006"/>
      <c r="P566" s="1006"/>
      <c r="Q566" s="1006"/>
    </row>
    <row r="567" spans="15:17" s="390" customFormat="1">
      <c r="O567" s="1006"/>
      <c r="P567" s="1006"/>
      <c r="Q567" s="1006"/>
    </row>
    <row r="568" spans="15:17" s="390" customFormat="1">
      <c r="O568" s="1006"/>
      <c r="P568" s="1006"/>
      <c r="Q568" s="1006"/>
    </row>
    <row r="569" spans="15:17" s="390" customFormat="1">
      <c r="O569" s="1006"/>
      <c r="P569" s="1006"/>
      <c r="Q569" s="1006"/>
    </row>
    <row r="570" spans="15:17" s="390" customFormat="1">
      <c r="O570" s="1006"/>
      <c r="P570" s="1006"/>
      <c r="Q570" s="1006"/>
    </row>
    <row r="571" spans="15:17" s="390" customFormat="1">
      <c r="O571" s="1006"/>
      <c r="P571" s="1006"/>
      <c r="Q571" s="1006"/>
    </row>
    <row r="572" spans="15:17" s="390" customFormat="1">
      <c r="O572" s="1006"/>
      <c r="P572" s="1006"/>
      <c r="Q572" s="1006"/>
    </row>
    <row r="573" spans="15:17" s="390" customFormat="1">
      <c r="O573" s="1006"/>
      <c r="P573" s="1006"/>
      <c r="Q573" s="1006"/>
    </row>
    <row r="574" spans="15:17" s="390" customFormat="1">
      <c r="O574" s="1006"/>
      <c r="P574" s="1006"/>
      <c r="Q574" s="1006"/>
    </row>
    <row r="575" spans="15:17" s="390" customFormat="1">
      <c r="O575" s="1006"/>
      <c r="P575" s="1006"/>
      <c r="Q575" s="1006"/>
    </row>
    <row r="576" spans="15:17" s="390" customFormat="1">
      <c r="O576" s="1006"/>
      <c r="P576" s="1006"/>
      <c r="Q576" s="1006"/>
    </row>
    <row r="577" spans="15:17" s="390" customFormat="1">
      <c r="O577" s="1006"/>
      <c r="P577" s="1006"/>
      <c r="Q577" s="1006"/>
    </row>
    <row r="578" spans="15:17" s="390" customFormat="1">
      <c r="O578" s="1006"/>
      <c r="P578" s="1006"/>
      <c r="Q578" s="1006"/>
    </row>
    <row r="579" spans="15:17" s="390" customFormat="1">
      <c r="O579" s="1006"/>
      <c r="P579" s="1006"/>
      <c r="Q579" s="1006"/>
    </row>
    <row r="580" spans="15:17" s="390" customFormat="1">
      <c r="O580" s="1006"/>
      <c r="P580" s="1006"/>
      <c r="Q580" s="1006"/>
    </row>
    <row r="581" spans="15:17" s="390" customFormat="1">
      <c r="O581" s="1006"/>
      <c r="P581" s="1006"/>
      <c r="Q581" s="1006"/>
    </row>
    <row r="582" spans="15:17" s="390" customFormat="1">
      <c r="O582" s="1006"/>
      <c r="P582" s="1006"/>
      <c r="Q582" s="1006"/>
    </row>
    <row r="583" spans="15:17" s="390" customFormat="1">
      <c r="O583" s="1006"/>
      <c r="P583" s="1006"/>
      <c r="Q583" s="1006"/>
    </row>
    <row r="584" spans="15:17" s="390" customFormat="1">
      <c r="O584" s="1006"/>
      <c r="P584" s="1006"/>
      <c r="Q584" s="1006"/>
    </row>
    <row r="585" spans="15:17" s="390" customFormat="1">
      <c r="O585" s="1006"/>
      <c r="P585" s="1006"/>
      <c r="Q585" s="1006"/>
    </row>
    <row r="586" spans="15:17" s="390" customFormat="1">
      <c r="O586" s="1006"/>
      <c r="P586" s="1006"/>
      <c r="Q586" s="1006"/>
    </row>
    <row r="587" spans="15:17" s="390" customFormat="1">
      <c r="O587" s="1006"/>
      <c r="P587" s="1006"/>
      <c r="Q587" s="1006"/>
    </row>
    <row r="588" spans="15:17" s="390" customFormat="1">
      <c r="O588" s="1006"/>
      <c r="P588" s="1006"/>
      <c r="Q588" s="1006"/>
    </row>
    <row r="589" spans="15:17" s="390" customFormat="1">
      <c r="O589" s="1006"/>
      <c r="P589" s="1006"/>
      <c r="Q589" s="1006"/>
    </row>
    <row r="590" spans="15:17" s="390" customFormat="1">
      <c r="O590" s="1006"/>
      <c r="P590" s="1006"/>
      <c r="Q590" s="1006"/>
    </row>
    <row r="591" spans="15:17" s="390" customFormat="1">
      <c r="O591" s="1006"/>
      <c r="P591" s="1006"/>
      <c r="Q591" s="1006"/>
    </row>
    <row r="592" spans="15:17" s="390" customFormat="1">
      <c r="O592" s="1006"/>
      <c r="P592" s="1006"/>
      <c r="Q592" s="1006"/>
    </row>
    <row r="593" spans="15:17" s="390" customFormat="1">
      <c r="O593" s="1006"/>
      <c r="P593" s="1006"/>
      <c r="Q593" s="1006"/>
    </row>
    <row r="594" spans="15:17" s="390" customFormat="1">
      <c r="O594" s="1006"/>
      <c r="P594" s="1006"/>
      <c r="Q594" s="1006"/>
    </row>
    <row r="595" spans="15:17" s="390" customFormat="1">
      <c r="O595" s="1006"/>
      <c r="P595" s="1006"/>
      <c r="Q595" s="1006"/>
    </row>
    <row r="596" spans="15:17" s="390" customFormat="1">
      <c r="O596" s="1006"/>
      <c r="P596" s="1006"/>
      <c r="Q596" s="1006"/>
    </row>
    <row r="597" spans="15:17" s="390" customFormat="1">
      <c r="O597" s="1006"/>
      <c r="P597" s="1006"/>
      <c r="Q597" s="1006"/>
    </row>
    <row r="598" spans="15:17" s="390" customFormat="1">
      <c r="O598" s="1006"/>
      <c r="P598" s="1006"/>
      <c r="Q598" s="1006"/>
    </row>
    <row r="599" spans="15:17" s="390" customFormat="1">
      <c r="O599" s="1006"/>
      <c r="P599" s="1006"/>
      <c r="Q599" s="1006"/>
    </row>
    <row r="600" spans="15:17" s="390" customFormat="1">
      <c r="O600" s="1006"/>
      <c r="P600" s="1006"/>
      <c r="Q600" s="1006"/>
    </row>
    <row r="601" spans="15:17" s="390" customFormat="1">
      <c r="O601" s="1006"/>
      <c r="P601" s="1006"/>
      <c r="Q601" s="1006"/>
    </row>
    <row r="602" spans="15:17" s="390" customFormat="1">
      <c r="O602" s="1006"/>
      <c r="P602" s="1006"/>
      <c r="Q602" s="1006"/>
    </row>
    <row r="603" spans="15:17" s="390" customFormat="1">
      <c r="O603" s="1006"/>
      <c r="P603" s="1006"/>
      <c r="Q603" s="1006"/>
    </row>
    <row r="604" spans="15:17" s="390" customFormat="1">
      <c r="O604" s="1006"/>
      <c r="P604" s="1006"/>
      <c r="Q604" s="1006"/>
    </row>
    <row r="605" spans="15:17" s="390" customFormat="1">
      <c r="O605" s="1006"/>
      <c r="P605" s="1006"/>
      <c r="Q605" s="1006"/>
    </row>
    <row r="606" spans="15:17" s="390" customFormat="1">
      <c r="O606" s="1006"/>
      <c r="P606" s="1006"/>
      <c r="Q606" s="1006"/>
    </row>
    <row r="607" spans="15:17" s="390" customFormat="1">
      <c r="O607" s="1006"/>
      <c r="P607" s="1006"/>
      <c r="Q607" s="1006"/>
    </row>
    <row r="608" spans="15:17" s="390" customFormat="1">
      <c r="O608" s="1006"/>
      <c r="P608" s="1006"/>
      <c r="Q608" s="1006"/>
    </row>
    <row r="609" spans="15:17" s="390" customFormat="1">
      <c r="O609" s="1006"/>
      <c r="P609" s="1006"/>
      <c r="Q609" s="1006"/>
    </row>
    <row r="610" spans="15:17" s="390" customFormat="1">
      <c r="O610" s="1006"/>
      <c r="P610" s="1006"/>
      <c r="Q610" s="1006"/>
    </row>
    <row r="611" spans="15:17" s="390" customFormat="1">
      <c r="O611" s="1006"/>
      <c r="P611" s="1006"/>
      <c r="Q611" s="1006"/>
    </row>
    <row r="612" spans="15:17" s="390" customFormat="1">
      <c r="O612" s="1006"/>
      <c r="P612" s="1006"/>
      <c r="Q612" s="1006"/>
    </row>
    <row r="613" spans="15:17" s="390" customFormat="1">
      <c r="O613" s="1006"/>
      <c r="P613" s="1006"/>
      <c r="Q613" s="1006"/>
    </row>
    <row r="614" spans="15:17" s="390" customFormat="1">
      <c r="O614" s="1006"/>
      <c r="P614" s="1006"/>
      <c r="Q614" s="1006"/>
    </row>
    <row r="615" spans="15:17" s="390" customFormat="1">
      <c r="O615" s="1006"/>
      <c r="P615" s="1006"/>
      <c r="Q615" s="1006"/>
    </row>
    <row r="616" spans="15:17" s="390" customFormat="1">
      <c r="O616" s="1006"/>
      <c r="P616" s="1006"/>
      <c r="Q616" s="1006"/>
    </row>
    <row r="617" spans="15:17" s="390" customFormat="1">
      <c r="O617" s="1006"/>
      <c r="P617" s="1006"/>
      <c r="Q617" s="1006"/>
    </row>
    <row r="618" spans="15:17" s="390" customFormat="1">
      <c r="O618" s="1006"/>
      <c r="P618" s="1006"/>
      <c r="Q618" s="1006"/>
    </row>
    <row r="619" spans="15:17" s="390" customFormat="1">
      <c r="O619" s="1006"/>
      <c r="P619" s="1006"/>
      <c r="Q619" s="1006"/>
    </row>
    <row r="620" spans="15:17" s="390" customFormat="1">
      <c r="O620" s="1006"/>
      <c r="P620" s="1006"/>
      <c r="Q620" s="1006"/>
    </row>
    <row r="621" spans="15:17" s="390" customFormat="1">
      <c r="O621" s="1006"/>
      <c r="P621" s="1006"/>
      <c r="Q621" s="1006"/>
    </row>
    <row r="622" spans="15:17" s="390" customFormat="1">
      <c r="O622" s="1006"/>
      <c r="P622" s="1006"/>
      <c r="Q622" s="1006"/>
    </row>
    <row r="623" spans="15:17" s="390" customFormat="1">
      <c r="O623" s="1006"/>
      <c r="P623" s="1006"/>
      <c r="Q623" s="1006"/>
    </row>
    <row r="624" spans="15:17" s="390" customFormat="1">
      <c r="O624" s="1006"/>
      <c r="P624" s="1006"/>
      <c r="Q624" s="1006"/>
    </row>
    <row r="625" spans="15:17" s="390" customFormat="1">
      <c r="O625" s="1006"/>
      <c r="P625" s="1006"/>
      <c r="Q625" s="1006"/>
    </row>
    <row r="626" spans="15:17" s="390" customFormat="1">
      <c r="O626" s="1006"/>
      <c r="P626" s="1006"/>
      <c r="Q626" s="1006"/>
    </row>
    <row r="627" spans="15:17" s="390" customFormat="1">
      <c r="O627" s="1006"/>
      <c r="P627" s="1006"/>
      <c r="Q627" s="1006"/>
    </row>
    <row r="628" spans="15:17" s="390" customFormat="1">
      <c r="O628" s="1006"/>
      <c r="P628" s="1006"/>
      <c r="Q628" s="1006"/>
    </row>
    <row r="629" spans="15:17" s="390" customFormat="1">
      <c r="O629" s="1006"/>
      <c r="P629" s="1006"/>
      <c r="Q629" s="1006"/>
    </row>
    <row r="630" spans="15:17" s="390" customFormat="1">
      <c r="O630" s="1006"/>
      <c r="P630" s="1006"/>
      <c r="Q630" s="1006"/>
    </row>
    <row r="631" spans="15:17" s="390" customFormat="1">
      <c r="O631" s="1006"/>
      <c r="P631" s="1006"/>
      <c r="Q631" s="1006"/>
    </row>
    <row r="632" spans="15:17" s="390" customFormat="1">
      <c r="O632" s="1006"/>
      <c r="P632" s="1006"/>
      <c r="Q632" s="1006"/>
    </row>
    <row r="633" spans="15:17" s="390" customFormat="1">
      <c r="O633" s="1006"/>
      <c r="P633" s="1006"/>
      <c r="Q633" s="1006"/>
    </row>
    <row r="634" spans="15:17" s="390" customFormat="1">
      <c r="O634" s="1006"/>
      <c r="P634" s="1006"/>
      <c r="Q634" s="1006"/>
    </row>
    <row r="635" spans="15:17" s="390" customFormat="1">
      <c r="O635" s="1006"/>
      <c r="P635" s="1006"/>
      <c r="Q635" s="1006"/>
    </row>
    <row r="636" spans="15:17" s="390" customFormat="1">
      <c r="O636" s="1006"/>
      <c r="P636" s="1006"/>
      <c r="Q636" s="1006"/>
    </row>
    <row r="637" spans="15:17" s="390" customFormat="1">
      <c r="O637" s="1006"/>
      <c r="P637" s="1006"/>
      <c r="Q637" s="1006"/>
    </row>
    <row r="638" spans="15:17" s="390" customFormat="1">
      <c r="O638" s="1006"/>
      <c r="P638" s="1006"/>
      <c r="Q638" s="1006"/>
    </row>
    <row r="639" spans="15:17" s="390" customFormat="1">
      <c r="O639" s="1006"/>
      <c r="P639" s="1006"/>
      <c r="Q639" s="1006"/>
    </row>
    <row r="640" spans="15:17" s="390" customFormat="1">
      <c r="O640" s="1006"/>
      <c r="P640" s="1006"/>
      <c r="Q640" s="1006"/>
    </row>
    <row r="641" spans="15:17" s="390" customFormat="1">
      <c r="O641" s="1006"/>
      <c r="P641" s="1006"/>
      <c r="Q641" s="1006"/>
    </row>
    <row r="642" spans="15:17" s="390" customFormat="1">
      <c r="O642" s="1006"/>
      <c r="P642" s="1006"/>
      <c r="Q642" s="1006"/>
    </row>
    <row r="643" spans="15:17" s="390" customFormat="1">
      <c r="O643" s="1006"/>
      <c r="P643" s="1006"/>
      <c r="Q643" s="1006"/>
    </row>
    <row r="644" spans="15:17" s="390" customFormat="1">
      <c r="O644" s="1006"/>
      <c r="P644" s="1006"/>
      <c r="Q644" s="1006"/>
    </row>
    <row r="645" spans="15:17" s="390" customFormat="1">
      <c r="O645" s="1006"/>
      <c r="P645" s="1006"/>
      <c r="Q645" s="1006"/>
    </row>
    <row r="646" spans="15:17" s="390" customFormat="1">
      <c r="O646" s="1006"/>
      <c r="P646" s="1006"/>
      <c r="Q646" s="1006"/>
    </row>
    <row r="647" spans="15:17" s="390" customFormat="1">
      <c r="O647" s="1006"/>
      <c r="P647" s="1006"/>
      <c r="Q647" s="1006"/>
    </row>
    <row r="648" spans="15:17" s="390" customFormat="1">
      <c r="O648" s="1006"/>
      <c r="P648" s="1006"/>
      <c r="Q648" s="1006"/>
    </row>
    <row r="649" spans="15:17" s="390" customFormat="1">
      <c r="O649" s="1006"/>
      <c r="P649" s="1006"/>
      <c r="Q649" s="1006"/>
    </row>
    <row r="650" spans="15:17" s="390" customFormat="1">
      <c r="O650" s="1006"/>
      <c r="P650" s="1006"/>
      <c r="Q650" s="1006"/>
    </row>
    <row r="651" spans="15:17" s="390" customFormat="1">
      <c r="O651" s="1006"/>
      <c r="P651" s="1006"/>
      <c r="Q651" s="1006"/>
    </row>
    <row r="652" spans="15:17" s="390" customFormat="1">
      <c r="O652" s="1006"/>
      <c r="P652" s="1006"/>
      <c r="Q652" s="1006"/>
    </row>
    <row r="653" spans="15:17" s="390" customFormat="1">
      <c r="O653" s="1006"/>
      <c r="P653" s="1006"/>
      <c r="Q653" s="1006"/>
    </row>
    <row r="654" spans="15:17" s="390" customFormat="1">
      <c r="O654" s="1006"/>
      <c r="P654" s="1006"/>
      <c r="Q654" s="1006"/>
    </row>
    <row r="655" spans="15:17" s="390" customFormat="1">
      <c r="O655" s="1006"/>
      <c r="P655" s="1006"/>
      <c r="Q655" s="1006"/>
    </row>
    <row r="656" spans="15:17" s="390" customFormat="1">
      <c r="O656" s="1006"/>
      <c r="P656" s="1006"/>
      <c r="Q656" s="1006"/>
    </row>
    <row r="657" spans="15:17" s="390" customFormat="1">
      <c r="O657" s="1006"/>
      <c r="P657" s="1006"/>
      <c r="Q657" s="1006"/>
    </row>
    <row r="658" spans="15:17" s="390" customFormat="1">
      <c r="O658" s="1006"/>
      <c r="P658" s="1006"/>
      <c r="Q658" s="1006"/>
    </row>
    <row r="659" spans="15:17" s="390" customFormat="1">
      <c r="O659" s="1006"/>
      <c r="P659" s="1006"/>
      <c r="Q659" s="1006"/>
    </row>
    <row r="660" spans="15:17" s="390" customFormat="1">
      <c r="O660" s="1006"/>
      <c r="P660" s="1006"/>
      <c r="Q660" s="1006"/>
    </row>
    <row r="661" spans="15:17" s="390" customFormat="1">
      <c r="O661" s="1006"/>
      <c r="P661" s="1006"/>
      <c r="Q661" s="1006"/>
    </row>
    <row r="662" spans="15:17" s="390" customFormat="1">
      <c r="O662" s="1006"/>
      <c r="P662" s="1006"/>
      <c r="Q662" s="1006"/>
    </row>
    <row r="663" spans="15:17" s="390" customFormat="1">
      <c r="O663" s="1006"/>
      <c r="P663" s="1006"/>
      <c r="Q663" s="1006"/>
    </row>
    <row r="664" spans="15:17" s="390" customFormat="1">
      <c r="O664" s="1006"/>
      <c r="P664" s="1006"/>
      <c r="Q664" s="1006"/>
    </row>
    <row r="665" spans="15:17" s="390" customFormat="1">
      <c r="O665" s="1006"/>
      <c r="P665" s="1006"/>
      <c r="Q665" s="1006"/>
    </row>
    <row r="666" spans="15:17" s="390" customFormat="1">
      <c r="O666" s="1006"/>
      <c r="P666" s="1006"/>
      <c r="Q666" s="1006"/>
    </row>
    <row r="667" spans="15:17" s="390" customFormat="1">
      <c r="O667" s="1006"/>
      <c r="P667" s="1006"/>
      <c r="Q667" s="1006"/>
    </row>
    <row r="668" spans="15:17" s="390" customFormat="1">
      <c r="O668" s="1006"/>
      <c r="P668" s="1006"/>
      <c r="Q668" s="1006"/>
    </row>
    <row r="669" spans="15:17" s="390" customFormat="1">
      <c r="O669" s="1006"/>
      <c r="P669" s="1006"/>
      <c r="Q669" s="1006"/>
    </row>
    <row r="670" spans="15:17" s="390" customFormat="1">
      <c r="O670" s="1006"/>
      <c r="P670" s="1006"/>
      <c r="Q670" s="1006"/>
    </row>
    <row r="671" spans="15:17" s="390" customFormat="1">
      <c r="O671" s="1006"/>
      <c r="P671" s="1006"/>
      <c r="Q671" s="1006"/>
    </row>
    <row r="672" spans="15:17" s="390" customFormat="1">
      <c r="O672" s="1006"/>
      <c r="P672" s="1006"/>
      <c r="Q672" s="1006"/>
    </row>
    <row r="673" spans="15:17" s="390" customFormat="1">
      <c r="O673" s="1006"/>
      <c r="P673" s="1006"/>
      <c r="Q673" s="1006"/>
    </row>
    <row r="674" spans="15:17" s="390" customFormat="1">
      <c r="O674" s="1006"/>
      <c r="P674" s="1006"/>
      <c r="Q674" s="1006"/>
    </row>
    <row r="675" spans="15:17" s="390" customFormat="1">
      <c r="O675" s="1006"/>
      <c r="P675" s="1006"/>
      <c r="Q675" s="1006"/>
    </row>
    <row r="676" spans="15:17" s="390" customFormat="1">
      <c r="O676" s="1006"/>
      <c r="P676" s="1006"/>
      <c r="Q676" s="1006"/>
    </row>
    <row r="677" spans="15:17" s="390" customFormat="1">
      <c r="O677" s="1006"/>
      <c r="P677" s="1006"/>
      <c r="Q677" s="1006"/>
    </row>
    <row r="678" spans="15:17" s="390" customFormat="1">
      <c r="O678" s="1006"/>
      <c r="P678" s="1006"/>
      <c r="Q678" s="1006"/>
    </row>
    <row r="679" spans="15:17" s="390" customFormat="1">
      <c r="O679" s="1006"/>
      <c r="P679" s="1006"/>
      <c r="Q679" s="1006"/>
    </row>
    <row r="680" spans="15:17" s="390" customFormat="1">
      <c r="O680" s="1006"/>
      <c r="P680" s="1006"/>
      <c r="Q680" s="1006"/>
    </row>
    <row r="681" spans="15:17" s="390" customFormat="1">
      <c r="O681" s="1006"/>
      <c r="P681" s="1006"/>
      <c r="Q681" s="1006"/>
    </row>
    <row r="682" spans="15:17" s="390" customFormat="1">
      <c r="O682" s="1006"/>
      <c r="P682" s="1006"/>
      <c r="Q682" s="1006"/>
    </row>
    <row r="683" spans="15:17" s="390" customFormat="1">
      <c r="O683" s="1006"/>
      <c r="P683" s="1006"/>
      <c r="Q683" s="1006"/>
    </row>
    <row r="684" spans="15:17" s="390" customFormat="1">
      <c r="O684" s="1006"/>
      <c r="P684" s="1006"/>
      <c r="Q684" s="1006"/>
    </row>
    <row r="685" spans="15:17" s="390" customFormat="1">
      <c r="O685" s="1006"/>
      <c r="P685" s="1006"/>
      <c r="Q685" s="1006"/>
    </row>
    <row r="686" spans="15:17" s="390" customFormat="1">
      <c r="O686" s="1006"/>
      <c r="P686" s="1006"/>
      <c r="Q686" s="1006"/>
    </row>
    <row r="687" spans="15:17" s="390" customFormat="1">
      <c r="O687" s="1006"/>
      <c r="P687" s="1006"/>
      <c r="Q687" s="1006"/>
    </row>
    <row r="688" spans="15:17" s="390" customFormat="1">
      <c r="O688" s="1006"/>
      <c r="P688" s="1006"/>
      <c r="Q688" s="1006"/>
    </row>
    <row r="689" spans="15:17" s="390" customFormat="1">
      <c r="O689" s="1006"/>
      <c r="P689" s="1006"/>
      <c r="Q689" s="1006"/>
    </row>
    <row r="690" spans="15:17" s="390" customFormat="1">
      <c r="O690" s="1006"/>
      <c r="P690" s="1006"/>
      <c r="Q690" s="1006"/>
    </row>
    <row r="691" spans="15:17" s="390" customFormat="1">
      <c r="O691" s="1006"/>
      <c r="P691" s="1006"/>
      <c r="Q691" s="1006"/>
    </row>
    <row r="692" spans="15:17" s="390" customFormat="1">
      <c r="O692" s="1006"/>
      <c r="P692" s="1006"/>
      <c r="Q692" s="1006"/>
    </row>
    <row r="693" spans="15:17" s="390" customFormat="1">
      <c r="O693" s="1006"/>
      <c r="P693" s="1006"/>
      <c r="Q693" s="1006"/>
    </row>
    <row r="694" spans="15:17" s="390" customFormat="1">
      <c r="O694" s="1006"/>
      <c r="P694" s="1006"/>
      <c r="Q694" s="1006"/>
    </row>
    <row r="695" spans="15:17" s="390" customFormat="1">
      <c r="O695" s="1006"/>
      <c r="P695" s="1006"/>
      <c r="Q695" s="1006"/>
    </row>
    <row r="696" spans="15:17" s="390" customFormat="1">
      <c r="O696" s="1006"/>
      <c r="P696" s="1006"/>
      <c r="Q696" s="1006"/>
    </row>
    <row r="697" spans="15:17" s="390" customFormat="1">
      <c r="O697" s="1006"/>
      <c r="P697" s="1006"/>
      <c r="Q697" s="1006"/>
    </row>
    <row r="698" spans="15:17" s="390" customFormat="1">
      <c r="O698" s="1006"/>
      <c r="P698" s="1006"/>
      <c r="Q698" s="1006"/>
    </row>
    <row r="699" spans="15:17" s="390" customFormat="1">
      <c r="O699" s="1006"/>
      <c r="P699" s="1006"/>
      <c r="Q699" s="1006"/>
    </row>
    <row r="700" spans="15:17" s="390" customFormat="1">
      <c r="O700" s="1006"/>
      <c r="P700" s="1006"/>
      <c r="Q700" s="1006"/>
    </row>
    <row r="701" spans="15:17" s="390" customFormat="1">
      <c r="O701" s="1006"/>
      <c r="P701" s="1006"/>
      <c r="Q701" s="1006"/>
    </row>
    <row r="702" spans="15:17" s="390" customFormat="1">
      <c r="O702" s="1006"/>
      <c r="P702" s="1006"/>
      <c r="Q702" s="1006"/>
    </row>
    <row r="703" spans="15:17" s="390" customFormat="1">
      <c r="O703" s="1006"/>
      <c r="P703" s="1006"/>
      <c r="Q703" s="1006"/>
    </row>
    <row r="704" spans="15:17" s="390" customFormat="1">
      <c r="O704" s="1006"/>
      <c r="P704" s="1006"/>
      <c r="Q704" s="1006"/>
    </row>
    <row r="705" spans="15:17" s="390" customFormat="1">
      <c r="O705" s="1006"/>
      <c r="P705" s="1006"/>
      <c r="Q705" s="1006"/>
    </row>
    <row r="706" spans="15:17" s="390" customFormat="1">
      <c r="O706" s="1006"/>
      <c r="P706" s="1006"/>
      <c r="Q706" s="1006"/>
    </row>
    <row r="707" spans="15:17" s="390" customFormat="1">
      <c r="O707" s="1006"/>
      <c r="P707" s="1006"/>
      <c r="Q707" s="1006"/>
    </row>
    <row r="708" spans="15:17" s="390" customFormat="1">
      <c r="O708" s="1006"/>
      <c r="P708" s="1006"/>
      <c r="Q708" s="1006"/>
    </row>
    <row r="709" spans="15:17" s="390" customFormat="1">
      <c r="O709" s="1006"/>
      <c r="P709" s="1006"/>
      <c r="Q709" s="1006"/>
    </row>
    <row r="710" spans="15:17" s="390" customFormat="1">
      <c r="O710" s="1006"/>
      <c r="P710" s="1006"/>
      <c r="Q710" s="1006"/>
    </row>
    <row r="711" spans="15:17" s="390" customFormat="1">
      <c r="O711" s="1006"/>
      <c r="P711" s="1006"/>
      <c r="Q711" s="1006"/>
    </row>
    <row r="712" spans="15:17" s="390" customFormat="1">
      <c r="O712" s="1006"/>
      <c r="P712" s="1006"/>
      <c r="Q712" s="1006"/>
    </row>
    <row r="713" spans="15:17" s="390" customFormat="1">
      <c r="O713" s="1006"/>
      <c r="P713" s="1006"/>
      <c r="Q713" s="1006"/>
    </row>
    <row r="714" spans="15:17" s="390" customFormat="1">
      <c r="O714" s="1006"/>
      <c r="P714" s="1006"/>
      <c r="Q714" s="1006"/>
    </row>
    <row r="715" spans="15:17" s="390" customFormat="1">
      <c r="O715" s="1006"/>
      <c r="P715" s="1006"/>
      <c r="Q715" s="1006"/>
    </row>
    <row r="716" spans="15:17" s="390" customFormat="1">
      <c r="O716" s="1006"/>
      <c r="P716" s="1006"/>
      <c r="Q716" s="1006"/>
    </row>
    <row r="717" spans="15:17" s="390" customFormat="1">
      <c r="O717" s="1006"/>
      <c r="P717" s="1006"/>
      <c r="Q717" s="1006"/>
    </row>
    <row r="718" spans="15:17" s="390" customFormat="1">
      <c r="O718" s="1006"/>
      <c r="P718" s="1006"/>
      <c r="Q718" s="1006"/>
    </row>
    <row r="719" spans="15:17" s="390" customFormat="1">
      <c r="O719" s="1006"/>
      <c r="P719" s="1006"/>
      <c r="Q719" s="1006"/>
    </row>
    <row r="720" spans="15:17" s="390" customFormat="1">
      <c r="O720" s="1006"/>
      <c r="P720" s="1006"/>
      <c r="Q720" s="1006"/>
    </row>
    <row r="721" spans="15:17" s="390" customFormat="1">
      <c r="O721" s="1006"/>
      <c r="P721" s="1006"/>
      <c r="Q721" s="1006"/>
    </row>
    <row r="722" spans="15:17" s="390" customFormat="1">
      <c r="O722" s="1006"/>
      <c r="P722" s="1006"/>
      <c r="Q722" s="1006"/>
    </row>
    <row r="723" spans="15:17" s="390" customFormat="1">
      <c r="O723" s="1006"/>
      <c r="P723" s="1006"/>
      <c r="Q723" s="1006"/>
    </row>
    <row r="724" spans="15:17" s="390" customFormat="1">
      <c r="O724" s="1006"/>
      <c r="P724" s="1006"/>
      <c r="Q724" s="1006"/>
    </row>
    <row r="725" spans="15:17" s="390" customFormat="1">
      <c r="O725" s="1006"/>
      <c r="P725" s="1006"/>
      <c r="Q725" s="1006"/>
    </row>
    <row r="726" spans="15:17" s="390" customFormat="1">
      <c r="O726" s="1006"/>
      <c r="P726" s="1006"/>
      <c r="Q726" s="1006"/>
    </row>
    <row r="727" spans="15:17" s="390" customFormat="1">
      <c r="O727" s="1006"/>
      <c r="P727" s="1006"/>
      <c r="Q727" s="1006"/>
    </row>
    <row r="728" spans="15:17" s="390" customFormat="1">
      <c r="O728" s="1006"/>
      <c r="P728" s="1006"/>
      <c r="Q728" s="1006"/>
    </row>
    <row r="729" spans="15:17" s="390" customFormat="1">
      <c r="O729" s="1006"/>
      <c r="P729" s="1006"/>
      <c r="Q729" s="1006"/>
    </row>
    <row r="730" spans="15:17" s="390" customFormat="1">
      <c r="O730" s="1006"/>
      <c r="P730" s="1006"/>
      <c r="Q730" s="1006"/>
    </row>
    <row r="731" spans="15:17" s="390" customFormat="1">
      <c r="O731" s="1006"/>
      <c r="P731" s="1006"/>
      <c r="Q731" s="1006"/>
    </row>
    <row r="732" spans="15:17" s="390" customFormat="1">
      <c r="O732" s="1006"/>
      <c r="P732" s="1006"/>
      <c r="Q732" s="1006"/>
    </row>
    <row r="733" spans="15:17" s="390" customFormat="1">
      <c r="O733" s="1006"/>
      <c r="P733" s="1006"/>
      <c r="Q733" s="1006"/>
    </row>
    <row r="734" spans="15:17" s="390" customFormat="1">
      <c r="O734" s="1006"/>
      <c r="P734" s="1006"/>
      <c r="Q734" s="1006"/>
    </row>
    <row r="735" spans="15:17" s="390" customFormat="1">
      <c r="O735" s="1006"/>
      <c r="P735" s="1006"/>
      <c r="Q735" s="1006"/>
    </row>
    <row r="736" spans="15:17" s="390" customFormat="1">
      <c r="O736" s="1006"/>
      <c r="P736" s="1006"/>
      <c r="Q736" s="1006"/>
    </row>
    <row r="737" spans="15:17" s="390" customFormat="1">
      <c r="O737" s="1006"/>
      <c r="P737" s="1006"/>
      <c r="Q737" s="1006"/>
    </row>
    <row r="738" spans="15:17" s="390" customFormat="1">
      <c r="O738" s="1006"/>
      <c r="P738" s="1006"/>
      <c r="Q738" s="1006"/>
    </row>
    <row r="739" spans="15:17" s="390" customFormat="1">
      <c r="O739" s="1006"/>
      <c r="P739" s="1006"/>
      <c r="Q739" s="1006"/>
    </row>
    <row r="740" spans="15:17" s="390" customFormat="1">
      <c r="O740" s="1006"/>
      <c r="P740" s="1006"/>
      <c r="Q740" s="1006"/>
    </row>
    <row r="741" spans="15:17" s="390" customFormat="1">
      <c r="O741" s="1006"/>
      <c r="P741" s="1006"/>
      <c r="Q741" s="1006"/>
    </row>
    <row r="742" spans="15:17" s="390" customFormat="1">
      <c r="O742" s="1006"/>
      <c r="P742" s="1006"/>
      <c r="Q742" s="1006"/>
    </row>
    <row r="743" spans="15:17" s="390" customFormat="1">
      <c r="O743" s="1006"/>
      <c r="P743" s="1006"/>
      <c r="Q743" s="1006"/>
    </row>
    <row r="744" spans="15:17" s="390" customFormat="1">
      <c r="O744" s="1006"/>
      <c r="P744" s="1006"/>
      <c r="Q744" s="1006"/>
    </row>
    <row r="745" spans="15:17" s="390" customFormat="1">
      <c r="O745" s="1006"/>
      <c r="P745" s="1006"/>
      <c r="Q745" s="1006"/>
    </row>
    <row r="746" spans="15:17" s="390" customFormat="1">
      <c r="O746" s="1006"/>
      <c r="P746" s="1006"/>
      <c r="Q746" s="1006"/>
    </row>
    <row r="747" spans="15:17" s="390" customFormat="1">
      <c r="O747" s="1006"/>
      <c r="P747" s="1006"/>
      <c r="Q747" s="1006"/>
    </row>
    <row r="748" spans="15:17" s="390" customFormat="1">
      <c r="O748" s="1006"/>
      <c r="P748" s="1006"/>
      <c r="Q748" s="1006"/>
    </row>
    <row r="749" spans="15:17" s="390" customFormat="1">
      <c r="O749" s="1006"/>
      <c r="P749" s="1006"/>
      <c r="Q749" s="1006"/>
    </row>
    <row r="750" spans="15:17" s="390" customFormat="1">
      <c r="O750" s="1006"/>
      <c r="P750" s="1006"/>
      <c r="Q750" s="1006"/>
    </row>
    <row r="751" spans="15:17" s="390" customFormat="1">
      <c r="O751" s="1006"/>
      <c r="P751" s="1006"/>
      <c r="Q751" s="1006"/>
    </row>
    <row r="752" spans="15:17" s="390" customFormat="1">
      <c r="O752" s="1006"/>
      <c r="P752" s="1006"/>
      <c r="Q752" s="1006"/>
    </row>
    <row r="753" spans="15:17" s="390" customFormat="1">
      <c r="O753" s="1006"/>
      <c r="P753" s="1006"/>
      <c r="Q753" s="1006"/>
    </row>
    <row r="754" spans="15:17" s="390" customFormat="1">
      <c r="O754" s="1006"/>
      <c r="P754" s="1006"/>
      <c r="Q754" s="1006"/>
    </row>
    <row r="755" spans="15:17" s="390" customFormat="1">
      <c r="O755" s="1006"/>
      <c r="P755" s="1006"/>
      <c r="Q755" s="1006"/>
    </row>
    <row r="756" spans="15:17" s="390" customFormat="1">
      <c r="O756" s="1006"/>
      <c r="P756" s="1006"/>
      <c r="Q756" s="1006"/>
    </row>
    <row r="757" spans="15:17" s="390" customFormat="1">
      <c r="O757" s="1006"/>
      <c r="P757" s="1006"/>
      <c r="Q757" s="1006"/>
    </row>
    <row r="758" spans="15:17" s="390" customFormat="1">
      <c r="O758" s="1006"/>
      <c r="P758" s="1006"/>
      <c r="Q758" s="1006"/>
    </row>
    <row r="759" spans="15:17" s="390" customFormat="1">
      <c r="O759" s="1006"/>
      <c r="P759" s="1006"/>
      <c r="Q759" s="1006"/>
    </row>
    <row r="760" spans="15:17" s="390" customFormat="1">
      <c r="O760" s="1006"/>
      <c r="P760" s="1006"/>
      <c r="Q760" s="1006"/>
    </row>
    <row r="761" spans="15:17" s="390" customFormat="1">
      <c r="O761" s="1006"/>
      <c r="P761" s="1006"/>
      <c r="Q761" s="1006"/>
    </row>
    <row r="762" spans="15:17" s="390" customFormat="1">
      <c r="O762" s="1006"/>
      <c r="P762" s="1006"/>
      <c r="Q762" s="1006"/>
    </row>
    <row r="763" spans="15:17" s="390" customFormat="1">
      <c r="O763" s="1006"/>
      <c r="P763" s="1006"/>
      <c r="Q763" s="1006"/>
    </row>
    <row r="764" spans="15:17" s="390" customFormat="1">
      <c r="O764" s="1006"/>
      <c r="P764" s="1006"/>
      <c r="Q764" s="1006"/>
    </row>
    <row r="765" spans="15:17" s="390" customFormat="1">
      <c r="O765" s="1006"/>
      <c r="P765" s="1006"/>
      <c r="Q765" s="1006"/>
    </row>
    <row r="766" spans="15:17" s="390" customFormat="1">
      <c r="O766" s="1006"/>
      <c r="P766" s="1006"/>
      <c r="Q766" s="1006"/>
    </row>
    <row r="767" spans="15:17" s="390" customFormat="1">
      <c r="O767" s="1006"/>
      <c r="P767" s="1006"/>
      <c r="Q767" s="1006"/>
    </row>
    <row r="768" spans="15:17" s="390" customFormat="1">
      <c r="O768" s="1006"/>
      <c r="P768" s="1006"/>
      <c r="Q768" s="1006"/>
    </row>
    <row r="769" spans="15:17" s="390" customFormat="1">
      <c r="O769" s="1006"/>
      <c r="P769" s="1006"/>
      <c r="Q769" s="1006"/>
    </row>
    <row r="770" spans="15:17" s="390" customFormat="1">
      <c r="O770" s="1006"/>
      <c r="P770" s="1006"/>
      <c r="Q770" s="1006"/>
    </row>
    <row r="771" spans="15:17" s="390" customFormat="1">
      <c r="O771" s="1006"/>
      <c r="P771" s="1006"/>
      <c r="Q771" s="1006"/>
    </row>
    <row r="772" spans="15:17" s="390" customFormat="1">
      <c r="O772" s="1006"/>
      <c r="P772" s="1006"/>
      <c r="Q772" s="1006"/>
    </row>
    <row r="773" spans="15:17" s="390" customFormat="1">
      <c r="O773" s="1006"/>
      <c r="P773" s="1006"/>
      <c r="Q773" s="1006"/>
    </row>
    <row r="774" spans="15:17" s="390" customFormat="1">
      <c r="O774" s="1006"/>
      <c r="P774" s="1006"/>
      <c r="Q774" s="1006"/>
    </row>
    <row r="775" spans="15:17" s="390" customFormat="1">
      <c r="O775" s="1006"/>
      <c r="P775" s="1006"/>
      <c r="Q775" s="1006"/>
    </row>
    <row r="776" spans="15:17" s="390" customFormat="1">
      <c r="O776" s="1006"/>
      <c r="P776" s="1006"/>
      <c r="Q776" s="1006"/>
    </row>
    <row r="777" spans="15:17" s="390" customFormat="1">
      <c r="O777" s="1006"/>
      <c r="P777" s="1006"/>
      <c r="Q777" s="1006"/>
    </row>
    <row r="778" spans="15:17" s="390" customFormat="1">
      <c r="O778" s="1006"/>
      <c r="P778" s="1006"/>
      <c r="Q778" s="1006"/>
    </row>
    <row r="779" spans="15:17" s="390" customFormat="1">
      <c r="O779" s="1006"/>
      <c r="P779" s="1006"/>
      <c r="Q779" s="1006"/>
    </row>
    <row r="780" spans="15:17" s="390" customFormat="1">
      <c r="O780" s="1006"/>
      <c r="P780" s="1006"/>
      <c r="Q780" s="1006"/>
    </row>
    <row r="781" spans="15:17" s="390" customFormat="1">
      <c r="O781" s="1006"/>
      <c r="P781" s="1006"/>
      <c r="Q781" s="1006"/>
    </row>
    <row r="782" spans="15:17" s="390" customFormat="1">
      <c r="O782" s="1006"/>
      <c r="P782" s="1006"/>
      <c r="Q782" s="1006"/>
    </row>
    <row r="783" spans="15:17" s="390" customFormat="1">
      <c r="O783" s="1006"/>
      <c r="P783" s="1006"/>
      <c r="Q783" s="1006"/>
    </row>
    <row r="784" spans="15:17" s="390" customFormat="1">
      <c r="O784" s="1006"/>
      <c r="P784" s="1006"/>
      <c r="Q784" s="1006"/>
    </row>
    <row r="785" spans="15:17" s="390" customFormat="1">
      <c r="O785" s="1006"/>
      <c r="P785" s="1006"/>
      <c r="Q785" s="1006"/>
    </row>
    <row r="786" spans="15:17" s="390" customFormat="1">
      <c r="O786" s="1006"/>
      <c r="P786" s="1006"/>
      <c r="Q786" s="1006"/>
    </row>
    <row r="787" spans="15:17" s="390" customFormat="1">
      <c r="O787" s="1006"/>
      <c r="P787" s="1006"/>
      <c r="Q787" s="1006"/>
    </row>
    <row r="788" spans="15:17" s="390" customFormat="1">
      <c r="O788" s="1006"/>
      <c r="P788" s="1006"/>
      <c r="Q788" s="1006"/>
    </row>
    <row r="789" spans="15:17" s="390" customFormat="1">
      <c r="O789" s="1006"/>
      <c r="P789" s="1006"/>
      <c r="Q789" s="1006"/>
    </row>
    <row r="790" spans="15:17" s="390" customFormat="1">
      <c r="O790" s="1006"/>
      <c r="P790" s="1006"/>
      <c r="Q790" s="1006"/>
    </row>
    <row r="791" spans="15:17" s="390" customFormat="1">
      <c r="O791" s="1006"/>
      <c r="P791" s="1006"/>
      <c r="Q791" s="1006"/>
    </row>
    <row r="792" spans="15:17" s="390" customFormat="1">
      <c r="O792" s="1006"/>
      <c r="P792" s="1006"/>
      <c r="Q792" s="1006"/>
    </row>
    <row r="793" spans="15:17" s="390" customFormat="1">
      <c r="O793" s="1006"/>
      <c r="P793" s="1006"/>
      <c r="Q793" s="1006"/>
    </row>
    <row r="794" spans="15:17" s="390" customFormat="1">
      <c r="O794" s="1006"/>
      <c r="P794" s="1006"/>
      <c r="Q794" s="1006"/>
    </row>
    <row r="795" spans="15:17" s="390" customFormat="1">
      <c r="O795" s="1006"/>
      <c r="P795" s="1006"/>
      <c r="Q795" s="1006"/>
    </row>
    <row r="796" spans="15:17" s="390" customFormat="1">
      <c r="O796" s="1006"/>
      <c r="P796" s="1006"/>
      <c r="Q796" s="1006"/>
    </row>
    <row r="797" spans="15:17" s="390" customFormat="1">
      <c r="O797" s="1006"/>
      <c r="P797" s="1006"/>
      <c r="Q797" s="1006"/>
    </row>
    <row r="798" spans="15:17" s="390" customFormat="1">
      <c r="O798" s="1006"/>
      <c r="P798" s="1006"/>
      <c r="Q798" s="1006"/>
    </row>
    <row r="799" spans="15:17" s="390" customFormat="1">
      <c r="O799" s="1006"/>
      <c r="P799" s="1006"/>
      <c r="Q799" s="1006"/>
    </row>
    <row r="800" spans="15:17" s="390" customFormat="1">
      <c r="O800" s="1006"/>
      <c r="P800" s="1006"/>
      <c r="Q800" s="1006"/>
    </row>
    <row r="801" spans="15:17" s="390" customFormat="1">
      <c r="O801" s="1006"/>
      <c r="P801" s="1006"/>
      <c r="Q801" s="1006"/>
    </row>
    <row r="802" spans="15:17" s="390" customFormat="1">
      <c r="O802" s="1006"/>
      <c r="P802" s="1006"/>
      <c r="Q802" s="1006"/>
    </row>
    <row r="803" spans="15:17" s="390" customFormat="1">
      <c r="O803" s="1006"/>
      <c r="P803" s="1006"/>
      <c r="Q803" s="1006"/>
    </row>
    <row r="804" spans="15:17" s="390" customFormat="1">
      <c r="O804" s="1006"/>
      <c r="P804" s="1006"/>
      <c r="Q804" s="1006"/>
    </row>
    <row r="805" spans="15:17" s="390" customFormat="1">
      <c r="O805" s="1006"/>
      <c r="P805" s="1006"/>
      <c r="Q805" s="1006"/>
    </row>
    <row r="806" spans="15:17" s="390" customFormat="1">
      <c r="O806" s="1006"/>
      <c r="P806" s="1006"/>
      <c r="Q806" s="1006"/>
    </row>
    <row r="807" spans="15:17" s="390" customFormat="1">
      <c r="O807" s="1006"/>
      <c r="P807" s="1006"/>
      <c r="Q807" s="1006"/>
    </row>
    <row r="808" spans="15:17" s="390" customFormat="1">
      <c r="O808" s="1006"/>
      <c r="P808" s="1006"/>
      <c r="Q808" s="1006"/>
    </row>
    <row r="809" spans="15:17" s="390" customFormat="1">
      <c r="O809" s="1006"/>
      <c r="P809" s="1006"/>
      <c r="Q809" s="1006"/>
    </row>
    <row r="810" spans="15:17" s="390" customFormat="1">
      <c r="O810" s="1006"/>
      <c r="P810" s="1006"/>
      <c r="Q810" s="1006"/>
    </row>
    <row r="811" spans="15:17" s="390" customFormat="1">
      <c r="O811" s="1006"/>
      <c r="P811" s="1006"/>
      <c r="Q811" s="1006"/>
    </row>
    <row r="812" spans="15:17" s="390" customFormat="1">
      <c r="O812" s="1006"/>
      <c r="P812" s="1006"/>
      <c r="Q812" s="1006"/>
    </row>
    <row r="813" spans="15:17" s="390" customFormat="1">
      <c r="O813" s="1006"/>
      <c r="P813" s="1006"/>
      <c r="Q813" s="1006"/>
    </row>
    <row r="814" spans="15:17" s="390" customFormat="1">
      <c r="O814" s="1006"/>
      <c r="P814" s="1006"/>
      <c r="Q814" s="1006"/>
    </row>
    <row r="815" spans="15:17" s="390" customFormat="1">
      <c r="O815" s="1006"/>
      <c r="P815" s="1006"/>
      <c r="Q815" s="1006"/>
    </row>
    <row r="816" spans="15:17" s="390" customFormat="1">
      <c r="O816" s="1006"/>
      <c r="P816" s="1006"/>
      <c r="Q816" s="1006"/>
    </row>
    <row r="817" spans="15:17" s="390" customFormat="1">
      <c r="O817" s="1006"/>
      <c r="P817" s="1006"/>
      <c r="Q817" s="1006"/>
    </row>
    <row r="818" spans="15:17" s="390" customFormat="1">
      <c r="O818" s="1006"/>
      <c r="P818" s="1006"/>
      <c r="Q818" s="1006"/>
    </row>
    <row r="819" spans="15:17" s="390" customFormat="1">
      <c r="O819" s="1006"/>
      <c r="P819" s="1006"/>
      <c r="Q819" s="1006"/>
    </row>
    <row r="820" spans="15:17" s="390" customFormat="1">
      <c r="O820" s="1006"/>
      <c r="P820" s="1006"/>
      <c r="Q820" s="1006"/>
    </row>
    <row r="821" spans="15:17" s="390" customFormat="1">
      <c r="O821" s="1006"/>
      <c r="P821" s="1006"/>
      <c r="Q821" s="1006"/>
    </row>
    <row r="822" spans="15:17" s="390" customFormat="1">
      <c r="O822" s="1006"/>
      <c r="P822" s="1006"/>
      <c r="Q822" s="1006"/>
    </row>
    <row r="823" spans="15:17" s="390" customFormat="1">
      <c r="O823" s="1006"/>
      <c r="P823" s="1006"/>
      <c r="Q823" s="1006"/>
    </row>
    <row r="824" spans="15:17" s="390" customFormat="1">
      <c r="O824" s="1006"/>
      <c r="P824" s="1006"/>
      <c r="Q824" s="1006"/>
    </row>
    <row r="825" spans="15:17" s="390" customFormat="1">
      <c r="O825" s="1006"/>
      <c r="P825" s="1006"/>
      <c r="Q825" s="1006"/>
    </row>
    <row r="826" spans="15:17" s="390" customFormat="1">
      <c r="O826" s="1006"/>
      <c r="P826" s="1006"/>
      <c r="Q826" s="1006"/>
    </row>
    <row r="827" spans="15:17" s="390" customFormat="1">
      <c r="O827" s="1006"/>
      <c r="P827" s="1006"/>
      <c r="Q827" s="1006"/>
    </row>
    <row r="828" spans="15:17" s="390" customFormat="1">
      <c r="O828" s="1006"/>
      <c r="P828" s="1006"/>
      <c r="Q828" s="1006"/>
    </row>
    <row r="829" spans="15:17" s="390" customFormat="1">
      <c r="O829" s="1006"/>
      <c r="P829" s="1006"/>
      <c r="Q829" s="1006"/>
    </row>
    <row r="830" spans="15:17" s="390" customFormat="1">
      <c r="O830" s="1006"/>
      <c r="P830" s="1006"/>
      <c r="Q830" s="1006"/>
    </row>
    <row r="831" spans="15:17" s="390" customFormat="1">
      <c r="O831" s="1006"/>
      <c r="P831" s="1006"/>
      <c r="Q831" s="1006"/>
    </row>
    <row r="832" spans="15:17" s="390" customFormat="1">
      <c r="O832" s="1006"/>
      <c r="P832" s="1006"/>
      <c r="Q832" s="1006"/>
    </row>
    <row r="833" spans="15:17" s="390" customFormat="1">
      <c r="O833" s="1006"/>
      <c r="P833" s="1006"/>
      <c r="Q833" s="1006"/>
    </row>
    <row r="834" spans="15:17" s="390" customFormat="1">
      <c r="O834" s="1006"/>
      <c r="P834" s="1006"/>
      <c r="Q834" s="1006"/>
    </row>
    <row r="835" spans="15:17" s="390" customFormat="1">
      <c r="O835" s="1006"/>
      <c r="P835" s="1006"/>
      <c r="Q835" s="1006"/>
    </row>
    <row r="836" spans="15:17" s="390" customFormat="1">
      <c r="O836" s="1006"/>
      <c r="P836" s="1006"/>
      <c r="Q836" s="1006"/>
    </row>
    <row r="837" spans="15:17" s="390" customFormat="1">
      <c r="O837" s="1006"/>
      <c r="P837" s="1006"/>
      <c r="Q837" s="1006"/>
    </row>
    <row r="838" spans="15:17" s="390" customFormat="1">
      <c r="O838" s="1006"/>
      <c r="P838" s="1006"/>
      <c r="Q838" s="1006"/>
    </row>
    <row r="839" spans="15:17" s="390" customFormat="1">
      <c r="O839" s="1006"/>
      <c r="P839" s="1006"/>
      <c r="Q839" s="1006"/>
    </row>
    <row r="840" spans="15:17" s="390" customFormat="1">
      <c r="O840" s="1006"/>
      <c r="P840" s="1006"/>
      <c r="Q840" s="1006"/>
    </row>
    <row r="841" spans="15:17" s="390" customFormat="1">
      <c r="O841" s="1006"/>
      <c r="P841" s="1006"/>
      <c r="Q841" s="1006"/>
    </row>
    <row r="842" spans="15:17" s="390" customFormat="1">
      <c r="O842" s="1006"/>
      <c r="P842" s="1006"/>
      <c r="Q842" s="1006"/>
    </row>
    <row r="843" spans="15:17" s="390" customFormat="1">
      <c r="O843" s="1006"/>
      <c r="P843" s="1006"/>
      <c r="Q843" s="1006"/>
    </row>
    <row r="844" spans="15:17" s="390" customFormat="1">
      <c r="O844" s="1006"/>
      <c r="P844" s="1006"/>
      <c r="Q844" s="1006"/>
    </row>
    <row r="845" spans="15:17" s="390" customFormat="1">
      <c r="O845" s="1006"/>
      <c r="P845" s="1006"/>
      <c r="Q845" s="1006"/>
    </row>
    <row r="846" spans="15:17" s="390" customFormat="1">
      <c r="O846" s="1006"/>
      <c r="P846" s="1006"/>
      <c r="Q846" s="1006"/>
    </row>
    <row r="847" spans="15:17" s="390" customFormat="1">
      <c r="O847" s="1006"/>
      <c r="P847" s="1006"/>
      <c r="Q847" s="1006"/>
    </row>
    <row r="848" spans="15:17" s="390" customFormat="1">
      <c r="O848" s="1006"/>
      <c r="P848" s="1006"/>
      <c r="Q848" s="1006"/>
    </row>
    <row r="849" spans="15:17" s="390" customFormat="1">
      <c r="O849" s="1006"/>
      <c r="P849" s="1006"/>
      <c r="Q849" s="1006"/>
    </row>
    <row r="850" spans="15:17" s="390" customFormat="1">
      <c r="O850" s="1006"/>
      <c r="P850" s="1006"/>
      <c r="Q850" s="1006"/>
    </row>
    <row r="851" spans="15:17" s="390" customFormat="1">
      <c r="O851" s="1006"/>
      <c r="P851" s="1006"/>
      <c r="Q851" s="1006"/>
    </row>
    <row r="852" spans="15:17" s="390" customFormat="1">
      <c r="O852" s="1006"/>
      <c r="P852" s="1006"/>
      <c r="Q852" s="1006"/>
    </row>
    <row r="853" spans="15:17" s="390" customFormat="1">
      <c r="O853" s="1006"/>
      <c r="P853" s="1006"/>
      <c r="Q853" s="1006"/>
    </row>
    <row r="854" spans="15:17" s="390" customFormat="1">
      <c r="O854" s="1006"/>
      <c r="P854" s="1006"/>
      <c r="Q854" s="1006"/>
    </row>
    <row r="855" spans="15:17" s="390" customFormat="1">
      <c r="O855" s="1006"/>
      <c r="P855" s="1006"/>
      <c r="Q855" s="1006"/>
    </row>
    <row r="856" spans="15:17" s="390" customFormat="1">
      <c r="O856" s="1006"/>
      <c r="P856" s="1006"/>
      <c r="Q856" s="1006"/>
    </row>
    <row r="857" spans="15:17" s="390" customFormat="1">
      <c r="O857" s="1006"/>
      <c r="P857" s="1006"/>
      <c r="Q857" s="1006"/>
    </row>
    <row r="858" spans="15:17" s="390" customFormat="1">
      <c r="O858" s="1006"/>
      <c r="P858" s="1006"/>
      <c r="Q858" s="1006"/>
    </row>
    <row r="859" spans="15:17" s="390" customFormat="1">
      <c r="O859" s="1006"/>
      <c r="P859" s="1006"/>
      <c r="Q859" s="1006"/>
    </row>
    <row r="860" spans="15:17" s="390" customFormat="1">
      <c r="O860" s="1006"/>
      <c r="P860" s="1006"/>
      <c r="Q860" s="1006"/>
    </row>
    <row r="861" spans="15:17" s="390" customFormat="1">
      <c r="O861" s="1006"/>
      <c r="P861" s="1006"/>
      <c r="Q861" s="1006"/>
    </row>
    <row r="862" spans="15:17" s="390" customFormat="1">
      <c r="O862" s="1006"/>
      <c r="P862" s="1006"/>
      <c r="Q862" s="1006"/>
    </row>
    <row r="863" spans="15:17" s="390" customFormat="1">
      <c r="O863" s="1006"/>
      <c r="P863" s="1006"/>
      <c r="Q863" s="1006"/>
    </row>
    <row r="864" spans="15:17" s="390" customFormat="1">
      <c r="O864" s="1006"/>
      <c r="P864" s="1006"/>
      <c r="Q864" s="1006"/>
    </row>
    <row r="865" spans="15:17" s="390" customFormat="1">
      <c r="O865" s="1006"/>
      <c r="P865" s="1006"/>
      <c r="Q865" s="1006"/>
    </row>
    <row r="866" spans="15:17" s="390" customFormat="1">
      <c r="O866" s="1006"/>
      <c r="P866" s="1006"/>
      <c r="Q866" s="1006"/>
    </row>
    <row r="867" spans="15:17" s="390" customFormat="1">
      <c r="O867" s="1006"/>
      <c r="P867" s="1006"/>
      <c r="Q867" s="1006"/>
    </row>
    <row r="868" spans="15:17" s="390" customFormat="1">
      <c r="O868" s="1006"/>
      <c r="P868" s="1006"/>
      <c r="Q868" s="1006"/>
    </row>
    <row r="869" spans="15:17" s="390" customFormat="1">
      <c r="O869" s="1006"/>
      <c r="P869" s="1006"/>
      <c r="Q869" s="1006"/>
    </row>
    <row r="870" spans="15:17" s="390" customFormat="1">
      <c r="O870" s="1006"/>
      <c r="P870" s="1006"/>
      <c r="Q870" s="1006"/>
    </row>
    <row r="871" spans="15:17" s="390" customFormat="1">
      <c r="O871" s="1006"/>
      <c r="P871" s="1006"/>
      <c r="Q871" s="1006"/>
    </row>
    <row r="872" spans="15:17" s="390" customFormat="1">
      <c r="O872" s="1006"/>
      <c r="P872" s="1006"/>
      <c r="Q872" s="1006"/>
    </row>
    <row r="873" spans="15:17" s="390" customFormat="1">
      <c r="O873" s="1006"/>
      <c r="P873" s="1006"/>
      <c r="Q873" s="1006"/>
    </row>
    <row r="874" spans="15:17" s="390" customFormat="1">
      <c r="O874" s="1006"/>
      <c r="P874" s="1006"/>
      <c r="Q874" s="1006"/>
    </row>
    <row r="875" spans="15:17" s="390" customFormat="1">
      <c r="O875" s="1006"/>
      <c r="P875" s="1006"/>
      <c r="Q875" s="1006"/>
    </row>
    <row r="876" spans="15:17" s="390" customFormat="1">
      <c r="O876" s="1006"/>
      <c r="P876" s="1006"/>
      <c r="Q876" s="1006"/>
    </row>
    <row r="877" spans="15:17" s="390" customFormat="1">
      <c r="O877" s="1006"/>
      <c r="P877" s="1006"/>
      <c r="Q877" s="1006"/>
    </row>
    <row r="878" spans="15:17" s="390" customFormat="1">
      <c r="O878" s="1006"/>
      <c r="P878" s="1006"/>
      <c r="Q878" s="1006"/>
    </row>
    <row r="879" spans="15:17" s="390" customFormat="1">
      <c r="O879" s="1006"/>
      <c r="P879" s="1006"/>
      <c r="Q879" s="1006"/>
    </row>
    <row r="880" spans="15:17" s="390" customFormat="1">
      <c r="O880" s="1006"/>
      <c r="P880" s="1006"/>
      <c r="Q880" s="1006"/>
    </row>
    <row r="881" spans="15:17" s="390" customFormat="1">
      <c r="O881" s="1006"/>
      <c r="P881" s="1006"/>
      <c r="Q881" s="1006"/>
    </row>
    <row r="882" spans="15:17" s="390" customFormat="1">
      <c r="O882" s="1006"/>
      <c r="P882" s="1006"/>
      <c r="Q882" s="1006"/>
    </row>
    <row r="883" spans="15:17" s="390" customFormat="1">
      <c r="O883" s="1006"/>
      <c r="P883" s="1006"/>
      <c r="Q883" s="1006"/>
    </row>
    <row r="884" spans="15:17" s="390" customFormat="1">
      <c r="O884" s="1006"/>
      <c r="P884" s="1006"/>
      <c r="Q884" s="1006"/>
    </row>
    <row r="885" spans="15:17" s="390" customFormat="1">
      <c r="O885" s="1006"/>
      <c r="P885" s="1006"/>
      <c r="Q885" s="1006"/>
    </row>
    <row r="886" spans="15:17" s="390" customFormat="1">
      <c r="O886" s="1006"/>
      <c r="P886" s="1006"/>
      <c r="Q886" s="1006"/>
    </row>
    <row r="887" spans="15:17" s="390" customFormat="1">
      <c r="O887" s="1006"/>
      <c r="P887" s="1006"/>
      <c r="Q887" s="1006"/>
    </row>
    <row r="888" spans="15:17" s="390" customFormat="1">
      <c r="O888" s="1006"/>
      <c r="P888" s="1006"/>
      <c r="Q888" s="1006"/>
    </row>
    <row r="889" spans="15:17" s="390" customFormat="1">
      <c r="O889" s="1006"/>
      <c r="P889" s="1006"/>
      <c r="Q889" s="1006"/>
    </row>
    <row r="890" spans="15:17" s="390" customFormat="1">
      <c r="O890" s="1006"/>
      <c r="P890" s="1006"/>
      <c r="Q890" s="1006"/>
    </row>
    <row r="891" spans="15:17" s="390" customFormat="1">
      <c r="O891" s="1006"/>
      <c r="P891" s="1006"/>
      <c r="Q891" s="1006"/>
    </row>
    <row r="892" spans="15:17" s="390" customFormat="1">
      <c r="O892" s="1006"/>
      <c r="P892" s="1006"/>
      <c r="Q892" s="1006"/>
    </row>
    <row r="893" spans="15:17" s="390" customFormat="1">
      <c r="O893" s="1006"/>
      <c r="P893" s="1006"/>
      <c r="Q893" s="1006"/>
    </row>
    <row r="894" spans="15:17" s="390" customFormat="1">
      <c r="O894" s="1006"/>
      <c r="P894" s="1006"/>
      <c r="Q894" s="1006"/>
    </row>
    <row r="895" spans="15:17" s="390" customFormat="1">
      <c r="O895" s="1006"/>
      <c r="P895" s="1006"/>
      <c r="Q895" s="1006"/>
    </row>
    <row r="896" spans="15:17" s="390" customFormat="1">
      <c r="O896" s="1006"/>
      <c r="P896" s="1006"/>
      <c r="Q896" s="1006"/>
    </row>
    <row r="897" spans="15:17" s="390" customFormat="1">
      <c r="O897" s="1006"/>
      <c r="P897" s="1006"/>
      <c r="Q897" s="1006"/>
    </row>
    <row r="898" spans="15:17" s="390" customFormat="1">
      <c r="O898" s="1006"/>
      <c r="P898" s="1006"/>
      <c r="Q898" s="1006"/>
    </row>
    <row r="899" spans="15:17" s="390" customFormat="1">
      <c r="O899" s="1006"/>
      <c r="P899" s="1006"/>
      <c r="Q899" s="1006"/>
    </row>
    <row r="900" spans="15:17" s="390" customFormat="1">
      <c r="O900" s="1006"/>
      <c r="P900" s="1006"/>
      <c r="Q900" s="1006"/>
    </row>
    <row r="901" spans="15:17" s="390" customFormat="1">
      <c r="O901" s="1006"/>
      <c r="P901" s="1006"/>
      <c r="Q901" s="1006"/>
    </row>
    <row r="902" spans="15:17" s="390" customFormat="1">
      <c r="O902" s="1006"/>
      <c r="P902" s="1006"/>
      <c r="Q902" s="1006"/>
    </row>
    <row r="903" spans="15:17" s="390" customFormat="1">
      <c r="O903" s="1006"/>
      <c r="P903" s="1006"/>
      <c r="Q903" s="1006"/>
    </row>
    <row r="904" spans="15:17" s="390" customFormat="1">
      <c r="O904" s="1006"/>
      <c r="P904" s="1006"/>
      <c r="Q904" s="1006"/>
    </row>
    <row r="905" spans="15:17" s="390" customFormat="1">
      <c r="O905" s="1006"/>
      <c r="P905" s="1006"/>
      <c r="Q905" s="1006"/>
    </row>
    <row r="906" spans="15:17" s="390" customFormat="1">
      <c r="O906" s="1006"/>
      <c r="P906" s="1006"/>
      <c r="Q906" s="1006"/>
    </row>
    <row r="907" spans="15:17" s="390" customFormat="1">
      <c r="O907" s="1006"/>
      <c r="P907" s="1006"/>
      <c r="Q907" s="1006"/>
    </row>
    <row r="908" spans="15:17" s="390" customFormat="1">
      <c r="O908" s="1006"/>
      <c r="P908" s="1006"/>
      <c r="Q908" s="1006"/>
    </row>
    <row r="909" spans="15:17" s="390" customFormat="1">
      <c r="O909" s="1006"/>
      <c r="P909" s="1006"/>
      <c r="Q909" s="1006"/>
    </row>
    <row r="910" spans="15:17" s="390" customFormat="1">
      <c r="O910" s="1006"/>
      <c r="P910" s="1006"/>
      <c r="Q910" s="1006"/>
    </row>
    <row r="911" spans="15:17" s="390" customFormat="1">
      <c r="O911" s="1006"/>
      <c r="P911" s="1006"/>
      <c r="Q911" s="1006"/>
    </row>
    <row r="912" spans="15:17" s="390" customFormat="1">
      <c r="O912" s="1006"/>
      <c r="P912" s="1006"/>
      <c r="Q912" s="1006"/>
    </row>
    <row r="913" spans="15:17" s="390" customFormat="1">
      <c r="O913" s="1006"/>
      <c r="P913" s="1006"/>
      <c r="Q913" s="1006"/>
    </row>
    <row r="914" spans="15:17" s="390" customFormat="1">
      <c r="O914" s="1006"/>
      <c r="P914" s="1006"/>
      <c r="Q914" s="1006"/>
    </row>
    <row r="915" spans="15:17" s="390" customFormat="1">
      <c r="O915" s="1006"/>
      <c r="P915" s="1006"/>
      <c r="Q915" s="1006"/>
    </row>
    <row r="916" spans="15:17" s="390" customFormat="1">
      <c r="O916" s="1006"/>
      <c r="P916" s="1006"/>
      <c r="Q916" s="1006"/>
    </row>
    <row r="917" spans="15:17" s="390" customFormat="1">
      <c r="O917" s="1006"/>
      <c r="P917" s="1006"/>
      <c r="Q917" s="1006"/>
    </row>
    <row r="918" spans="15:17" s="390" customFormat="1">
      <c r="O918" s="1006"/>
      <c r="P918" s="1006"/>
      <c r="Q918" s="1006"/>
    </row>
    <row r="919" spans="15:17" s="390" customFormat="1">
      <c r="O919" s="1006"/>
      <c r="P919" s="1006"/>
      <c r="Q919" s="1006"/>
    </row>
    <row r="920" spans="15:17" s="390" customFormat="1">
      <c r="O920" s="1006"/>
      <c r="P920" s="1006"/>
      <c r="Q920" s="1006"/>
    </row>
    <row r="921" spans="15:17" s="390" customFormat="1">
      <c r="O921" s="1006"/>
      <c r="P921" s="1006"/>
      <c r="Q921" s="1006"/>
    </row>
    <row r="922" spans="15:17" s="390" customFormat="1">
      <c r="O922" s="1006"/>
      <c r="P922" s="1006"/>
      <c r="Q922" s="1006"/>
    </row>
    <row r="923" spans="15:17" s="390" customFormat="1">
      <c r="O923" s="1006"/>
      <c r="P923" s="1006"/>
      <c r="Q923" s="1006"/>
    </row>
    <row r="924" spans="15:17" s="390" customFormat="1">
      <c r="O924" s="1006"/>
      <c r="P924" s="1006"/>
      <c r="Q924" s="1006"/>
    </row>
    <row r="925" spans="15:17" s="390" customFormat="1">
      <c r="O925" s="1006"/>
      <c r="P925" s="1006"/>
      <c r="Q925" s="1006"/>
    </row>
    <row r="926" spans="15:17" s="390" customFormat="1">
      <c r="O926" s="1006"/>
      <c r="P926" s="1006"/>
      <c r="Q926" s="1006"/>
    </row>
    <row r="927" spans="15:17" s="390" customFormat="1">
      <c r="O927" s="1006"/>
      <c r="P927" s="1006"/>
      <c r="Q927" s="1006"/>
    </row>
    <row r="928" spans="15:17" s="390" customFormat="1">
      <c r="O928" s="1006"/>
      <c r="P928" s="1006"/>
      <c r="Q928" s="1006"/>
    </row>
    <row r="929" spans="15:17" s="390" customFormat="1">
      <c r="O929" s="1006"/>
      <c r="P929" s="1006"/>
      <c r="Q929" s="1006"/>
    </row>
    <row r="930" spans="15:17" s="390" customFormat="1">
      <c r="O930" s="1006"/>
      <c r="P930" s="1006"/>
      <c r="Q930" s="1006"/>
    </row>
    <row r="931" spans="15:17" s="390" customFormat="1">
      <c r="O931" s="1006"/>
      <c r="P931" s="1006"/>
      <c r="Q931" s="1006"/>
    </row>
    <row r="932" spans="15:17" s="390" customFormat="1">
      <c r="O932" s="1006"/>
      <c r="P932" s="1006"/>
      <c r="Q932" s="1006"/>
    </row>
    <row r="933" spans="15:17" s="390" customFormat="1">
      <c r="O933" s="1006"/>
      <c r="P933" s="1006"/>
      <c r="Q933" s="1006"/>
    </row>
    <row r="934" spans="15:17" s="390" customFormat="1">
      <c r="O934" s="1006"/>
      <c r="P934" s="1006"/>
      <c r="Q934" s="1006"/>
    </row>
    <row r="935" spans="15:17" s="390" customFormat="1">
      <c r="O935" s="1006"/>
      <c r="P935" s="1006"/>
      <c r="Q935" s="1006"/>
    </row>
    <row r="936" spans="15:17" s="390" customFormat="1">
      <c r="O936" s="1006"/>
      <c r="P936" s="1006"/>
      <c r="Q936" s="1006"/>
    </row>
    <row r="937" spans="15:17" s="390" customFormat="1">
      <c r="O937" s="1006"/>
      <c r="P937" s="1006"/>
      <c r="Q937" s="1006"/>
    </row>
    <row r="938" spans="15:17" s="390" customFormat="1">
      <c r="O938" s="1006"/>
      <c r="P938" s="1006"/>
      <c r="Q938" s="1006"/>
    </row>
    <row r="939" spans="15:17" s="390" customFormat="1">
      <c r="O939" s="1006"/>
      <c r="P939" s="1006"/>
      <c r="Q939" s="1006"/>
    </row>
    <row r="940" spans="15:17" s="390" customFormat="1">
      <c r="O940" s="1006"/>
      <c r="P940" s="1006"/>
      <c r="Q940" s="1006"/>
    </row>
    <row r="941" spans="15:17" s="390" customFormat="1">
      <c r="O941" s="1006"/>
      <c r="P941" s="1006"/>
      <c r="Q941" s="1006"/>
    </row>
    <row r="942" spans="15:17" s="390" customFormat="1">
      <c r="O942" s="1006"/>
      <c r="P942" s="1006"/>
      <c r="Q942" s="1006"/>
    </row>
    <row r="943" spans="15:17" s="390" customFormat="1">
      <c r="O943" s="1006"/>
      <c r="P943" s="1006"/>
      <c r="Q943" s="1006"/>
    </row>
    <row r="944" spans="15:17" s="390" customFormat="1">
      <c r="O944" s="1006"/>
      <c r="P944" s="1006"/>
      <c r="Q944" s="1006"/>
    </row>
    <row r="945" spans="15:17" s="390" customFormat="1">
      <c r="O945" s="1006"/>
      <c r="P945" s="1006"/>
      <c r="Q945" s="1006"/>
    </row>
    <row r="946" spans="15:17" s="390" customFormat="1">
      <c r="O946" s="1006"/>
      <c r="P946" s="1006"/>
      <c r="Q946" s="1006"/>
    </row>
    <row r="947" spans="15:17" s="390" customFormat="1">
      <c r="O947" s="1006"/>
      <c r="P947" s="1006"/>
      <c r="Q947" s="1006"/>
    </row>
    <row r="948" spans="15:17" s="390" customFormat="1">
      <c r="O948" s="1006"/>
      <c r="P948" s="1006"/>
      <c r="Q948" s="1006"/>
    </row>
    <row r="949" spans="15:17" s="390" customFormat="1">
      <c r="O949" s="1006"/>
      <c r="P949" s="1006"/>
      <c r="Q949" s="1006"/>
    </row>
    <row r="950" spans="15:17" s="390" customFormat="1">
      <c r="O950" s="1006"/>
      <c r="P950" s="1006"/>
      <c r="Q950" s="1006"/>
    </row>
    <row r="951" spans="15:17" s="390" customFormat="1">
      <c r="O951" s="1006"/>
      <c r="P951" s="1006"/>
      <c r="Q951" s="1006"/>
    </row>
    <row r="952" spans="15:17" s="390" customFormat="1">
      <c r="O952" s="1006"/>
      <c r="P952" s="1006"/>
      <c r="Q952" s="1006"/>
    </row>
    <row r="953" spans="15:17" s="390" customFormat="1">
      <c r="O953" s="1006"/>
      <c r="P953" s="1006"/>
      <c r="Q953" s="1006"/>
    </row>
    <row r="954" spans="15:17" s="390" customFormat="1">
      <c r="O954" s="1006"/>
      <c r="P954" s="1006"/>
      <c r="Q954" s="1006"/>
    </row>
    <row r="955" spans="15:17" s="390" customFormat="1">
      <c r="O955" s="1006"/>
      <c r="P955" s="1006"/>
      <c r="Q955" s="1006"/>
    </row>
    <row r="956" spans="15:17" s="390" customFormat="1">
      <c r="O956" s="1006"/>
      <c r="P956" s="1006"/>
      <c r="Q956" s="1006"/>
    </row>
    <row r="957" spans="15:17" s="390" customFormat="1">
      <c r="O957" s="1006"/>
      <c r="P957" s="1006"/>
      <c r="Q957" s="1006"/>
    </row>
    <row r="958" spans="15:17" s="390" customFormat="1">
      <c r="O958" s="1006"/>
      <c r="P958" s="1006"/>
      <c r="Q958" s="1006"/>
    </row>
    <row r="959" spans="15:17" s="390" customFormat="1">
      <c r="O959" s="1006"/>
      <c r="P959" s="1006"/>
      <c r="Q959" s="1006"/>
    </row>
    <row r="960" spans="15:17" s="390" customFormat="1">
      <c r="O960" s="1006"/>
      <c r="P960" s="1006"/>
      <c r="Q960" s="1006"/>
    </row>
    <row r="961" spans="15:17" s="390" customFormat="1">
      <c r="O961" s="1006"/>
      <c r="P961" s="1006"/>
      <c r="Q961" s="1006"/>
    </row>
    <row r="962" spans="15:17" s="390" customFormat="1">
      <c r="O962" s="1006"/>
      <c r="P962" s="1006"/>
      <c r="Q962" s="1006"/>
    </row>
    <row r="963" spans="15:17" s="390" customFormat="1">
      <c r="O963" s="1006"/>
      <c r="P963" s="1006"/>
      <c r="Q963" s="1006"/>
    </row>
    <row r="964" spans="15:17" s="390" customFormat="1">
      <c r="O964" s="1006"/>
      <c r="P964" s="1006"/>
      <c r="Q964" s="1006"/>
    </row>
    <row r="965" spans="15:17" s="390" customFormat="1">
      <c r="O965" s="1006"/>
      <c r="P965" s="1006"/>
      <c r="Q965" s="1006"/>
    </row>
    <row r="966" spans="15:17" s="390" customFormat="1">
      <c r="O966" s="1006"/>
      <c r="P966" s="1006"/>
      <c r="Q966" s="1006"/>
    </row>
    <row r="967" spans="15:17" s="390" customFormat="1">
      <c r="O967" s="1006"/>
      <c r="P967" s="1006"/>
      <c r="Q967" s="1006"/>
    </row>
    <row r="968" spans="15:17" s="390" customFormat="1">
      <c r="O968" s="1006"/>
      <c r="P968" s="1006"/>
      <c r="Q968" s="1006"/>
    </row>
    <row r="969" spans="15:17" s="390" customFormat="1">
      <c r="O969" s="1006"/>
      <c r="P969" s="1006"/>
      <c r="Q969" s="1006"/>
    </row>
    <row r="970" spans="15:17" s="390" customFormat="1">
      <c r="O970" s="1006"/>
      <c r="P970" s="1006"/>
      <c r="Q970" s="1006"/>
    </row>
    <row r="971" spans="15:17" s="390" customFormat="1">
      <c r="O971" s="1006"/>
      <c r="P971" s="1006"/>
      <c r="Q971" s="1006"/>
    </row>
    <row r="972" spans="15:17" s="390" customFormat="1">
      <c r="O972" s="1006"/>
      <c r="P972" s="1006"/>
      <c r="Q972" s="1006"/>
    </row>
    <row r="973" spans="15:17" s="390" customFormat="1">
      <c r="O973" s="1006"/>
      <c r="P973" s="1006"/>
      <c r="Q973" s="1006"/>
    </row>
    <row r="974" spans="15:17" s="390" customFormat="1">
      <c r="O974" s="1006"/>
      <c r="P974" s="1006"/>
      <c r="Q974" s="1006"/>
    </row>
    <row r="975" spans="15:17" s="390" customFormat="1">
      <c r="O975" s="1006"/>
      <c r="P975" s="1006"/>
      <c r="Q975" s="1006"/>
    </row>
    <row r="976" spans="15:17" s="390" customFormat="1">
      <c r="O976" s="1006"/>
      <c r="P976" s="1006"/>
      <c r="Q976" s="1006"/>
    </row>
    <row r="977" spans="15:17" s="390" customFormat="1">
      <c r="O977" s="1006"/>
      <c r="P977" s="1006"/>
      <c r="Q977" s="1006"/>
    </row>
    <row r="978" spans="15:17" s="390" customFormat="1">
      <c r="O978" s="1006"/>
      <c r="P978" s="1006"/>
      <c r="Q978" s="1006"/>
    </row>
    <row r="979" spans="15:17" s="390" customFormat="1">
      <c r="O979" s="1006"/>
      <c r="P979" s="1006"/>
      <c r="Q979" s="1006"/>
    </row>
    <row r="980" spans="15:17" s="390" customFormat="1">
      <c r="O980" s="1006"/>
      <c r="P980" s="1006"/>
      <c r="Q980" s="1006"/>
    </row>
    <row r="981" spans="15:17" s="390" customFormat="1">
      <c r="O981" s="1006"/>
      <c r="P981" s="1006"/>
      <c r="Q981" s="1006"/>
    </row>
    <row r="982" spans="15:17" s="390" customFormat="1">
      <c r="O982" s="1006"/>
      <c r="P982" s="1006"/>
      <c r="Q982" s="1006"/>
    </row>
    <row r="983" spans="15:17" s="390" customFormat="1">
      <c r="O983" s="1006"/>
      <c r="P983" s="1006"/>
      <c r="Q983" s="1006"/>
    </row>
    <row r="984" spans="15:17" s="390" customFormat="1">
      <c r="O984" s="1006"/>
      <c r="P984" s="1006"/>
      <c r="Q984" s="1006"/>
    </row>
    <row r="985" spans="15:17" s="390" customFormat="1">
      <c r="O985" s="1006"/>
      <c r="P985" s="1006"/>
      <c r="Q985" s="1006"/>
    </row>
    <row r="986" spans="15:17" s="390" customFormat="1">
      <c r="O986" s="1006"/>
      <c r="P986" s="1006"/>
      <c r="Q986" s="1006"/>
    </row>
    <row r="987" spans="15:17" s="390" customFormat="1">
      <c r="O987" s="1006"/>
      <c r="P987" s="1006"/>
      <c r="Q987" s="1006"/>
    </row>
    <row r="988" spans="15:17" s="390" customFormat="1">
      <c r="O988" s="1006"/>
      <c r="P988" s="1006"/>
      <c r="Q988" s="1006"/>
    </row>
    <row r="989" spans="15:17" s="390" customFormat="1">
      <c r="O989" s="1006"/>
      <c r="P989" s="1006"/>
      <c r="Q989" s="1006"/>
    </row>
    <row r="990" spans="15:17" s="390" customFormat="1">
      <c r="O990" s="1006"/>
      <c r="P990" s="1006"/>
      <c r="Q990" s="1006"/>
    </row>
    <row r="991" spans="15:17" s="390" customFormat="1">
      <c r="O991" s="1006"/>
      <c r="P991" s="1006"/>
      <c r="Q991" s="1006"/>
    </row>
    <row r="992" spans="15:17" s="390" customFormat="1">
      <c r="O992" s="1006"/>
      <c r="P992" s="1006"/>
      <c r="Q992" s="1006"/>
    </row>
    <row r="993" spans="15:17" s="390" customFormat="1">
      <c r="O993" s="1006"/>
      <c r="P993" s="1006"/>
      <c r="Q993" s="1006"/>
    </row>
    <row r="994" spans="15:17" s="390" customFormat="1">
      <c r="O994" s="1006"/>
      <c r="P994" s="1006"/>
      <c r="Q994" s="1006"/>
    </row>
    <row r="995" spans="15:17" s="390" customFormat="1">
      <c r="O995" s="1006"/>
      <c r="P995" s="1006"/>
      <c r="Q995" s="1006"/>
    </row>
    <row r="996" spans="15:17" s="390" customFormat="1">
      <c r="O996" s="1006"/>
      <c r="P996" s="1006"/>
      <c r="Q996" s="1006"/>
    </row>
    <row r="997" spans="15:17" s="390" customFormat="1">
      <c r="O997" s="1006"/>
      <c r="P997" s="1006"/>
      <c r="Q997" s="1006"/>
    </row>
    <row r="998" spans="15:17" s="390" customFormat="1">
      <c r="O998" s="1006"/>
      <c r="P998" s="1006"/>
      <c r="Q998" s="1006"/>
    </row>
    <row r="999" spans="15:17" s="390" customFormat="1">
      <c r="O999" s="1006"/>
      <c r="P999" s="1006"/>
      <c r="Q999" s="1006"/>
    </row>
    <row r="1000" spans="15:17" s="390" customFormat="1">
      <c r="O1000" s="1006"/>
      <c r="P1000" s="1006"/>
      <c r="Q1000" s="1006"/>
    </row>
    <row r="1001" spans="15:17" s="390" customFormat="1">
      <c r="O1001" s="1006"/>
      <c r="P1001" s="1006"/>
      <c r="Q1001" s="1006"/>
    </row>
    <row r="1002" spans="15:17" s="390" customFormat="1">
      <c r="O1002" s="1006"/>
      <c r="P1002" s="1006"/>
      <c r="Q1002" s="1006"/>
    </row>
    <row r="1003" spans="15:17" s="390" customFormat="1">
      <c r="O1003" s="1006"/>
      <c r="P1003" s="1006"/>
      <c r="Q1003" s="1006"/>
    </row>
    <row r="1004" spans="15:17" s="390" customFormat="1">
      <c r="O1004" s="1006"/>
      <c r="P1004" s="1006"/>
      <c r="Q1004" s="1006"/>
    </row>
    <row r="1005" spans="15:17" s="390" customFormat="1">
      <c r="O1005" s="1006"/>
      <c r="P1005" s="1006"/>
      <c r="Q1005" s="1006"/>
    </row>
    <row r="1006" spans="15:17" s="390" customFormat="1">
      <c r="O1006" s="1006"/>
      <c r="P1006" s="1006"/>
      <c r="Q1006" s="1006"/>
    </row>
    <row r="1007" spans="15:17" s="390" customFormat="1">
      <c r="O1007" s="1006"/>
      <c r="P1007" s="1006"/>
      <c r="Q1007" s="1006"/>
    </row>
    <row r="1008" spans="15:17" s="390" customFormat="1">
      <c r="O1008" s="1006"/>
      <c r="P1008" s="1006"/>
      <c r="Q1008" s="1006"/>
    </row>
    <row r="1009" spans="15:17" s="390" customFormat="1">
      <c r="O1009" s="1006"/>
      <c r="P1009" s="1006"/>
      <c r="Q1009" s="1006"/>
    </row>
    <row r="1010" spans="15:17" s="390" customFormat="1">
      <c r="O1010" s="1006"/>
      <c r="P1010" s="1006"/>
      <c r="Q1010" s="1006"/>
    </row>
    <row r="1011" spans="15:17" s="390" customFormat="1">
      <c r="O1011" s="1006"/>
      <c r="P1011" s="1006"/>
      <c r="Q1011" s="1006"/>
    </row>
    <row r="1012" spans="15:17" s="390" customFormat="1">
      <c r="O1012" s="1006"/>
      <c r="P1012" s="1006"/>
      <c r="Q1012" s="1006"/>
    </row>
    <row r="1013" spans="15:17" s="390" customFormat="1">
      <c r="O1013" s="1006"/>
      <c r="P1013" s="1006"/>
      <c r="Q1013" s="1006"/>
    </row>
    <row r="1014" spans="15:17" s="390" customFormat="1">
      <c r="O1014" s="1006"/>
      <c r="P1014" s="1006"/>
      <c r="Q1014" s="1006"/>
    </row>
    <row r="1015" spans="15:17" s="390" customFormat="1">
      <c r="O1015" s="1006"/>
      <c r="P1015" s="1006"/>
      <c r="Q1015" s="1006"/>
    </row>
    <row r="1016" spans="15:17" s="390" customFormat="1">
      <c r="O1016" s="1006"/>
      <c r="P1016" s="1006"/>
      <c r="Q1016" s="1006"/>
    </row>
    <row r="1017" spans="15:17" s="390" customFormat="1">
      <c r="O1017" s="1006"/>
      <c r="P1017" s="1006"/>
      <c r="Q1017" s="1006"/>
    </row>
    <row r="1018" spans="15:17" s="390" customFormat="1">
      <c r="O1018" s="1006"/>
      <c r="P1018" s="1006"/>
      <c r="Q1018" s="1006"/>
    </row>
    <row r="1019" spans="15:17" s="390" customFormat="1">
      <c r="O1019" s="1006"/>
      <c r="P1019" s="1006"/>
      <c r="Q1019" s="1006"/>
    </row>
    <row r="1020" spans="15:17" s="390" customFormat="1">
      <c r="O1020" s="1006"/>
      <c r="P1020" s="1006"/>
      <c r="Q1020" s="1006"/>
    </row>
    <row r="1021" spans="15:17" s="390" customFormat="1">
      <c r="O1021" s="1006"/>
      <c r="P1021" s="1006"/>
      <c r="Q1021" s="1006"/>
    </row>
    <row r="1022" spans="15:17" s="390" customFormat="1">
      <c r="O1022" s="1006"/>
      <c r="P1022" s="1006"/>
      <c r="Q1022" s="1006"/>
    </row>
    <row r="1023" spans="15:17" s="390" customFormat="1">
      <c r="O1023" s="1006"/>
      <c r="P1023" s="1006"/>
      <c r="Q1023" s="1006"/>
    </row>
    <row r="1024" spans="15:17" s="390" customFormat="1">
      <c r="O1024" s="1006"/>
      <c r="P1024" s="1006"/>
      <c r="Q1024" s="1006"/>
    </row>
    <row r="1025" spans="15:17" s="390" customFormat="1">
      <c r="O1025" s="1006"/>
      <c r="P1025" s="1006"/>
      <c r="Q1025" s="1006"/>
    </row>
    <row r="1026" spans="15:17" s="390" customFormat="1">
      <c r="O1026" s="1006"/>
      <c r="P1026" s="1006"/>
      <c r="Q1026" s="1006"/>
    </row>
    <row r="1027" spans="15:17" s="390" customFormat="1">
      <c r="O1027" s="1006"/>
      <c r="P1027" s="1006"/>
      <c r="Q1027" s="1006"/>
    </row>
    <row r="1028" spans="15:17" s="390" customFormat="1">
      <c r="O1028" s="1006"/>
      <c r="P1028" s="1006"/>
      <c r="Q1028" s="1006"/>
    </row>
    <row r="1029" spans="15:17" s="390" customFormat="1">
      <c r="O1029" s="1006"/>
      <c r="P1029" s="1006"/>
      <c r="Q1029" s="1006"/>
    </row>
    <row r="1030" spans="15:17" s="390" customFormat="1">
      <c r="O1030" s="1006"/>
      <c r="P1030" s="1006"/>
      <c r="Q1030" s="1006"/>
    </row>
    <row r="1031" spans="15:17" s="390" customFormat="1">
      <c r="O1031" s="1006"/>
      <c r="P1031" s="1006"/>
      <c r="Q1031" s="1006"/>
    </row>
    <row r="1032" spans="15:17" s="390" customFormat="1">
      <c r="O1032" s="1006"/>
      <c r="P1032" s="1006"/>
      <c r="Q1032" s="1006"/>
    </row>
    <row r="1033" spans="15:17" s="390" customFormat="1">
      <c r="O1033" s="1006"/>
      <c r="P1033" s="1006"/>
      <c r="Q1033" s="1006"/>
    </row>
    <row r="1034" spans="15:17" s="390" customFormat="1">
      <c r="O1034" s="1006"/>
      <c r="P1034" s="1006"/>
      <c r="Q1034" s="1006"/>
    </row>
    <row r="1035" spans="15:17" s="390" customFormat="1">
      <c r="O1035" s="1006"/>
      <c r="P1035" s="1006"/>
      <c r="Q1035" s="1006"/>
    </row>
    <row r="1036" spans="15:17" s="390" customFormat="1">
      <c r="O1036" s="1006"/>
      <c r="P1036" s="1006"/>
      <c r="Q1036" s="1006"/>
    </row>
    <row r="1037" spans="15:17" s="390" customFormat="1">
      <c r="O1037" s="1006"/>
      <c r="P1037" s="1006"/>
      <c r="Q1037" s="1006"/>
    </row>
    <row r="1038" spans="15:17" s="390" customFormat="1">
      <c r="O1038" s="1006"/>
      <c r="P1038" s="1006"/>
      <c r="Q1038" s="1006"/>
    </row>
    <row r="1039" spans="15:17" s="390" customFormat="1">
      <c r="O1039" s="1006"/>
      <c r="P1039" s="1006"/>
      <c r="Q1039" s="1006"/>
    </row>
    <row r="1040" spans="15:17" s="390" customFormat="1">
      <c r="O1040" s="1006"/>
      <c r="P1040" s="1006"/>
      <c r="Q1040" s="1006"/>
    </row>
    <row r="1041" spans="15:17" s="390" customFormat="1">
      <c r="O1041" s="1006"/>
      <c r="P1041" s="1006"/>
      <c r="Q1041" s="1006"/>
    </row>
    <row r="1042" spans="15:17" s="390" customFormat="1">
      <c r="O1042" s="1006"/>
      <c r="P1042" s="1006"/>
      <c r="Q1042" s="1006"/>
    </row>
    <row r="1043" spans="15:17" s="390" customFormat="1">
      <c r="O1043" s="1006"/>
      <c r="P1043" s="1006"/>
      <c r="Q1043" s="1006"/>
    </row>
    <row r="1044" spans="15:17" s="390" customFormat="1">
      <c r="O1044" s="1006"/>
      <c r="P1044" s="1006"/>
      <c r="Q1044" s="1006"/>
    </row>
    <row r="1045" spans="15:17" s="390" customFormat="1">
      <c r="O1045" s="1006"/>
      <c r="P1045" s="1006"/>
      <c r="Q1045" s="1006"/>
    </row>
    <row r="1046" spans="15:17" s="390" customFormat="1">
      <c r="O1046" s="1006"/>
      <c r="P1046" s="1006"/>
      <c r="Q1046" s="1006"/>
    </row>
    <row r="1047" spans="15:17" s="390" customFormat="1">
      <c r="O1047" s="1006"/>
      <c r="P1047" s="1006"/>
      <c r="Q1047" s="1006"/>
    </row>
    <row r="1048" spans="15:17" s="390" customFormat="1">
      <c r="O1048" s="1006"/>
      <c r="P1048" s="1006"/>
      <c r="Q1048" s="1006"/>
    </row>
    <row r="1049" spans="15:17" s="390" customFormat="1">
      <c r="O1049" s="1006"/>
      <c r="P1049" s="1006"/>
      <c r="Q1049" s="1006"/>
    </row>
    <row r="1050" spans="15:17" s="390" customFormat="1">
      <c r="O1050" s="1006"/>
      <c r="P1050" s="1006"/>
      <c r="Q1050" s="1006"/>
    </row>
    <row r="1051" spans="15:17" s="390" customFormat="1">
      <c r="O1051" s="1006"/>
      <c r="P1051" s="1006"/>
      <c r="Q1051" s="1006"/>
    </row>
    <row r="1052" spans="15:17" s="390" customFormat="1">
      <c r="O1052" s="1006"/>
      <c r="P1052" s="1006"/>
      <c r="Q1052" s="1006"/>
    </row>
    <row r="1053" spans="15:17" s="390" customFormat="1">
      <c r="O1053" s="1006"/>
      <c r="P1053" s="1006"/>
      <c r="Q1053" s="1006"/>
    </row>
    <row r="1054" spans="15:17" s="390" customFormat="1">
      <c r="O1054" s="1006"/>
      <c r="P1054" s="1006"/>
      <c r="Q1054" s="1006"/>
    </row>
    <row r="1055" spans="15:17" s="390" customFormat="1">
      <c r="O1055" s="1006"/>
      <c r="P1055" s="1006"/>
      <c r="Q1055" s="1006"/>
    </row>
    <row r="1056" spans="15:17" s="390" customFormat="1">
      <c r="O1056" s="1006"/>
      <c r="P1056" s="1006"/>
      <c r="Q1056" s="1006"/>
    </row>
    <row r="1057" spans="15:17" s="390" customFormat="1">
      <c r="O1057" s="1006"/>
      <c r="P1057" s="1006"/>
      <c r="Q1057" s="1006"/>
    </row>
    <row r="1058" spans="15:17" s="390" customFormat="1">
      <c r="O1058" s="1006"/>
      <c r="P1058" s="1006"/>
      <c r="Q1058" s="1006"/>
    </row>
    <row r="1059" spans="15:17" s="390" customFormat="1">
      <c r="O1059" s="1006"/>
      <c r="P1059" s="1006"/>
      <c r="Q1059" s="1006"/>
    </row>
    <row r="1060" spans="15:17" s="390" customFormat="1">
      <c r="O1060" s="1006"/>
      <c r="P1060" s="1006"/>
      <c r="Q1060" s="1006"/>
    </row>
    <row r="1061" spans="15:17" s="390" customFormat="1">
      <c r="O1061" s="1006"/>
      <c r="P1061" s="1006"/>
      <c r="Q1061" s="1006"/>
    </row>
    <row r="1062" spans="15:17" s="390" customFormat="1">
      <c r="O1062" s="1006"/>
      <c r="P1062" s="1006"/>
      <c r="Q1062" s="1006"/>
    </row>
    <row r="1063" spans="15:17" s="390" customFormat="1">
      <c r="O1063" s="1006"/>
      <c r="P1063" s="1006"/>
      <c r="Q1063" s="1006"/>
    </row>
    <row r="1064" spans="15:17" s="390" customFormat="1">
      <c r="O1064" s="1006"/>
      <c r="P1064" s="1006"/>
      <c r="Q1064" s="1006"/>
    </row>
    <row r="1065" spans="15:17" s="390" customFormat="1">
      <c r="O1065" s="1006"/>
      <c r="P1065" s="1006"/>
      <c r="Q1065" s="1006"/>
    </row>
    <row r="1066" spans="15:17" s="390" customFormat="1">
      <c r="O1066" s="1006"/>
      <c r="P1066" s="1006"/>
      <c r="Q1066" s="1006"/>
    </row>
    <row r="1067" spans="15:17" s="390" customFormat="1">
      <c r="O1067" s="1006"/>
      <c r="P1067" s="1006"/>
      <c r="Q1067" s="1006"/>
    </row>
    <row r="1068" spans="15:17" s="390" customFormat="1">
      <c r="O1068" s="1006"/>
      <c r="P1068" s="1006"/>
      <c r="Q1068" s="1006"/>
    </row>
    <row r="1069" spans="15:17" s="390" customFormat="1">
      <c r="O1069" s="1006"/>
      <c r="P1069" s="1006"/>
      <c r="Q1069" s="1006"/>
    </row>
    <row r="1070" spans="15:17" s="390" customFormat="1">
      <c r="O1070" s="1006"/>
      <c r="P1070" s="1006"/>
      <c r="Q1070" s="1006"/>
    </row>
    <row r="1071" spans="15:17" s="390" customFormat="1">
      <c r="O1071" s="1006"/>
      <c r="P1071" s="1006"/>
      <c r="Q1071" s="1006"/>
    </row>
    <row r="1072" spans="15:17" s="390" customFormat="1">
      <c r="O1072" s="1006"/>
      <c r="P1072" s="1006"/>
      <c r="Q1072" s="1006"/>
    </row>
    <row r="1073" spans="15:17" s="390" customFormat="1">
      <c r="O1073" s="1006"/>
      <c r="P1073" s="1006"/>
      <c r="Q1073" s="1006"/>
    </row>
    <row r="1074" spans="15:17" s="390" customFormat="1">
      <c r="O1074" s="1006"/>
      <c r="P1074" s="1006"/>
      <c r="Q1074" s="1006"/>
    </row>
    <row r="1075" spans="15:17" s="390" customFormat="1">
      <c r="O1075" s="1006"/>
      <c r="P1075" s="1006"/>
      <c r="Q1075" s="1006"/>
    </row>
    <row r="1076" spans="15:17" s="390" customFormat="1">
      <c r="O1076" s="1006"/>
      <c r="P1076" s="1006"/>
      <c r="Q1076" s="1006"/>
    </row>
    <row r="1077" spans="15:17" s="390" customFormat="1">
      <c r="O1077" s="1006"/>
      <c r="P1077" s="1006"/>
      <c r="Q1077" s="1006"/>
    </row>
    <row r="1078" spans="15:17" s="390" customFormat="1">
      <c r="O1078" s="1006"/>
      <c r="P1078" s="1006"/>
      <c r="Q1078" s="1006"/>
    </row>
    <row r="1079" spans="15:17" s="390" customFormat="1">
      <c r="O1079" s="1006"/>
      <c r="P1079" s="1006"/>
      <c r="Q1079" s="1006"/>
    </row>
    <row r="1080" spans="15:17" s="390" customFormat="1">
      <c r="O1080" s="1006"/>
      <c r="P1080" s="1006"/>
      <c r="Q1080" s="1006"/>
    </row>
    <row r="1081" spans="15:17" s="390" customFormat="1">
      <c r="O1081" s="1006"/>
      <c r="P1081" s="1006"/>
      <c r="Q1081" s="1006"/>
    </row>
    <row r="1082" spans="15:17" s="390" customFormat="1">
      <c r="O1082" s="1006"/>
      <c r="P1082" s="1006"/>
      <c r="Q1082" s="1006"/>
    </row>
    <row r="1083" spans="15:17" s="390" customFormat="1">
      <c r="O1083" s="1006"/>
      <c r="P1083" s="1006"/>
      <c r="Q1083" s="1006"/>
    </row>
    <row r="1084" spans="15:17" s="390" customFormat="1">
      <c r="O1084" s="1006"/>
      <c r="P1084" s="1006"/>
      <c r="Q1084" s="1006"/>
    </row>
    <row r="1085" spans="15:17" s="390" customFormat="1">
      <c r="O1085" s="1006"/>
      <c r="P1085" s="1006"/>
      <c r="Q1085" s="1006"/>
    </row>
    <row r="1086" spans="15:17" s="390" customFormat="1">
      <c r="O1086" s="1006"/>
      <c r="P1086" s="1006"/>
      <c r="Q1086" s="1006"/>
    </row>
    <row r="1087" spans="15:17" s="390" customFormat="1">
      <c r="O1087" s="1006"/>
      <c r="P1087" s="1006"/>
      <c r="Q1087" s="1006"/>
    </row>
    <row r="1088" spans="15:17" s="390" customFormat="1">
      <c r="O1088" s="1006"/>
      <c r="P1088" s="1006"/>
      <c r="Q1088" s="1006"/>
    </row>
    <row r="1089" spans="15:17" s="390" customFormat="1">
      <c r="O1089" s="1006"/>
      <c r="P1089" s="1006"/>
      <c r="Q1089" s="1006"/>
    </row>
    <row r="1090" spans="15:17" s="390" customFormat="1">
      <c r="O1090" s="1006"/>
      <c r="P1090" s="1006"/>
      <c r="Q1090" s="1006"/>
    </row>
    <row r="1091" spans="15:17" s="390" customFormat="1">
      <c r="O1091" s="1006"/>
      <c r="P1091" s="1006"/>
      <c r="Q1091" s="1006"/>
    </row>
    <row r="1092" spans="15:17" s="390" customFormat="1">
      <c r="O1092" s="1006"/>
      <c r="P1092" s="1006"/>
      <c r="Q1092" s="1006"/>
    </row>
    <row r="1093" spans="15:17" s="390" customFormat="1">
      <c r="O1093" s="1006"/>
      <c r="P1093" s="1006"/>
      <c r="Q1093" s="1006"/>
    </row>
    <row r="1094" spans="15:17" s="390" customFormat="1">
      <c r="O1094" s="1006"/>
      <c r="P1094" s="1006"/>
      <c r="Q1094" s="1006"/>
    </row>
    <row r="1095" spans="15:17" s="390" customFormat="1">
      <c r="O1095" s="1006"/>
      <c r="P1095" s="1006"/>
      <c r="Q1095" s="1006"/>
    </row>
    <row r="1096" spans="15:17" s="390" customFormat="1">
      <c r="O1096" s="1006"/>
      <c r="P1096" s="1006"/>
      <c r="Q1096" s="1006"/>
    </row>
    <row r="1097" spans="15:17" s="390" customFormat="1">
      <c r="O1097" s="1006"/>
      <c r="P1097" s="1006"/>
      <c r="Q1097" s="1006"/>
    </row>
    <row r="1098" spans="15:17" s="390" customFormat="1">
      <c r="O1098" s="1006"/>
      <c r="P1098" s="1006"/>
      <c r="Q1098" s="1006"/>
    </row>
    <row r="1099" spans="15:17" s="390" customFormat="1">
      <c r="O1099" s="1006"/>
      <c r="P1099" s="1006"/>
      <c r="Q1099" s="1006"/>
    </row>
    <row r="1100" spans="15:17" s="390" customFormat="1">
      <c r="O1100" s="1006"/>
      <c r="P1100" s="1006"/>
      <c r="Q1100" s="1006"/>
    </row>
    <row r="1101" spans="15:17" s="390" customFormat="1">
      <c r="O1101" s="1006"/>
      <c r="P1101" s="1006"/>
      <c r="Q1101" s="1006"/>
    </row>
    <row r="1102" spans="15:17" s="390" customFormat="1">
      <c r="O1102" s="1006"/>
      <c r="P1102" s="1006"/>
      <c r="Q1102" s="1006"/>
    </row>
    <row r="1103" spans="15:17" s="390" customFormat="1">
      <c r="O1103" s="1006"/>
      <c r="P1103" s="1006"/>
      <c r="Q1103" s="1006"/>
    </row>
    <row r="1104" spans="15:17" s="390" customFormat="1">
      <c r="O1104" s="1006"/>
      <c r="P1104" s="1006"/>
      <c r="Q1104" s="1006"/>
    </row>
    <row r="1105" spans="15:17" s="390" customFormat="1">
      <c r="O1105" s="1006"/>
      <c r="P1105" s="1006"/>
      <c r="Q1105" s="1006"/>
    </row>
    <row r="1106" spans="15:17" s="390" customFormat="1">
      <c r="O1106" s="1006"/>
      <c r="P1106" s="1006"/>
      <c r="Q1106" s="1006"/>
    </row>
    <row r="1107" spans="15:17" s="390" customFormat="1">
      <c r="O1107" s="1006"/>
      <c r="P1107" s="1006"/>
      <c r="Q1107" s="1006"/>
    </row>
    <row r="1108" spans="15:17" s="390" customFormat="1">
      <c r="O1108" s="1006"/>
      <c r="P1108" s="1006"/>
      <c r="Q1108" s="1006"/>
    </row>
    <row r="1109" spans="15:17" s="390" customFormat="1">
      <c r="O1109" s="1006"/>
      <c r="P1109" s="1006"/>
      <c r="Q1109" s="1006"/>
    </row>
    <row r="1110" spans="15:17" s="390" customFormat="1">
      <c r="O1110" s="1006"/>
      <c r="P1110" s="1006"/>
      <c r="Q1110" s="1006"/>
    </row>
    <row r="1111" spans="15:17" s="390" customFormat="1">
      <c r="O1111" s="1006"/>
      <c r="P1111" s="1006"/>
      <c r="Q1111" s="1006"/>
    </row>
    <row r="1112" spans="15:17" s="390" customFormat="1">
      <c r="O1112" s="1006"/>
      <c r="P1112" s="1006"/>
      <c r="Q1112" s="1006"/>
    </row>
    <row r="1113" spans="15:17" s="390" customFormat="1">
      <c r="O1113" s="1006"/>
      <c r="P1113" s="1006"/>
      <c r="Q1113" s="1006"/>
    </row>
    <row r="1114" spans="15:17" s="390" customFormat="1">
      <c r="O1114" s="1006"/>
      <c r="P1114" s="1006"/>
      <c r="Q1114" s="1006"/>
    </row>
    <row r="1115" spans="15:17" s="390" customFormat="1">
      <c r="O1115" s="1006"/>
      <c r="P1115" s="1006"/>
      <c r="Q1115" s="1006"/>
    </row>
    <row r="1116" spans="15:17" s="390" customFormat="1">
      <c r="O1116" s="1006"/>
      <c r="P1116" s="1006"/>
      <c r="Q1116" s="1006"/>
    </row>
    <row r="1117" spans="15:17" s="390" customFormat="1">
      <c r="O1117" s="1006"/>
      <c r="P1117" s="1006"/>
      <c r="Q1117" s="1006"/>
    </row>
    <row r="1118" spans="15:17" s="390" customFormat="1">
      <c r="O1118" s="1006"/>
      <c r="P1118" s="1006"/>
      <c r="Q1118" s="1006"/>
    </row>
    <row r="1119" spans="15:17" s="390" customFormat="1">
      <c r="O1119" s="1006"/>
      <c r="P1119" s="1006"/>
      <c r="Q1119" s="1006"/>
    </row>
    <row r="1120" spans="15:17" s="390" customFormat="1">
      <c r="O1120" s="1006"/>
      <c r="P1120" s="1006"/>
      <c r="Q1120" s="1006"/>
    </row>
    <row r="1121" spans="15:17" s="390" customFormat="1">
      <c r="O1121" s="1006"/>
      <c r="P1121" s="1006"/>
      <c r="Q1121" s="1006"/>
    </row>
    <row r="1122" spans="15:17" s="390" customFormat="1">
      <c r="O1122" s="1006"/>
      <c r="P1122" s="1006"/>
      <c r="Q1122" s="1006"/>
    </row>
    <row r="1123" spans="15:17" s="390" customFormat="1">
      <c r="O1123" s="1006"/>
      <c r="P1123" s="1006"/>
      <c r="Q1123" s="1006"/>
    </row>
    <row r="1124" spans="15:17" s="390" customFormat="1">
      <c r="O1124" s="1006"/>
      <c r="P1124" s="1006"/>
      <c r="Q1124" s="1006"/>
    </row>
    <row r="1125" spans="15:17" s="390" customFormat="1">
      <c r="O1125" s="1006"/>
      <c r="P1125" s="1006"/>
      <c r="Q1125" s="1006"/>
    </row>
    <row r="1126" spans="15:17" s="390" customFormat="1">
      <c r="O1126" s="1006"/>
      <c r="P1126" s="1006"/>
      <c r="Q1126" s="1006"/>
    </row>
    <row r="1127" spans="15:17" s="390" customFormat="1">
      <c r="O1127" s="1006"/>
      <c r="P1127" s="1006"/>
      <c r="Q1127" s="1006"/>
    </row>
    <row r="1128" spans="15:17" s="390" customFormat="1">
      <c r="O1128" s="1006"/>
      <c r="P1128" s="1006"/>
      <c r="Q1128" s="1006"/>
    </row>
    <row r="1129" spans="15:17" s="390" customFormat="1">
      <c r="O1129" s="1006"/>
      <c r="P1129" s="1006"/>
      <c r="Q1129" s="1006"/>
    </row>
    <row r="1130" spans="15:17" s="390" customFormat="1">
      <c r="O1130" s="1006"/>
      <c r="P1130" s="1006"/>
      <c r="Q1130" s="1006"/>
    </row>
    <row r="1131" spans="15:17" s="390" customFormat="1">
      <c r="O1131" s="1006"/>
      <c r="P1131" s="1006"/>
      <c r="Q1131" s="1006"/>
    </row>
    <row r="1132" spans="15:17" s="390" customFormat="1">
      <c r="O1132" s="1006"/>
      <c r="P1132" s="1006"/>
      <c r="Q1132" s="1006"/>
    </row>
    <row r="1133" spans="15:17" s="390" customFormat="1">
      <c r="O1133" s="1006"/>
      <c r="P1133" s="1006"/>
      <c r="Q1133" s="1006"/>
    </row>
    <row r="1134" spans="15:17" s="390" customFormat="1">
      <c r="O1134" s="1006"/>
      <c r="P1134" s="1006"/>
      <c r="Q1134" s="1006"/>
    </row>
    <row r="1135" spans="15:17" s="390" customFormat="1">
      <c r="O1135" s="1006"/>
      <c r="P1135" s="1006"/>
      <c r="Q1135" s="1006"/>
    </row>
    <row r="1136" spans="15:17" s="390" customFormat="1">
      <c r="O1136" s="1006"/>
      <c r="P1136" s="1006"/>
      <c r="Q1136" s="1006"/>
    </row>
    <row r="1137" spans="15:17" s="390" customFormat="1">
      <c r="O1137" s="1006"/>
      <c r="P1137" s="1006"/>
      <c r="Q1137" s="1006"/>
    </row>
    <row r="1138" spans="15:17" s="390" customFormat="1">
      <c r="O1138" s="1006"/>
      <c r="P1138" s="1006"/>
      <c r="Q1138" s="1006"/>
    </row>
    <row r="1139" spans="15:17" s="390" customFormat="1">
      <c r="O1139" s="1006"/>
      <c r="P1139" s="1006"/>
      <c r="Q1139" s="1006"/>
    </row>
    <row r="1140" spans="15:17" s="390" customFormat="1">
      <c r="O1140" s="1006"/>
      <c r="P1140" s="1006"/>
      <c r="Q1140" s="1006"/>
    </row>
    <row r="1141" spans="15:17" s="390" customFormat="1">
      <c r="O1141" s="1006"/>
      <c r="P1141" s="1006"/>
      <c r="Q1141" s="1006"/>
    </row>
    <row r="1142" spans="15:17" s="390" customFormat="1">
      <c r="O1142" s="1006"/>
      <c r="P1142" s="1006"/>
      <c r="Q1142" s="1006"/>
    </row>
    <row r="1143" spans="15:17" s="390" customFormat="1">
      <c r="O1143" s="1006"/>
      <c r="P1143" s="1006"/>
      <c r="Q1143" s="1006"/>
    </row>
    <row r="1144" spans="15:17" s="390" customFormat="1">
      <c r="O1144" s="1006"/>
      <c r="P1144" s="1006"/>
      <c r="Q1144" s="1006"/>
    </row>
    <row r="1145" spans="15:17" s="390" customFormat="1">
      <c r="O1145" s="1006"/>
      <c r="P1145" s="1006"/>
      <c r="Q1145" s="1006"/>
    </row>
    <row r="1146" spans="15:17" s="390" customFormat="1">
      <c r="O1146" s="1006"/>
      <c r="P1146" s="1006"/>
      <c r="Q1146" s="1006"/>
    </row>
    <row r="1147" spans="15:17" s="390" customFormat="1">
      <c r="O1147" s="1006"/>
      <c r="P1147" s="1006"/>
      <c r="Q1147" s="1006"/>
    </row>
    <row r="1148" spans="15:17" s="390" customFormat="1">
      <c r="O1148" s="1006"/>
      <c r="P1148" s="1006"/>
      <c r="Q1148" s="1006"/>
    </row>
    <row r="1149" spans="15:17" s="390" customFormat="1">
      <c r="O1149" s="1006"/>
      <c r="P1149" s="1006"/>
      <c r="Q1149" s="1006"/>
    </row>
    <row r="1150" spans="15:17" s="390" customFormat="1">
      <c r="O1150" s="1006"/>
      <c r="P1150" s="1006"/>
      <c r="Q1150" s="1006"/>
    </row>
    <row r="1151" spans="15:17" s="390" customFormat="1">
      <c r="O1151" s="1006"/>
      <c r="P1151" s="1006"/>
      <c r="Q1151" s="1006"/>
    </row>
    <row r="1152" spans="15:17" s="390" customFormat="1">
      <c r="O1152" s="1006"/>
      <c r="P1152" s="1006"/>
      <c r="Q1152" s="1006"/>
    </row>
  </sheetData>
  <sheetProtection algorithmName="SHA-512" hashValue="+5u9VDrsdj+0mB0rmadjDdsOt52Lz1+wYYGeG1DNDSM+81t+OtROZJ5V3rNmG76wBzt7YKmw4oA/9vgWmYjvEg==" saltValue="fyWU5n0ksh9ql30pJVRZNg==" spinCount="100000" sheet="1" objects="1" scenarios="1"/>
  <mergeCells count="223">
    <mergeCell ref="L95:L96"/>
    <mergeCell ref="A84:A85"/>
    <mergeCell ref="B84:B85"/>
    <mergeCell ref="C84:C85"/>
    <mergeCell ref="L84:L85"/>
    <mergeCell ref="A90:A91"/>
    <mergeCell ref="L90:L91"/>
    <mergeCell ref="K95:K96"/>
    <mergeCell ref="K90:K91"/>
    <mergeCell ref="B111:D111"/>
    <mergeCell ref="B67:B68"/>
    <mergeCell ref="C67:C68"/>
    <mergeCell ref="A95:A96"/>
    <mergeCell ref="B95:B96"/>
    <mergeCell ref="C95:C96"/>
    <mergeCell ref="A54:A55"/>
    <mergeCell ref="A45:A46"/>
    <mergeCell ref="A39:A40"/>
    <mergeCell ref="B35:B36"/>
    <mergeCell ref="C35:C36"/>
    <mergeCell ref="B45:B46"/>
    <mergeCell ref="C45:C46"/>
    <mergeCell ref="A105:D105"/>
    <mergeCell ref="B106:D106"/>
    <mergeCell ref="B107:D107"/>
    <mergeCell ref="B108:D108"/>
    <mergeCell ref="B110:D110"/>
    <mergeCell ref="B17:B22"/>
    <mergeCell ref="A17:A22"/>
    <mergeCell ref="M17:M22"/>
    <mergeCell ref="N17:N22"/>
    <mergeCell ref="O17:O22"/>
    <mergeCell ref="P17:P22"/>
    <mergeCell ref="K17:K22"/>
    <mergeCell ref="O29:O34"/>
    <mergeCell ref="P29:P34"/>
    <mergeCell ref="M29:M34"/>
    <mergeCell ref="N29:N34"/>
    <mergeCell ref="A23:A28"/>
    <mergeCell ref="B23:B28"/>
    <mergeCell ref="C23:C28"/>
    <mergeCell ref="L23:L28"/>
    <mergeCell ref="M23:M28"/>
    <mergeCell ref="N23:N28"/>
    <mergeCell ref="O23:O28"/>
    <mergeCell ref="C17:C22"/>
    <mergeCell ref="L17:L22"/>
    <mergeCell ref="L29:L34"/>
    <mergeCell ref="B29:B34"/>
    <mergeCell ref="C29:C34"/>
    <mergeCell ref="O1:R1"/>
    <mergeCell ref="C14:C15"/>
    <mergeCell ref="D14:D15"/>
    <mergeCell ref="E14:E15"/>
    <mergeCell ref="F14:F15"/>
    <mergeCell ref="G14:G15"/>
    <mergeCell ref="I14:I15"/>
    <mergeCell ref="J14:J15"/>
    <mergeCell ref="L14:L15"/>
    <mergeCell ref="M14:M15"/>
    <mergeCell ref="N14:N15"/>
    <mergeCell ref="O14:Q14"/>
    <mergeCell ref="R14:R15"/>
    <mergeCell ref="K14:K15"/>
    <mergeCell ref="A2:R2"/>
    <mergeCell ref="A14:A15"/>
    <mergeCell ref="B14:B15"/>
    <mergeCell ref="A1:L1"/>
    <mergeCell ref="A13:J13"/>
    <mergeCell ref="A10:E10"/>
    <mergeCell ref="H14:H15"/>
    <mergeCell ref="P71:P72"/>
    <mergeCell ref="Q71:Q72"/>
    <mergeCell ref="R71:R72"/>
    <mergeCell ref="R59:R61"/>
    <mergeCell ref="A63:A64"/>
    <mergeCell ref="B63:B64"/>
    <mergeCell ref="C63:C64"/>
    <mergeCell ref="L63:L64"/>
    <mergeCell ref="M63:M64"/>
    <mergeCell ref="N63:N64"/>
    <mergeCell ref="O63:O64"/>
    <mergeCell ref="P63:P64"/>
    <mergeCell ref="Q63:Q64"/>
    <mergeCell ref="R63:R64"/>
    <mergeCell ref="M59:M61"/>
    <mergeCell ref="N59:N61"/>
    <mergeCell ref="P59:P61"/>
    <mergeCell ref="Q59:Q61"/>
    <mergeCell ref="L67:L68"/>
    <mergeCell ref="A59:A61"/>
    <mergeCell ref="Q67:Q68"/>
    <mergeCell ref="R67:R68"/>
    <mergeCell ref="L71:L72"/>
    <mergeCell ref="B59:B61"/>
    <mergeCell ref="Q90:Q91"/>
    <mergeCell ref="A74:A76"/>
    <mergeCell ref="B74:B76"/>
    <mergeCell ref="C74:C76"/>
    <mergeCell ref="R80:R81"/>
    <mergeCell ref="A80:A81"/>
    <mergeCell ref="B80:B81"/>
    <mergeCell ref="C80:C81"/>
    <mergeCell ref="L80:L81"/>
    <mergeCell ref="M80:M81"/>
    <mergeCell ref="N80:N81"/>
    <mergeCell ref="O80:O81"/>
    <mergeCell ref="P80:P81"/>
    <mergeCell ref="Q80:Q81"/>
    <mergeCell ref="Q74:Q76"/>
    <mergeCell ref="R74:R76"/>
    <mergeCell ref="L74:L76"/>
    <mergeCell ref="M74:M76"/>
    <mergeCell ref="N74:N76"/>
    <mergeCell ref="O74:O76"/>
    <mergeCell ref="P74:P76"/>
    <mergeCell ref="R90:R91"/>
    <mergeCell ref="R95:R96"/>
    <mergeCell ref="Q100:Q101"/>
    <mergeCell ref="R100:R101"/>
    <mergeCell ref="B90:B91"/>
    <mergeCell ref="C90:C91"/>
    <mergeCell ref="K105:R105"/>
    <mergeCell ref="K106:R117"/>
    <mergeCell ref="M84:M85"/>
    <mergeCell ref="N84:N85"/>
    <mergeCell ref="O84:O85"/>
    <mergeCell ref="P84:P85"/>
    <mergeCell ref="Q84:Q85"/>
    <mergeCell ref="R84:R85"/>
    <mergeCell ref="B100:B101"/>
    <mergeCell ref="C100:C101"/>
    <mergeCell ref="L100:L101"/>
    <mergeCell ref="M100:M101"/>
    <mergeCell ref="N100:N101"/>
    <mergeCell ref="O100:O101"/>
    <mergeCell ref="M90:M91"/>
    <mergeCell ref="P100:P101"/>
    <mergeCell ref="N90:N91"/>
    <mergeCell ref="O90:O91"/>
    <mergeCell ref="P90:P91"/>
    <mergeCell ref="A35:A36"/>
    <mergeCell ref="A29:A34"/>
    <mergeCell ref="B116:D116"/>
    <mergeCell ref="B117:D117"/>
    <mergeCell ref="K54:K55"/>
    <mergeCell ref="A100:A101"/>
    <mergeCell ref="K100:K101"/>
    <mergeCell ref="A71:A72"/>
    <mergeCell ref="B71:B72"/>
    <mergeCell ref="C71:C72"/>
    <mergeCell ref="A50:A51"/>
    <mergeCell ref="B50:B51"/>
    <mergeCell ref="C50:C51"/>
    <mergeCell ref="B54:B55"/>
    <mergeCell ref="C54:C55"/>
    <mergeCell ref="C39:C40"/>
    <mergeCell ref="A67:A68"/>
    <mergeCell ref="B109:D109"/>
    <mergeCell ref="B39:B40"/>
    <mergeCell ref="C59:C61"/>
    <mergeCell ref="B115:D115"/>
    <mergeCell ref="B112:D112"/>
    <mergeCell ref="B113:D113"/>
    <mergeCell ref="B114:D114"/>
    <mergeCell ref="K67:K68"/>
    <mergeCell ref="K71:K72"/>
    <mergeCell ref="K74:K76"/>
    <mergeCell ref="K80:K81"/>
    <mergeCell ref="K84:K85"/>
    <mergeCell ref="L45:L46"/>
    <mergeCell ref="M45:M46"/>
    <mergeCell ref="N45:N55"/>
    <mergeCell ref="O45:O55"/>
    <mergeCell ref="M67:M68"/>
    <mergeCell ref="O59:O61"/>
    <mergeCell ref="L59:L61"/>
    <mergeCell ref="N67:N68"/>
    <mergeCell ref="O67:O68"/>
    <mergeCell ref="M71:M72"/>
    <mergeCell ref="N71:N72"/>
    <mergeCell ref="O71:O72"/>
    <mergeCell ref="M54:M55"/>
    <mergeCell ref="L50:L51"/>
    <mergeCell ref="L54:L55"/>
    <mergeCell ref="Q17:Q22"/>
    <mergeCell ref="Q35:Q36"/>
    <mergeCell ref="Q29:Q34"/>
    <mergeCell ref="P23:P28"/>
    <mergeCell ref="Q23:Q28"/>
    <mergeCell ref="M35:M36"/>
    <mergeCell ref="R45:R55"/>
    <mergeCell ref="K59:K61"/>
    <mergeCell ref="K63:K64"/>
    <mergeCell ref="P45:P55"/>
    <mergeCell ref="Q45:Q55"/>
    <mergeCell ref="M39:M40"/>
    <mergeCell ref="N39:N40"/>
    <mergeCell ref="L39:L40"/>
    <mergeCell ref="N35:N36"/>
    <mergeCell ref="O35:O36"/>
    <mergeCell ref="P35:P36"/>
    <mergeCell ref="A11:R11"/>
    <mergeCell ref="B5:R5"/>
    <mergeCell ref="B6:R6"/>
    <mergeCell ref="M95:M96"/>
    <mergeCell ref="N95:N96"/>
    <mergeCell ref="O95:O96"/>
    <mergeCell ref="P95:P96"/>
    <mergeCell ref="Q95:Q96"/>
    <mergeCell ref="P67:P68"/>
    <mergeCell ref="R17:R22"/>
    <mergeCell ref="R35:R36"/>
    <mergeCell ref="K39:K40"/>
    <mergeCell ref="R39:R40"/>
    <mergeCell ref="K45:K46"/>
    <mergeCell ref="K50:K51"/>
    <mergeCell ref="K35:K36"/>
    <mergeCell ref="L35:L36"/>
    <mergeCell ref="O39:O40"/>
    <mergeCell ref="P39:P40"/>
    <mergeCell ref="Q39:Q40"/>
    <mergeCell ref="M50:M51"/>
  </mergeCells>
  <conditionalFormatting sqref="G15 L14 E14:G14 H14:K15">
    <cfRule type="dataBar" priority="2">
      <dataBar>
        <cfvo type="min"/>
        <cfvo type="max"/>
        <color rgb="FF638EC6"/>
      </dataBar>
      <extLst>
        <ext xmlns:x14="http://schemas.microsoft.com/office/spreadsheetml/2009/9/main" uri="{B025F937-C7B1-47D3-B67F-A62EFF666E3E}">
          <x14:id>{DCAEF408-BB30-4A7E-A0B6-147271EF3562}</x14:id>
        </ext>
      </extLst>
    </cfRule>
  </conditionalFormatting>
  <pageMargins left="0.7" right="0.7" top="0.75" bottom="0.75" header="0.3" footer="0.3"/>
  <pageSetup paperSize="8" scale="81" fitToHeight="0" orientation="landscape" r:id="rId1"/>
  <extLst>
    <ext xmlns:x14="http://schemas.microsoft.com/office/spreadsheetml/2009/9/main" uri="{78C0D931-6437-407d-A8EE-F0AAD7539E65}">
      <x14:conditionalFormattings>
        <x14:conditionalFormatting xmlns:xm="http://schemas.microsoft.com/office/excel/2006/main">
          <x14:cfRule type="dataBar" id="{DCAEF408-BB30-4A7E-A0B6-147271EF3562}">
            <x14:dataBar minLength="0" maxLength="100" border="1" negativeBarBorderColorSameAsPositive="0">
              <x14:cfvo type="autoMin"/>
              <x14:cfvo type="autoMax"/>
              <x14:borderColor rgb="FF638EC6"/>
              <x14:negativeFillColor rgb="FFFF0000"/>
              <x14:negativeBorderColor rgb="FFFF0000"/>
              <x14:axisColor rgb="FF000000"/>
            </x14:dataBar>
          </x14:cfRule>
          <xm:sqref>G15 L14 E14:G14 H14:K15</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38682-C9BD-44D7-AD09-D6667D127E7E}">
  <dimension ref="A1:AR1108"/>
  <sheetViews>
    <sheetView topLeftCell="A2" zoomScale="80" zoomScaleNormal="80" workbookViewId="0">
      <pane xSplit="7" ySplit="15" topLeftCell="H17" activePane="bottomRight" state="frozen"/>
      <selection activeCell="A2" sqref="A2"/>
      <selection pane="topRight" activeCell="L2" sqref="L2"/>
      <selection pane="bottomLeft" activeCell="A8" sqref="A8"/>
      <selection pane="bottomRight" activeCell="N56" sqref="N56"/>
    </sheetView>
  </sheetViews>
  <sheetFormatPr defaultColWidth="9.109375" defaultRowHeight="13.2"/>
  <cols>
    <col min="1" max="1" width="14.88671875" style="383" customWidth="1"/>
    <col min="2" max="2" width="31.33203125" style="383" customWidth="1"/>
    <col min="3" max="3" width="4.33203125" style="383" customWidth="1"/>
    <col min="4" max="4" width="5.5546875" style="383" customWidth="1"/>
    <col min="5" max="6" width="10.6640625" style="386" hidden="1" customWidth="1"/>
    <col min="7" max="7" width="10.6640625" style="383" hidden="1" customWidth="1"/>
    <col min="8" max="10" width="10.6640625" style="383" customWidth="1"/>
    <col min="11" max="11" width="12.109375" style="383" customWidth="1"/>
    <col min="12" max="12" width="61" style="383" customWidth="1"/>
    <col min="13" max="13" width="13.77734375" style="383" customWidth="1"/>
    <col min="14" max="14" width="30.5546875" style="383" customWidth="1"/>
    <col min="15" max="17" width="6.33203125" style="1004" customWidth="1"/>
    <col min="18" max="18" width="29.44140625" style="383" customWidth="1"/>
    <col min="19" max="20" width="0" style="383" hidden="1" customWidth="1"/>
    <col min="21" max="21" width="8.88671875" hidden="1" customWidth="1"/>
    <col min="22" max="22" width="8.88671875" customWidth="1"/>
    <col min="23" max="16384" width="9.109375" style="383"/>
  </cols>
  <sheetData>
    <row r="1" spans="1:22" ht="30" hidden="1" customHeight="1">
      <c r="A1" s="427" t="s">
        <v>2831</v>
      </c>
      <c r="B1" s="427"/>
      <c r="C1" s="427"/>
      <c r="D1" s="427"/>
      <c r="E1" s="427"/>
      <c r="F1" s="427"/>
      <c r="G1" s="427"/>
      <c r="H1" s="427"/>
      <c r="I1" s="427"/>
      <c r="J1" s="427"/>
      <c r="K1" s="427"/>
      <c r="L1" s="427"/>
      <c r="M1" s="433"/>
      <c r="N1" s="433"/>
      <c r="O1" s="384">
        <v>2024</v>
      </c>
      <c r="P1" s="384">
        <v>2025</v>
      </c>
      <c r="Q1" s="384">
        <v>2026</v>
      </c>
      <c r="R1" s="433"/>
      <c r="U1" s="383"/>
      <c r="V1" s="383"/>
    </row>
    <row r="2" spans="1:22" ht="23.25" customHeight="1">
      <c r="A2" s="1985" t="s">
        <v>2831</v>
      </c>
      <c r="B2" s="1985"/>
      <c r="C2" s="1985"/>
      <c r="D2" s="1985"/>
      <c r="E2" s="1985"/>
      <c r="F2" s="1985"/>
      <c r="G2" s="1985"/>
      <c r="H2" s="1985"/>
      <c r="I2" s="1985"/>
      <c r="J2" s="1985"/>
      <c r="K2" s="1985"/>
      <c r="L2" s="1985"/>
      <c r="O2" s="1985"/>
      <c r="P2" s="1985"/>
      <c r="Q2" s="1985"/>
      <c r="R2" s="1985"/>
      <c r="U2" s="383"/>
      <c r="V2" s="383"/>
    </row>
    <row r="3" spans="1:22" ht="30.6" customHeight="1">
      <c r="A3" s="1936" t="s">
        <v>3767</v>
      </c>
      <c r="B3" s="1936"/>
      <c r="C3" s="1936"/>
      <c r="D3" s="1936"/>
      <c r="E3" s="1936"/>
      <c r="F3" s="1936"/>
      <c r="G3" s="1936"/>
      <c r="H3" s="1936"/>
      <c r="I3" s="1936"/>
      <c r="J3" s="1936"/>
      <c r="K3" s="1936"/>
      <c r="L3" s="1936"/>
      <c r="M3" s="1936"/>
      <c r="N3" s="1936"/>
      <c r="O3" s="1936"/>
      <c r="P3" s="1936"/>
      <c r="Q3" s="1936"/>
      <c r="R3" s="1936"/>
      <c r="U3" s="383"/>
      <c r="V3" s="383"/>
    </row>
    <row r="4" spans="1:22" s="390" customFormat="1" ht="9" customHeight="1">
      <c r="A4" s="437"/>
      <c r="B4" s="437"/>
      <c r="C4" s="387"/>
      <c r="D4" s="387"/>
      <c r="E4" s="387"/>
      <c r="F4" s="387"/>
      <c r="H4" s="387"/>
      <c r="O4" s="1006"/>
      <c r="P4" s="1006"/>
      <c r="Q4" s="1006"/>
    </row>
    <row r="5" spans="1:22" s="390" customFormat="1" ht="10.95" customHeight="1">
      <c r="A5" s="390" t="str">
        <f>A17</f>
        <v>05.01.01. (T)</v>
      </c>
      <c r="B5" s="390" t="str">
        <f>B17</f>
        <v>Skatinti vietos bendruomenių iniciatyvas</v>
      </c>
      <c r="O5" s="1006"/>
      <c r="P5" s="1006"/>
      <c r="Q5" s="1006"/>
    </row>
    <row r="6" spans="1:22" s="390" customFormat="1" ht="11.4">
      <c r="A6" s="1002" t="str">
        <f>A31</f>
        <v>05.02.01. (T)</v>
      </c>
      <c r="B6" s="1002" t="str">
        <f>B31</f>
        <v xml:space="preserve">Įgyvendinti Lietuvos Respublikos jaunimo politikos pagrindų įstatymo nuostatas </v>
      </c>
      <c r="O6" s="1006"/>
      <c r="P6" s="1006"/>
      <c r="Q6" s="1006"/>
    </row>
    <row r="7" spans="1:22" s="390" customFormat="1" ht="11.4">
      <c r="A7" s="390" t="str">
        <f>A40</f>
        <v>05.03.01. (T)</v>
      </c>
      <c r="B7" s="390" t="str">
        <f>B40</f>
        <v>Kurti ir plėtoti saugią aplinką 
Visagino savivaldybėje</v>
      </c>
      <c r="O7" s="1006"/>
      <c r="P7" s="1006"/>
      <c r="Q7" s="1006"/>
    </row>
    <row r="8" spans="1:22" ht="10.199999999999999" customHeight="1">
      <c r="A8" s="390" t="str">
        <f>A50</f>
        <v>05.04.01. (T)</v>
      </c>
      <c r="B8" s="390" t="str">
        <f>B50</f>
        <v>Skatinti bendruomenę 
dalyvauti prevencinėse ir šviečiamosiose veiklose</v>
      </c>
      <c r="C8" s="390"/>
      <c r="D8" s="390"/>
      <c r="E8" s="390"/>
      <c r="F8" s="390"/>
      <c r="G8" s="390"/>
      <c r="H8" s="390"/>
      <c r="U8" s="383"/>
      <c r="V8" s="383"/>
    </row>
    <row r="9" spans="1:22" ht="11.4" customHeight="1">
      <c r="A9" s="390" t="str">
        <f>A59</f>
        <v>05.05.01. (T)</v>
      </c>
      <c r="B9" s="390" t="str">
        <f>B59</f>
        <v xml:space="preserve">Įgyvendinti diasporos politikos  strategines gaires "Globali Lietuva" 2023-2030 m. </v>
      </c>
      <c r="C9" s="390"/>
      <c r="D9" s="390"/>
      <c r="E9" s="390"/>
      <c r="F9" s="390"/>
      <c r="G9" s="390"/>
      <c r="H9" s="390"/>
      <c r="U9" s="383"/>
      <c r="V9" s="383"/>
    </row>
    <row r="10" spans="1:22">
      <c r="E10" s="383"/>
      <c r="F10" s="383"/>
      <c r="U10" s="383"/>
      <c r="V10" s="383"/>
    </row>
    <row r="11" spans="1:22" ht="16.8" customHeight="1">
      <c r="A11" s="1936" t="s">
        <v>1463</v>
      </c>
      <c r="B11" s="1936"/>
      <c r="C11" s="1936"/>
      <c r="D11" s="1936"/>
      <c r="E11" s="1936"/>
      <c r="F11" s="419"/>
      <c r="G11" s="419"/>
      <c r="H11" s="381"/>
      <c r="I11" s="382"/>
      <c r="J11" s="382"/>
      <c r="K11" s="382"/>
      <c r="L11" s="382"/>
      <c r="O11" s="1005"/>
      <c r="P11" s="1005"/>
      <c r="Q11" s="1005"/>
      <c r="R11" s="381"/>
      <c r="U11" s="383"/>
      <c r="V11" s="383"/>
    </row>
    <row r="12" spans="1:22" ht="72.599999999999994" customHeight="1">
      <c r="A12" s="1936" t="s">
        <v>3864</v>
      </c>
      <c r="B12" s="1936"/>
      <c r="C12" s="1936"/>
      <c r="D12" s="1936"/>
      <c r="E12" s="1936"/>
      <c r="F12" s="1936"/>
      <c r="G12" s="1936"/>
      <c r="H12" s="1936"/>
      <c r="I12" s="1936"/>
      <c r="J12" s="1936"/>
      <c r="K12" s="1936"/>
      <c r="L12" s="1936"/>
      <c r="M12" s="1936"/>
      <c r="N12" s="1936"/>
      <c r="O12" s="1936"/>
      <c r="P12" s="1936"/>
      <c r="Q12" s="1936"/>
      <c r="R12" s="1936"/>
      <c r="U12" s="383"/>
      <c r="V12" s="383"/>
    </row>
    <row r="13" spans="1:22" s="390" customFormat="1" ht="11.4">
      <c r="A13" s="387"/>
      <c r="B13" s="387"/>
      <c r="C13" s="387"/>
      <c r="D13" s="387"/>
      <c r="E13" s="387"/>
      <c r="F13" s="387"/>
      <c r="H13" s="387"/>
      <c r="O13" s="1006"/>
      <c r="P13" s="1006"/>
      <c r="Q13" s="1006"/>
    </row>
    <row r="14" spans="1:22" ht="13.2" customHeight="1">
      <c r="A14" s="1936" t="s">
        <v>3872</v>
      </c>
      <c r="B14" s="1936"/>
      <c r="C14" s="1936"/>
      <c r="D14" s="1936"/>
      <c r="E14" s="1936"/>
      <c r="F14" s="1936"/>
      <c r="G14" s="1936"/>
      <c r="H14" s="1936"/>
      <c r="I14" s="1936"/>
      <c r="J14" s="1936"/>
      <c r="K14" s="1936"/>
      <c r="L14" s="1936"/>
      <c r="O14" s="1005"/>
      <c r="P14" s="1005"/>
      <c r="Q14" s="1005"/>
      <c r="R14" s="381"/>
      <c r="U14" s="383"/>
      <c r="V14" s="383"/>
    </row>
    <row r="15" spans="1:22" ht="30" customHeight="1">
      <c r="A15" s="1722" t="s">
        <v>999</v>
      </c>
      <c r="B15" s="1722" t="s">
        <v>2550</v>
      </c>
      <c r="C15" s="2000" t="s">
        <v>1368</v>
      </c>
      <c r="D15" s="2002" t="s">
        <v>1369</v>
      </c>
      <c r="E15" s="1732" t="s">
        <v>1388</v>
      </c>
      <c r="F15" s="1732" t="s">
        <v>1499</v>
      </c>
      <c r="G15" s="1996" t="s">
        <v>1385</v>
      </c>
      <c r="H15" s="1775" t="s">
        <v>2568</v>
      </c>
      <c r="I15" s="1722" t="s">
        <v>2567</v>
      </c>
      <c r="J15" s="1770" t="s">
        <v>2634</v>
      </c>
      <c r="K15" s="1988" t="s">
        <v>2596</v>
      </c>
      <c r="L15" s="1988" t="s">
        <v>3908</v>
      </c>
      <c r="M15" s="1724" t="s">
        <v>1000</v>
      </c>
      <c r="N15" s="1724" t="s">
        <v>1390</v>
      </c>
      <c r="O15" s="1780" t="s">
        <v>1001</v>
      </c>
      <c r="P15" s="1780"/>
      <c r="Q15" s="1780"/>
      <c r="R15" s="1780" t="s">
        <v>1002</v>
      </c>
      <c r="U15" s="383"/>
      <c r="V15" s="383"/>
    </row>
    <row r="16" spans="1:22" ht="66.599999999999994" customHeight="1">
      <c r="A16" s="1723"/>
      <c r="B16" s="1723"/>
      <c r="C16" s="2001"/>
      <c r="D16" s="1965"/>
      <c r="E16" s="1967"/>
      <c r="F16" s="1733"/>
      <c r="G16" s="1968"/>
      <c r="H16" s="1722"/>
      <c r="I16" s="1808"/>
      <c r="J16" s="1995"/>
      <c r="K16" s="1989"/>
      <c r="L16" s="1998"/>
      <c r="M16" s="1725"/>
      <c r="N16" s="1725"/>
      <c r="O16" s="1007">
        <v>2024</v>
      </c>
      <c r="P16" s="1007">
        <v>2025</v>
      </c>
      <c r="Q16" s="1007">
        <v>2026</v>
      </c>
      <c r="R16" s="1780"/>
      <c r="U16" s="383"/>
      <c r="V16" s="383"/>
    </row>
    <row r="17" spans="1:44" s="385" customFormat="1" ht="52.8" customHeight="1">
      <c r="A17" s="740" t="s">
        <v>2640</v>
      </c>
      <c r="B17" s="740" t="s">
        <v>1528</v>
      </c>
      <c r="C17" s="740"/>
      <c r="D17" s="740"/>
      <c r="E17" s="741">
        <f>SUM(E19,E22,E24,E26,E28,E30)</f>
        <v>77.731999999999999</v>
      </c>
      <c r="F17" s="1074">
        <f t="shared" ref="F17:F32" si="0">H17/E17-1</f>
        <v>1.1350280450779602</v>
      </c>
      <c r="G17" s="741">
        <f t="shared" ref="G17:J17" si="1">SUM(G19,G22,G24,G26,G28,G30)</f>
        <v>177.65600000000001</v>
      </c>
      <c r="H17" s="741">
        <f>SUM(H19,H22,H24,H26,H28,H30)</f>
        <v>165.96</v>
      </c>
      <c r="I17" s="741">
        <f t="shared" si="1"/>
        <v>203.53</v>
      </c>
      <c r="J17" s="741">
        <f t="shared" si="1"/>
        <v>150</v>
      </c>
      <c r="K17" s="740" t="s">
        <v>1244</v>
      </c>
      <c r="L17" s="740"/>
      <c r="M17" s="740" t="s">
        <v>1789</v>
      </c>
      <c r="N17" s="740" t="s">
        <v>1246</v>
      </c>
      <c r="O17" s="1570" t="s">
        <v>1410</v>
      </c>
      <c r="P17" s="1570" t="s">
        <v>1410</v>
      </c>
      <c r="Q17" s="1570" t="s">
        <v>1410</v>
      </c>
      <c r="R17" s="1146" t="s">
        <v>1246</v>
      </c>
      <c r="S17" s="383"/>
      <c r="T17" s="383"/>
      <c r="U17" s="383"/>
      <c r="V17" s="383"/>
      <c r="W17" s="383"/>
      <c r="X17" s="383"/>
      <c r="Y17" s="383"/>
      <c r="Z17" s="383"/>
      <c r="AA17" s="383"/>
      <c r="AB17" s="383"/>
      <c r="AC17" s="383"/>
      <c r="AD17" s="383"/>
      <c r="AE17" s="383"/>
      <c r="AF17" s="383"/>
      <c r="AG17" s="383"/>
      <c r="AH17" s="383"/>
      <c r="AI17" s="383"/>
      <c r="AJ17" s="383"/>
      <c r="AK17" s="383"/>
      <c r="AL17" s="383"/>
      <c r="AM17" s="383"/>
      <c r="AN17" s="383"/>
      <c r="AO17" s="383"/>
      <c r="AP17" s="383"/>
      <c r="AQ17" s="383"/>
      <c r="AR17" s="447"/>
    </row>
    <row r="18" spans="1:44" ht="41.4" customHeight="1">
      <c r="A18" s="1915" t="s">
        <v>2635</v>
      </c>
      <c r="B18" s="1889" t="s">
        <v>1529</v>
      </c>
      <c r="C18" s="1917" t="s">
        <v>1525</v>
      </c>
      <c r="D18" s="1145" t="s">
        <v>668</v>
      </c>
      <c r="E18" s="745">
        <v>15</v>
      </c>
      <c r="F18" s="944">
        <f t="shared" si="0"/>
        <v>0</v>
      </c>
      <c r="G18" s="745">
        <v>16</v>
      </c>
      <c r="H18" s="745">
        <v>15</v>
      </c>
      <c r="I18" s="745">
        <v>17</v>
      </c>
      <c r="J18" s="745">
        <v>18</v>
      </c>
      <c r="K18" s="1654" t="s">
        <v>2910</v>
      </c>
      <c r="L18" s="1919" t="s">
        <v>1773</v>
      </c>
      <c r="M18" s="1889" t="s">
        <v>1784</v>
      </c>
      <c r="N18" s="1997" t="s">
        <v>1775</v>
      </c>
      <c r="O18" s="1891" t="s">
        <v>1776</v>
      </c>
      <c r="P18" s="1891" t="s">
        <v>1776</v>
      </c>
      <c r="Q18" s="1891" t="s">
        <v>1776</v>
      </c>
      <c r="R18" s="1662" t="s">
        <v>2911</v>
      </c>
      <c r="U18" s="383"/>
      <c r="V18" s="383"/>
    </row>
    <row r="19" spans="1:44" ht="41.4" customHeight="1">
      <c r="A19" s="1914"/>
      <c r="B19" s="1890"/>
      <c r="C19" s="1980"/>
      <c r="D19" s="1011" t="s">
        <v>1372</v>
      </c>
      <c r="E19" s="962">
        <f>SUM(E18:E18)</f>
        <v>15</v>
      </c>
      <c r="F19" s="963">
        <f t="shared" si="0"/>
        <v>0</v>
      </c>
      <c r="G19" s="962">
        <f t="shared" ref="G19:J19" si="2">SUM(G18:G18)</f>
        <v>16</v>
      </c>
      <c r="H19" s="962">
        <f t="shared" si="2"/>
        <v>15</v>
      </c>
      <c r="I19" s="962">
        <f t="shared" si="2"/>
        <v>17</v>
      </c>
      <c r="J19" s="962">
        <f t="shared" si="2"/>
        <v>18</v>
      </c>
      <c r="K19" s="1886"/>
      <c r="L19" s="1982"/>
      <c r="M19" s="1890"/>
      <c r="N19" s="1941"/>
      <c r="O19" s="1892"/>
      <c r="P19" s="1892"/>
      <c r="Q19" s="1892"/>
      <c r="R19" s="1663"/>
      <c r="U19" s="383"/>
      <c r="V19" s="383"/>
    </row>
    <row r="20" spans="1:44" ht="52.2" customHeight="1">
      <c r="A20" s="1915" t="s">
        <v>2636</v>
      </c>
      <c r="B20" s="1889" t="s">
        <v>1530</v>
      </c>
      <c r="C20" s="1917" t="s">
        <v>1525</v>
      </c>
      <c r="D20" s="943" t="s">
        <v>668</v>
      </c>
      <c r="E20" s="745">
        <v>10</v>
      </c>
      <c r="F20" s="944">
        <f t="shared" si="0"/>
        <v>0</v>
      </c>
      <c r="G20" s="745">
        <v>15</v>
      </c>
      <c r="H20" s="745">
        <v>10</v>
      </c>
      <c r="I20" s="745">
        <v>20</v>
      </c>
      <c r="J20" s="745">
        <v>25</v>
      </c>
      <c r="K20" s="1886"/>
      <c r="L20" s="1991" t="s">
        <v>2211</v>
      </c>
      <c r="M20" s="1889" t="s">
        <v>1785</v>
      </c>
      <c r="N20" s="1997" t="s">
        <v>86</v>
      </c>
      <c r="O20" s="1891" t="s">
        <v>566</v>
      </c>
      <c r="P20" s="1891" t="s">
        <v>835</v>
      </c>
      <c r="Q20" s="1891" t="s">
        <v>208</v>
      </c>
      <c r="R20" s="1663"/>
      <c r="U20" s="383"/>
      <c r="V20" s="383"/>
    </row>
    <row r="21" spans="1:44" ht="58.8" customHeight="1">
      <c r="A21" s="1922"/>
      <c r="B21" s="1921"/>
      <c r="C21" s="1918"/>
      <c r="D21" s="943" t="s">
        <v>1422</v>
      </c>
      <c r="E21" s="745">
        <v>14.532</v>
      </c>
      <c r="F21" s="944">
        <f t="shared" si="0"/>
        <v>-1</v>
      </c>
      <c r="G21" s="745">
        <v>15</v>
      </c>
      <c r="H21" s="745"/>
      <c r="I21" s="745">
        <v>15</v>
      </c>
      <c r="J21" s="745">
        <v>15</v>
      </c>
      <c r="K21" s="1886"/>
      <c r="L21" s="1992"/>
      <c r="M21" s="1921"/>
      <c r="N21" s="1999"/>
      <c r="O21" s="1916"/>
      <c r="P21" s="1916"/>
      <c r="Q21" s="1916"/>
      <c r="R21" s="1663"/>
      <c r="U21" s="383"/>
      <c r="V21" s="383"/>
    </row>
    <row r="22" spans="1:44" ht="77.400000000000006" customHeight="1">
      <c r="A22" s="1914"/>
      <c r="B22" s="1890"/>
      <c r="C22" s="1980"/>
      <c r="D22" s="1011" t="s">
        <v>1372</v>
      </c>
      <c r="E22" s="962">
        <f>SUM(E20:E21)</f>
        <v>24.532</v>
      </c>
      <c r="F22" s="963">
        <f t="shared" si="0"/>
        <v>-0.59236915049730965</v>
      </c>
      <c r="G22" s="962">
        <f>SUM(G20:G21)</f>
        <v>30</v>
      </c>
      <c r="H22" s="962">
        <f t="shared" ref="H22:J22" si="3">SUM(H20:H21)</f>
        <v>10</v>
      </c>
      <c r="I22" s="962">
        <f t="shared" si="3"/>
        <v>35</v>
      </c>
      <c r="J22" s="962">
        <f t="shared" si="3"/>
        <v>40</v>
      </c>
      <c r="K22" s="1886"/>
      <c r="L22" s="1993"/>
      <c r="M22" s="1890"/>
      <c r="N22" s="1941"/>
      <c r="O22" s="1892"/>
      <c r="P22" s="1892"/>
      <c r="Q22" s="1892"/>
      <c r="R22" s="1663"/>
      <c r="U22" s="383"/>
      <c r="V22" s="383"/>
    </row>
    <row r="23" spans="1:44" ht="35.4" customHeight="1">
      <c r="A23" s="1915" t="s">
        <v>2637</v>
      </c>
      <c r="B23" s="1889" t="s">
        <v>3769</v>
      </c>
      <c r="C23" s="1917" t="s">
        <v>1525</v>
      </c>
      <c r="D23" s="1145" t="s">
        <v>668</v>
      </c>
      <c r="E23" s="745">
        <v>1</v>
      </c>
      <c r="F23" s="944">
        <f t="shared" si="0"/>
        <v>-0.5</v>
      </c>
      <c r="G23" s="745">
        <v>0.7</v>
      </c>
      <c r="H23" s="745">
        <v>0.5</v>
      </c>
      <c r="I23" s="745">
        <v>0.8</v>
      </c>
      <c r="J23" s="745">
        <v>1</v>
      </c>
      <c r="K23" s="1886"/>
      <c r="L23" s="1919" t="s">
        <v>2221</v>
      </c>
      <c r="M23" s="1889" t="s">
        <v>1786</v>
      </c>
      <c r="N23" s="1997" t="s">
        <v>2223</v>
      </c>
      <c r="O23" s="1891" t="s">
        <v>612</v>
      </c>
      <c r="P23" s="1891" t="s">
        <v>1776</v>
      </c>
      <c r="Q23" s="1891" t="s">
        <v>1691</v>
      </c>
      <c r="R23" s="1663"/>
      <c r="S23" s="544" t="s">
        <v>3768</v>
      </c>
      <c r="T23" s="392"/>
      <c r="U23" s="383"/>
      <c r="V23" s="383"/>
    </row>
    <row r="24" spans="1:44" ht="35.4" customHeight="1">
      <c r="A24" s="1914"/>
      <c r="B24" s="1890"/>
      <c r="C24" s="1980"/>
      <c r="D24" s="1011" t="s">
        <v>1372</v>
      </c>
      <c r="E24" s="962">
        <f>SUM(E23:E23)</f>
        <v>1</v>
      </c>
      <c r="F24" s="963">
        <f t="shared" si="0"/>
        <v>-0.5</v>
      </c>
      <c r="G24" s="962">
        <f t="shared" ref="G24:J24" si="4">SUM(G23:G23)</f>
        <v>0.7</v>
      </c>
      <c r="H24" s="962">
        <f t="shared" si="4"/>
        <v>0.5</v>
      </c>
      <c r="I24" s="962">
        <f t="shared" si="4"/>
        <v>0.8</v>
      </c>
      <c r="J24" s="962">
        <f t="shared" si="4"/>
        <v>1</v>
      </c>
      <c r="K24" s="1886"/>
      <c r="L24" s="1982"/>
      <c r="M24" s="1890"/>
      <c r="N24" s="1941"/>
      <c r="O24" s="1892"/>
      <c r="P24" s="1892"/>
      <c r="Q24" s="1892"/>
      <c r="R24" s="1663"/>
      <c r="U24" s="383"/>
      <c r="V24" s="383"/>
    </row>
    <row r="25" spans="1:44" ht="36.6" customHeight="1">
      <c r="A25" s="1915" t="s">
        <v>2638</v>
      </c>
      <c r="B25" s="1889" t="s">
        <v>1531</v>
      </c>
      <c r="C25" s="1917" t="s">
        <v>1525</v>
      </c>
      <c r="D25" s="1145" t="s">
        <v>668</v>
      </c>
      <c r="E25" s="745">
        <v>0.5</v>
      </c>
      <c r="F25" s="944">
        <f t="shared" si="0"/>
        <v>176.46</v>
      </c>
      <c r="G25" s="745">
        <v>88.73</v>
      </c>
      <c r="H25" s="745">
        <v>88.73</v>
      </c>
      <c r="I25" s="745">
        <v>98.23</v>
      </c>
      <c r="J25" s="745">
        <v>28.5</v>
      </c>
      <c r="K25" s="1886"/>
      <c r="L25" s="1919" t="s">
        <v>2212</v>
      </c>
      <c r="M25" s="1889" t="s">
        <v>1787</v>
      </c>
      <c r="N25" s="1997" t="s">
        <v>1777</v>
      </c>
      <c r="O25" s="1891" t="s">
        <v>1776</v>
      </c>
      <c r="P25" s="1891" t="s">
        <v>1776</v>
      </c>
      <c r="Q25" s="1891" t="s">
        <v>1776</v>
      </c>
      <c r="R25" s="1663"/>
      <c r="U25" s="383"/>
      <c r="V25" s="383"/>
    </row>
    <row r="26" spans="1:44" ht="77.400000000000006" customHeight="1">
      <c r="A26" s="1914"/>
      <c r="B26" s="1890"/>
      <c r="C26" s="1980"/>
      <c r="D26" s="1011" t="s">
        <v>1372</v>
      </c>
      <c r="E26" s="962">
        <f>SUM(E25:E25)</f>
        <v>0.5</v>
      </c>
      <c r="F26" s="963">
        <f t="shared" si="0"/>
        <v>176.46</v>
      </c>
      <c r="G26" s="962">
        <f>G25</f>
        <v>88.73</v>
      </c>
      <c r="H26" s="962">
        <f t="shared" ref="H26:J26" si="5">H25</f>
        <v>88.73</v>
      </c>
      <c r="I26" s="962">
        <f t="shared" si="5"/>
        <v>98.23</v>
      </c>
      <c r="J26" s="962">
        <f t="shared" si="5"/>
        <v>28.5</v>
      </c>
      <c r="K26" s="1655"/>
      <c r="L26" s="1982"/>
      <c r="M26" s="1890"/>
      <c r="N26" s="1941"/>
      <c r="O26" s="1892"/>
      <c r="P26" s="1892"/>
      <c r="Q26" s="1892"/>
      <c r="R26" s="1663"/>
      <c r="U26" s="383"/>
      <c r="V26" s="383"/>
    </row>
    <row r="27" spans="1:44" ht="66" customHeight="1">
      <c r="A27" s="1915" t="s">
        <v>2639</v>
      </c>
      <c r="B27" s="1889" t="s">
        <v>1532</v>
      </c>
      <c r="C27" s="1917" t="s">
        <v>1525</v>
      </c>
      <c r="D27" s="1145" t="s">
        <v>668</v>
      </c>
      <c r="E27" s="745">
        <v>34.5</v>
      </c>
      <c r="F27" s="944">
        <f t="shared" si="0"/>
        <v>0.43478260869565211</v>
      </c>
      <c r="G27" s="745">
        <v>40</v>
      </c>
      <c r="H27" s="745">
        <v>49.5</v>
      </c>
      <c r="I27" s="745">
        <v>50</v>
      </c>
      <c r="J27" s="745">
        <v>60</v>
      </c>
      <c r="K27" s="1701" t="s">
        <v>1250</v>
      </c>
      <c r="L27" s="1902" t="s">
        <v>2213</v>
      </c>
      <c r="M27" s="1889" t="s">
        <v>1788</v>
      </c>
      <c r="N27" s="1997" t="s">
        <v>1778</v>
      </c>
      <c r="O27" s="1891" t="s">
        <v>612</v>
      </c>
      <c r="P27" s="1891" t="s">
        <v>612</v>
      </c>
      <c r="Q27" s="1891" t="s">
        <v>612</v>
      </c>
      <c r="R27" s="1663" t="s">
        <v>1334</v>
      </c>
      <c r="U27" s="383"/>
      <c r="V27" s="383"/>
    </row>
    <row r="28" spans="1:44" ht="49.95" customHeight="1">
      <c r="A28" s="1922"/>
      <c r="B28" s="1921"/>
      <c r="C28" s="1918"/>
      <c r="D28" s="1011" t="s">
        <v>1372</v>
      </c>
      <c r="E28" s="962">
        <f>SUM(E27:E27)</f>
        <v>34.5</v>
      </c>
      <c r="F28" s="963">
        <f t="shared" si="0"/>
        <v>0.43478260869565211</v>
      </c>
      <c r="G28" s="962">
        <f t="shared" ref="G28:J28" si="6">SUM(G27:G27)</f>
        <v>40</v>
      </c>
      <c r="H28" s="962">
        <f t="shared" si="6"/>
        <v>49.5</v>
      </c>
      <c r="I28" s="962">
        <f t="shared" si="6"/>
        <v>50</v>
      </c>
      <c r="J28" s="962">
        <f t="shared" si="6"/>
        <v>60</v>
      </c>
      <c r="K28" s="1701"/>
      <c r="L28" s="1960"/>
      <c r="M28" s="1921"/>
      <c r="N28" s="1999"/>
      <c r="O28" s="1916"/>
      <c r="P28" s="1916"/>
      <c r="Q28" s="1916"/>
      <c r="R28" s="1664"/>
      <c r="U28" s="383"/>
      <c r="V28" s="383"/>
    </row>
    <row r="29" spans="1:44" ht="39" customHeight="1">
      <c r="A29" s="1915" t="s">
        <v>3463</v>
      </c>
      <c r="B29" s="1889" t="s">
        <v>1576</v>
      </c>
      <c r="C29" s="1917" t="s">
        <v>1525</v>
      </c>
      <c r="D29" s="1145" t="s">
        <v>668</v>
      </c>
      <c r="E29" s="745">
        <v>2.2000000000000002</v>
      </c>
      <c r="F29" s="944">
        <f t="shared" si="0"/>
        <v>1.3636363636363447E-2</v>
      </c>
      <c r="G29" s="745">
        <v>2.226</v>
      </c>
      <c r="H29" s="745">
        <v>2.23</v>
      </c>
      <c r="I29" s="745">
        <v>2.5</v>
      </c>
      <c r="J29" s="745">
        <v>2.5</v>
      </c>
      <c r="K29" s="1701" t="s">
        <v>1250</v>
      </c>
      <c r="L29" s="1902" t="s">
        <v>3798</v>
      </c>
      <c r="M29" s="1986" t="s">
        <v>1900</v>
      </c>
      <c r="N29" s="1986" t="s">
        <v>1859</v>
      </c>
      <c r="O29" s="1891" t="s">
        <v>469</v>
      </c>
      <c r="P29" s="1891" t="s">
        <v>469</v>
      </c>
      <c r="Q29" s="1891" t="s">
        <v>469</v>
      </c>
      <c r="R29" s="1663" t="s">
        <v>1334</v>
      </c>
      <c r="U29" s="383"/>
      <c r="V29" s="383"/>
    </row>
    <row r="30" spans="1:44" ht="49.95" customHeight="1">
      <c r="A30" s="1922"/>
      <c r="B30" s="1921"/>
      <c r="C30" s="1918"/>
      <c r="D30" s="948" t="s">
        <v>1372</v>
      </c>
      <c r="E30" s="949">
        <f>SUM(E29:E29)</f>
        <v>2.2000000000000002</v>
      </c>
      <c r="F30" s="950">
        <f t="shared" si="0"/>
        <v>1.3636363636363447E-2</v>
      </c>
      <c r="G30" s="949">
        <f t="shared" ref="G30:J30" si="7">SUM(G29:G29)</f>
        <v>2.226</v>
      </c>
      <c r="H30" s="949">
        <f t="shared" si="7"/>
        <v>2.23</v>
      </c>
      <c r="I30" s="949">
        <f t="shared" si="7"/>
        <v>2.5</v>
      </c>
      <c r="J30" s="949">
        <f t="shared" si="7"/>
        <v>2.5</v>
      </c>
      <c r="K30" s="1701"/>
      <c r="L30" s="1956"/>
      <c r="M30" s="1987"/>
      <c r="N30" s="1987"/>
      <c r="O30" s="1916"/>
      <c r="P30" s="1916"/>
      <c r="Q30" s="1916"/>
      <c r="R30" s="1664"/>
      <c r="U30" s="383"/>
      <c r="V30" s="383"/>
    </row>
    <row r="31" spans="1:44" ht="34.5" customHeight="1">
      <c r="A31" s="1132" t="s">
        <v>2641</v>
      </c>
      <c r="B31" s="988" t="s">
        <v>2214</v>
      </c>
      <c r="C31" s="952"/>
      <c r="D31" s="953"/>
      <c r="E31" s="954">
        <f>SUM(E33,E35,E37,E39,)</f>
        <v>16.8</v>
      </c>
      <c r="F31" s="955">
        <f t="shared" si="0"/>
        <v>1.2380952380952377</v>
      </c>
      <c r="G31" s="954">
        <f t="shared" ref="G31:J31" si="8">SUM(G33,G35,G37,G39,)</f>
        <v>59.9</v>
      </c>
      <c r="H31" s="954">
        <f t="shared" si="8"/>
        <v>37.599999999999994</v>
      </c>
      <c r="I31" s="954">
        <f t="shared" si="8"/>
        <v>68.5</v>
      </c>
      <c r="J31" s="954">
        <f t="shared" si="8"/>
        <v>78</v>
      </c>
      <c r="K31" s="954" t="s">
        <v>1333</v>
      </c>
      <c r="L31" s="1133"/>
      <c r="M31" s="988" t="s">
        <v>1790</v>
      </c>
      <c r="N31" s="988" t="s">
        <v>1231</v>
      </c>
      <c r="O31" s="1140" t="s">
        <v>835</v>
      </c>
      <c r="P31" s="1140" t="s">
        <v>3160</v>
      </c>
      <c r="Q31" s="1140" t="s">
        <v>3161</v>
      </c>
      <c r="R31" s="1043" t="s">
        <v>1231</v>
      </c>
      <c r="U31" s="383"/>
      <c r="V31" s="383"/>
    </row>
    <row r="32" spans="1:44" ht="40.200000000000003" customHeight="1">
      <c r="A32" s="1905" t="s">
        <v>2642</v>
      </c>
      <c r="B32" s="1900" t="s">
        <v>1533</v>
      </c>
      <c r="C32" s="1896">
        <v>188711925</v>
      </c>
      <c r="D32" s="956" t="s">
        <v>668</v>
      </c>
      <c r="E32" s="947">
        <v>7</v>
      </c>
      <c r="F32" s="957">
        <f t="shared" si="0"/>
        <v>0.14285714285714279</v>
      </c>
      <c r="G32" s="947">
        <v>21.4</v>
      </c>
      <c r="H32" s="947">
        <v>8</v>
      </c>
      <c r="I32" s="958">
        <v>21</v>
      </c>
      <c r="J32" s="959">
        <v>22</v>
      </c>
      <c r="K32" s="1990" t="s">
        <v>2839</v>
      </c>
      <c r="L32" s="1902" t="s">
        <v>2215</v>
      </c>
      <c r="M32" s="1890" t="s">
        <v>1791</v>
      </c>
      <c r="N32" s="1941" t="s">
        <v>1779</v>
      </c>
      <c r="O32" s="1892" t="s">
        <v>1776</v>
      </c>
      <c r="P32" s="1892" t="s">
        <v>551</v>
      </c>
      <c r="Q32" s="1892" t="s">
        <v>1727</v>
      </c>
      <c r="R32" s="2009" t="s">
        <v>2912</v>
      </c>
      <c r="U32" s="383"/>
      <c r="V32" s="383"/>
    </row>
    <row r="33" spans="1:22" ht="24.6" customHeight="1">
      <c r="A33" s="1905"/>
      <c r="B33" s="1900"/>
      <c r="C33" s="1896"/>
      <c r="D33" s="961" t="s">
        <v>1372</v>
      </c>
      <c r="E33" s="962">
        <f>E32</f>
        <v>7</v>
      </c>
      <c r="F33" s="963">
        <f t="shared" ref="F33:F71" si="9">H33/E33-1</f>
        <v>0.14285714285714279</v>
      </c>
      <c r="G33" s="962">
        <f t="shared" ref="G33:J33" si="10">G32</f>
        <v>21.4</v>
      </c>
      <c r="H33" s="962">
        <f t="shared" si="10"/>
        <v>8</v>
      </c>
      <c r="I33" s="962">
        <f t="shared" si="10"/>
        <v>21</v>
      </c>
      <c r="J33" s="964">
        <f t="shared" si="10"/>
        <v>22</v>
      </c>
      <c r="K33" s="1990"/>
      <c r="L33" s="1956"/>
      <c r="M33" s="1893"/>
      <c r="N33" s="1937"/>
      <c r="O33" s="1938"/>
      <c r="P33" s="1938"/>
      <c r="Q33" s="1938"/>
      <c r="R33" s="2010"/>
      <c r="U33" s="383"/>
      <c r="V33" s="383"/>
    </row>
    <row r="34" spans="1:22" ht="50.4" customHeight="1">
      <c r="A34" s="1905" t="s">
        <v>2643</v>
      </c>
      <c r="B34" s="1900" t="s">
        <v>1534</v>
      </c>
      <c r="C34" s="1896">
        <v>188711925</v>
      </c>
      <c r="D34" s="956" t="s">
        <v>668</v>
      </c>
      <c r="E34" s="947">
        <v>2.4</v>
      </c>
      <c r="F34" s="957">
        <f t="shared" si="9"/>
        <v>0</v>
      </c>
      <c r="G34" s="947">
        <v>2.5</v>
      </c>
      <c r="H34" s="947">
        <v>2.4</v>
      </c>
      <c r="I34" s="958">
        <v>2.5</v>
      </c>
      <c r="J34" s="959">
        <v>3</v>
      </c>
      <c r="K34" s="1887" t="s">
        <v>2913</v>
      </c>
      <c r="L34" s="1902" t="s">
        <v>2216</v>
      </c>
      <c r="M34" s="1890" t="s">
        <v>1792</v>
      </c>
      <c r="N34" s="1890" t="s">
        <v>2217</v>
      </c>
      <c r="O34" s="1891" t="s">
        <v>612</v>
      </c>
      <c r="P34" s="1891" t="s">
        <v>1691</v>
      </c>
      <c r="Q34" s="1891" t="s">
        <v>1707</v>
      </c>
      <c r="R34" s="2011" t="s">
        <v>2914</v>
      </c>
      <c r="U34" s="383"/>
      <c r="V34" s="383"/>
    </row>
    <row r="35" spans="1:22" ht="37.200000000000003" customHeight="1">
      <c r="A35" s="1905"/>
      <c r="B35" s="1901"/>
      <c r="C35" s="1897"/>
      <c r="D35" s="966" t="s">
        <v>1372</v>
      </c>
      <c r="E35" s="949">
        <f>E34</f>
        <v>2.4</v>
      </c>
      <c r="F35" s="963">
        <f t="shared" si="9"/>
        <v>0</v>
      </c>
      <c r="G35" s="949">
        <f>SUM(G34)</f>
        <v>2.5</v>
      </c>
      <c r="H35" s="949">
        <f t="shared" ref="H35:J35" si="11">SUM(H34)</f>
        <v>2.4</v>
      </c>
      <c r="I35" s="949">
        <f t="shared" si="11"/>
        <v>2.5</v>
      </c>
      <c r="J35" s="949">
        <f t="shared" si="11"/>
        <v>3</v>
      </c>
      <c r="K35" s="1888"/>
      <c r="L35" s="1956"/>
      <c r="M35" s="1893"/>
      <c r="N35" s="1893"/>
      <c r="O35" s="1892"/>
      <c r="P35" s="1892"/>
      <c r="Q35" s="1892"/>
      <c r="R35" s="2010"/>
      <c r="U35" s="383"/>
      <c r="V35" s="383"/>
    </row>
    <row r="36" spans="1:22" ht="35.4" customHeight="1">
      <c r="A36" s="1905" t="s">
        <v>2644</v>
      </c>
      <c r="B36" s="1900" t="s">
        <v>1535</v>
      </c>
      <c r="C36" s="1896">
        <v>188711925</v>
      </c>
      <c r="D36" s="956" t="s">
        <v>668</v>
      </c>
      <c r="E36" s="947">
        <v>3</v>
      </c>
      <c r="F36" s="957">
        <f t="shared" si="9"/>
        <v>1</v>
      </c>
      <c r="G36" s="947">
        <v>21</v>
      </c>
      <c r="H36" s="947">
        <v>6</v>
      </c>
      <c r="I36" s="958">
        <v>25</v>
      </c>
      <c r="J36" s="947">
        <v>28</v>
      </c>
      <c r="K36" s="1887" t="s">
        <v>2915</v>
      </c>
      <c r="L36" s="1898" t="s">
        <v>2219</v>
      </c>
      <c r="M36" s="1890" t="s">
        <v>1793</v>
      </c>
      <c r="N36" s="1890" t="s">
        <v>2218</v>
      </c>
      <c r="O36" s="1891" t="s">
        <v>612</v>
      </c>
      <c r="P36" s="1891" t="s">
        <v>1776</v>
      </c>
      <c r="Q36" s="1891" t="s">
        <v>1776</v>
      </c>
      <c r="R36" s="2011" t="s">
        <v>2916</v>
      </c>
      <c r="U36" s="383"/>
      <c r="V36" s="383"/>
    </row>
    <row r="37" spans="1:22" ht="35.25" customHeight="1">
      <c r="A37" s="1905"/>
      <c r="B37" s="1901"/>
      <c r="C37" s="1897"/>
      <c r="D37" s="966" t="s">
        <v>1372</v>
      </c>
      <c r="E37" s="949">
        <f>E36</f>
        <v>3</v>
      </c>
      <c r="F37" s="963">
        <f t="shared" si="9"/>
        <v>1</v>
      </c>
      <c r="G37" s="949">
        <f t="shared" ref="G37:J37" si="12">G36</f>
        <v>21</v>
      </c>
      <c r="H37" s="949">
        <f t="shared" si="12"/>
        <v>6</v>
      </c>
      <c r="I37" s="949">
        <f t="shared" si="12"/>
        <v>25</v>
      </c>
      <c r="J37" s="962">
        <f t="shared" si="12"/>
        <v>28</v>
      </c>
      <c r="K37" s="1888"/>
      <c r="L37" s="1899"/>
      <c r="M37" s="1893"/>
      <c r="N37" s="1893"/>
      <c r="O37" s="1892"/>
      <c r="P37" s="1892"/>
      <c r="Q37" s="1892"/>
      <c r="R37" s="2010"/>
      <c r="U37" s="383"/>
      <c r="V37" s="383"/>
    </row>
    <row r="38" spans="1:22" ht="20.100000000000001" customHeight="1">
      <c r="A38" s="1905" t="s">
        <v>2645</v>
      </c>
      <c r="B38" s="1900" t="s">
        <v>1536</v>
      </c>
      <c r="C38" s="1896">
        <v>188711925</v>
      </c>
      <c r="D38" s="956" t="s">
        <v>668</v>
      </c>
      <c r="E38" s="947">
        <v>4.4000000000000004</v>
      </c>
      <c r="F38" s="957">
        <f t="shared" si="9"/>
        <v>3.8181818181818175</v>
      </c>
      <c r="G38" s="947">
        <v>15</v>
      </c>
      <c r="H38" s="947">
        <v>21.2</v>
      </c>
      <c r="I38" s="958">
        <v>20</v>
      </c>
      <c r="J38" s="947">
        <v>25</v>
      </c>
      <c r="K38" s="1887" t="s">
        <v>3162</v>
      </c>
      <c r="L38" s="1898" t="s">
        <v>2220</v>
      </c>
      <c r="M38" s="1890" t="s">
        <v>1794</v>
      </c>
      <c r="N38" s="1890" t="s">
        <v>1780</v>
      </c>
      <c r="O38" s="1891" t="s">
        <v>209</v>
      </c>
      <c r="P38" s="1891" t="s">
        <v>251</v>
      </c>
      <c r="Q38" s="1891" t="s">
        <v>11</v>
      </c>
      <c r="R38" s="2011" t="s">
        <v>3163</v>
      </c>
      <c r="U38" s="383"/>
      <c r="V38" s="383"/>
    </row>
    <row r="39" spans="1:22" ht="61.2" customHeight="1">
      <c r="A39" s="1905"/>
      <c r="B39" s="1901"/>
      <c r="C39" s="1897"/>
      <c r="D39" s="966" t="s">
        <v>1372</v>
      </c>
      <c r="E39" s="949">
        <f>E38</f>
        <v>4.4000000000000004</v>
      </c>
      <c r="F39" s="950">
        <f t="shared" si="9"/>
        <v>3.8181818181818175</v>
      </c>
      <c r="G39" s="949">
        <f t="shared" ref="G39:J39" si="13">G38</f>
        <v>15</v>
      </c>
      <c r="H39" s="949">
        <f t="shared" si="13"/>
        <v>21.2</v>
      </c>
      <c r="I39" s="949">
        <f t="shared" si="13"/>
        <v>20</v>
      </c>
      <c r="J39" s="962">
        <f t="shared" si="13"/>
        <v>25</v>
      </c>
      <c r="K39" s="1888"/>
      <c r="L39" s="1899"/>
      <c r="M39" s="1893"/>
      <c r="N39" s="1893"/>
      <c r="O39" s="1892"/>
      <c r="P39" s="1892"/>
      <c r="Q39" s="1892"/>
      <c r="R39" s="2010"/>
      <c r="U39" s="383"/>
      <c r="V39" s="383"/>
    </row>
    <row r="40" spans="1:22" ht="34.200000000000003" customHeight="1">
      <c r="A40" s="740" t="s">
        <v>2646</v>
      </c>
      <c r="B40" s="664" t="s">
        <v>2647</v>
      </c>
      <c r="C40" s="740"/>
      <c r="D40" s="740"/>
      <c r="E40" s="741">
        <f>SUM(E42,E44,E47,E49)</f>
        <v>172.5</v>
      </c>
      <c r="F40" s="1074">
        <f t="shared" si="9"/>
        <v>5.7333333333333236E-2</v>
      </c>
      <c r="G40" s="741">
        <f t="shared" ref="G40:J40" si="14">SUM(G42,G44,G47,G49)</f>
        <v>186.89</v>
      </c>
      <c r="H40" s="795">
        <f t="shared" si="14"/>
        <v>182.39</v>
      </c>
      <c r="I40" s="795">
        <f t="shared" si="14"/>
        <v>220.45</v>
      </c>
      <c r="J40" s="795">
        <f t="shared" si="14"/>
        <v>175.45</v>
      </c>
      <c r="K40" s="871" t="s">
        <v>1259</v>
      </c>
      <c r="L40" s="740"/>
      <c r="M40" s="759" t="s">
        <v>1795</v>
      </c>
      <c r="N40" s="759" t="s">
        <v>2224</v>
      </c>
      <c r="O40" s="1146" t="s">
        <v>2225</v>
      </c>
      <c r="P40" s="1146" t="s">
        <v>2226</v>
      </c>
      <c r="Q40" s="1146" t="s">
        <v>2227</v>
      </c>
      <c r="R40" s="1146" t="s">
        <v>1261</v>
      </c>
      <c r="U40" s="383"/>
      <c r="V40" s="383"/>
    </row>
    <row r="41" spans="1:22" ht="20.100000000000001" customHeight="1">
      <c r="A41" s="1914" t="s">
        <v>2648</v>
      </c>
      <c r="B41" s="1912" t="s">
        <v>1537</v>
      </c>
      <c r="C41" s="1906">
        <v>188711925</v>
      </c>
      <c r="D41" s="1082" t="s">
        <v>668</v>
      </c>
      <c r="E41" s="965">
        <v>3.5</v>
      </c>
      <c r="F41" s="1119">
        <f t="shared" si="9"/>
        <v>-0.5714285714285714</v>
      </c>
      <c r="G41" s="965">
        <v>4</v>
      </c>
      <c r="H41" s="965">
        <v>1.5</v>
      </c>
      <c r="I41" s="1120">
        <v>6</v>
      </c>
      <c r="J41" s="1121">
        <v>6</v>
      </c>
      <c r="K41" s="1887" t="s">
        <v>2917</v>
      </c>
      <c r="L41" s="1960" t="s">
        <v>2222</v>
      </c>
      <c r="M41" s="1893" t="s">
        <v>1797</v>
      </c>
      <c r="N41" s="1937" t="s">
        <v>307</v>
      </c>
      <c r="O41" s="1938" t="s">
        <v>1776</v>
      </c>
      <c r="P41" s="1938" t="s">
        <v>1776</v>
      </c>
      <c r="Q41" s="1938" t="s">
        <v>1776</v>
      </c>
      <c r="R41" s="1662" t="s">
        <v>2918</v>
      </c>
      <c r="U41" s="383"/>
      <c r="V41" s="383"/>
    </row>
    <row r="42" spans="1:22" ht="25.5" customHeight="1">
      <c r="A42" s="1905"/>
      <c r="B42" s="1900"/>
      <c r="C42" s="1896"/>
      <c r="D42" s="961" t="s">
        <v>1372</v>
      </c>
      <c r="E42" s="962">
        <f>E41</f>
        <v>3.5</v>
      </c>
      <c r="F42" s="963">
        <f t="shared" si="9"/>
        <v>-0.5714285714285714</v>
      </c>
      <c r="G42" s="962">
        <f t="shared" ref="G42:J42" si="15">G41</f>
        <v>4</v>
      </c>
      <c r="H42" s="962">
        <f t="shared" si="15"/>
        <v>1.5</v>
      </c>
      <c r="I42" s="962">
        <f t="shared" si="15"/>
        <v>6</v>
      </c>
      <c r="J42" s="964">
        <f t="shared" si="15"/>
        <v>6</v>
      </c>
      <c r="K42" s="1888"/>
      <c r="L42" s="1956"/>
      <c r="M42" s="1893"/>
      <c r="N42" s="1937"/>
      <c r="O42" s="1938"/>
      <c r="P42" s="1938"/>
      <c r="Q42" s="1938"/>
      <c r="R42" s="1664"/>
      <c r="U42" s="383"/>
      <c r="V42" s="383"/>
    </row>
    <row r="43" spans="1:22" ht="20.100000000000001" customHeight="1">
      <c r="A43" s="1905" t="s">
        <v>2649</v>
      </c>
      <c r="B43" s="1900" t="s">
        <v>683</v>
      </c>
      <c r="C43" s="1896">
        <v>188711925</v>
      </c>
      <c r="D43" s="956" t="s">
        <v>668</v>
      </c>
      <c r="E43" s="947">
        <v>110.1</v>
      </c>
      <c r="F43" s="957">
        <f t="shared" si="9"/>
        <v>0.21607629427792907</v>
      </c>
      <c r="G43" s="947">
        <v>133.88999999999999</v>
      </c>
      <c r="H43" s="947">
        <v>133.88999999999999</v>
      </c>
      <c r="I43" s="958">
        <v>163.44999999999999</v>
      </c>
      <c r="J43" s="959">
        <v>163.44999999999999</v>
      </c>
      <c r="K43" s="1887" t="s">
        <v>2919</v>
      </c>
      <c r="L43" s="1902" t="s">
        <v>3799</v>
      </c>
      <c r="M43" s="1890" t="s">
        <v>1796</v>
      </c>
      <c r="N43" s="1890" t="s">
        <v>39</v>
      </c>
      <c r="O43" s="1891" t="s">
        <v>845</v>
      </c>
      <c r="P43" s="1891" t="s">
        <v>845</v>
      </c>
      <c r="Q43" s="1891" t="s">
        <v>845</v>
      </c>
      <c r="R43" s="1662" t="s">
        <v>2920</v>
      </c>
      <c r="U43" s="383"/>
      <c r="V43" s="383"/>
    </row>
    <row r="44" spans="1:22" ht="20.100000000000001" customHeight="1">
      <c r="A44" s="1905"/>
      <c r="B44" s="1901"/>
      <c r="C44" s="1897"/>
      <c r="D44" s="966" t="s">
        <v>1372</v>
      </c>
      <c r="E44" s="949">
        <f>E43</f>
        <v>110.1</v>
      </c>
      <c r="F44" s="963">
        <f t="shared" si="9"/>
        <v>0.21607629427792907</v>
      </c>
      <c r="G44" s="949">
        <f t="shared" ref="G44:J44" si="16">G43</f>
        <v>133.88999999999999</v>
      </c>
      <c r="H44" s="949">
        <f t="shared" si="16"/>
        <v>133.88999999999999</v>
      </c>
      <c r="I44" s="949">
        <f t="shared" si="16"/>
        <v>163.44999999999999</v>
      </c>
      <c r="J44" s="949">
        <f t="shared" si="16"/>
        <v>163.44999999999999</v>
      </c>
      <c r="K44" s="1888"/>
      <c r="L44" s="1956"/>
      <c r="M44" s="1893"/>
      <c r="N44" s="1893"/>
      <c r="O44" s="1892"/>
      <c r="P44" s="1892"/>
      <c r="Q44" s="1892"/>
      <c r="R44" s="1664"/>
      <c r="U44" s="383"/>
      <c r="V44" s="383"/>
    </row>
    <row r="45" spans="1:22" ht="20.100000000000001" hidden="1" customHeight="1">
      <c r="A45" s="1053"/>
      <c r="B45" s="1134" t="s">
        <v>3800</v>
      </c>
      <c r="C45" s="1055"/>
      <c r="D45" s="1092"/>
      <c r="E45" s="1062"/>
      <c r="F45" s="1122"/>
      <c r="G45" s="1062"/>
      <c r="H45" s="1023">
        <v>45</v>
      </c>
      <c r="I45" s="1024"/>
      <c r="J45" s="1024"/>
      <c r="K45" s="1123"/>
      <c r="L45" s="1086"/>
      <c r="M45" s="1017"/>
      <c r="N45" s="1017"/>
      <c r="O45" s="1465"/>
      <c r="P45" s="1465"/>
      <c r="Q45" s="1465"/>
      <c r="R45" s="1135"/>
      <c r="U45" s="383"/>
      <c r="V45" s="383"/>
    </row>
    <row r="46" spans="1:22" ht="20.100000000000001" customHeight="1">
      <c r="A46" s="1905" t="s">
        <v>2650</v>
      </c>
      <c r="B46" s="1900" t="s">
        <v>1538</v>
      </c>
      <c r="C46" s="1896">
        <v>188711925</v>
      </c>
      <c r="D46" s="956" t="s">
        <v>668</v>
      </c>
      <c r="E46" s="947">
        <v>2.9</v>
      </c>
      <c r="F46" s="957">
        <f t="shared" si="9"/>
        <v>-0.31034482758620685</v>
      </c>
      <c r="G46" s="947">
        <v>4</v>
      </c>
      <c r="H46" s="965">
        <v>2</v>
      </c>
      <c r="I46" s="1120">
        <v>6</v>
      </c>
      <c r="J46" s="965">
        <v>6</v>
      </c>
      <c r="K46" s="1887" t="s">
        <v>2921</v>
      </c>
      <c r="L46" s="1898" t="s">
        <v>2228</v>
      </c>
      <c r="M46" s="1890" t="s">
        <v>1798</v>
      </c>
      <c r="N46" s="1890" t="s">
        <v>1781</v>
      </c>
      <c r="O46" s="1891" t="s">
        <v>612</v>
      </c>
      <c r="P46" s="1891" t="s">
        <v>612</v>
      </c>
      <c r="Q46" s="1891" t="s">
        <v>1776</v>
      </c>
      <c r="R46" s="1662" t="s">
        <v>2922</v>
      </c>
      <c r="U46" s="383"/>
      <c r="V46" s="383"/>
    </row>
    <row r="47" spans="1:22" ht="33" customHeight="1">
      <c r="A47" s="1905"/>
      <c r="B47" s="1901"/>
      <c r="C47" s="1897"/>
      <c r="D47" s="966" t="s">
        <v>1372</v>
      </c>
      <c r="E47" s="949">
        <f>E46</f>
        <v>2.9</v>
      </c>
      <c r="F47" s="963">
        <f t="shared" si="9"/>
        <v>-0.31034482758620685</v>
      </c>
      <c r="G47" s="949">
        <f t="shared" ref="G47:J47" si="17">G46</f>
        <v>4</v>
      </c>
      <c r="H47" s="949">
        <f t="shared" si="17"/>
        <v>2</v>
      </c>
      <c r="I47" s="949">
        <f t="shared" si="17"/>
        <v>6</v>
      </c>
      <c r="J47" s="962">
        <f t="shared" si="17"/>
        <v>6</v>
      </c>
      <c r="K47" s="1888"/>
      <c r="L47" s="1899"/>
      <c r="M47" s="1893"/>
      <c r="N47" s="1893"/>
      <c r="O47" s="1892"/>
      <c r="P47" s="1892"/>
      <c r="Q47" s="1892"/>
      <c r="R47" s="1664"/>
      <c r="U47" s="383"/>
      <c r="V47" s="383"/>
    </row>
    <row r="48" spans="1:22" ht="20.100000000000001" customHeight="1">
      <c r="A48" s="1905" t="s">
        <v>2651</v>
      </c>
      <c r="B48" s="1900" t="s">
        <v>1539</v>
      </c>
      <c r="C48" s="1896">
        <v>188711925</v>
      </c>
      <c r="D48" s="956" t="s">
        <v>668</v>
      </c>
      <c r="E48" s="947">
        <v>56</v>
      </c>
      <c r="F48" s="957">
        <f t="shared" si="9"/>
        <v>-0.1964285714285714</v>
      </c>
      <c r="G48" s="947">
        <v>45</v>
      </c>
      <c r="H48" s="947">
        <v>45</v>
      </c>
      <c r="I48" s="958">
        <v>45</v>
      </c>
      <c r="J48" s="947"/>
      <c r="K48" s="1887" t="s">
        <v>2923</v>
      </c>
      <c r="L48" s="1898" t="s">
        <v>2230</v>
      </c>
      <c r="M48" s="1890" t="s">
        <v>1799</v>
      </c>
      <c r="N48" s="1890" t="s">
        <v>1782</v>
      </c>
      <c r="O48" s="1891" t="s">
        <v>208</v>
      </c>
      <c r="P48" s="1891" t="s">
        <v>208</v>
      </c>
      <c r="Q48" s="1891" t="s">
        <v>613</v>
      </c>
      <c r="R48" s="1662" t="s">
        <v>2924</v>
      </c>
      <c r="U48" s="383"/>
      <c r="V48" s="383"/>
    </row>
    <row r="49" spans="1:22" ht="28.95" customHeight="1">
      <c r="A49" s="1905"/>
      <c r="B49" s="1901"/>
      <c r="C49" s="1897"/>
      <c r="D49" s="966" t="s">
        <v>1372</v>
      </c>
      <c r="E49" s="949">
        <f>E48</f>
        <v>56</v>
      </c>
      <c r="F49" s="963">
        <f t="shared" si="9"/>
        <v>-0.1964285714285714</v>
      </c>
      <c r="G49" s="949">
        <f t="shared" ref="G49:J49" si="18">G48</f>
        <v>45</v>
      </c>
      <c r="H49" s="949">
        <f t="shared" si="18"/>
        <v>45</v>
      </c>
      <c r="I49" s="949">
        <f t="shared" si="18"/>
        <v>45</v>
      </c>
      <c r="J49" s="962">
        <f t="shared" si="18"/>
        <v>0</v>
      </c>
      <c r="K49" s="1888"/>
      <c r="L49" s="1899"/>
      <c r="M49" s="1893"/>
      <c r="N49" s="1893"/>
      <c r="O49" s="1892"/>
      <c r="P49" s="1892"/>
      <c r="Q49" s="1892"/>
      <c r="R49" s="1664"/>
      <c r="U49" s="383"/>
      <c r="V49" s="383"/>
    </row>
    <row r="50" spans="1:22" ht="67.8" customHeight="1">
      <c r="A50" s="1136" t="s">
        <v>2652</v>
      </c>
      <c r="B50" s="1137" t="s">
        <v>2653</v>
      </c>
      <c r="C50" s="1136"/>
      <c r="D50" s="1136"/>
      <c r="E50" s="1138">
        <f>SUM(E52,E54,)</f>
        <v>35.26</v>
      </c>
      <c r="F50" s="1139">
        <f t="shared" si="9"/>
        <v>-0.77768009075439593</v>
      </c>
      <c r="G50" s="1138">
        <f t="shared" ref="G50:J50" si="19">SUM(G52,G54,)</f>
        <v>7.8390000000000004</v>
      </c>
      <c r="H50" s="954">
        <f>SUM(H52,H54,)</f>
        <v>7.8390000000000004</v>
      </c>
      <c r="I50" s="954">
        <f t="shared" si="19"/>
        <v>3</v>
      </c>
      <c r="J50" s="954">
        <f t="shared" si="19"/>
        <v>3</v>
      </c>
      <c r="K50" s="1140" t="s">
        <v>1259</v>
      </c>
      <c r="L50" s="1136"/>
      <c r="M50" s="988" t="s">
        <v>1800</v>
      </c>
      <c r="N50" s="988" t="s">
        <v>1783</v>
      </c>
      <c r="O50" s="1140" t="s">
        <v>469</v>
      </c>
      <c r="P50" s="1140" t="s">
        <v>469</v>
      </c>
      <c r="Q50" s="1140" t="s">
        <v>469</v>
      </c>
      <c r="R50" s="1140" t="s">
        <v>1261</v>
      </c>
      <c r="U50" s="383"/>
      <c r="V50" s="383"/>
    </row>
    <row r="51" spans="1:22" ht="20.100000000000001" customHeight="1">
      <c r="A51" s="1914" t="s">
        <v>2654</v>
      </c>
      <c r="B51" s="1912" t="s">
        <v>1540</v>
      </c>
      <c r="C51" s="1906">
        <v>188711925</v>
      </c>
      <c r="D51" s="1082" t="s">
        <v>668</v>
      </c>
      <c r="E51" s="965">
        <v>3</v>
      </c>
      <c r="F51" s="1119">
        <f t="shared" si="9"/>
        <v>0</v>
      </c>
      <c r="G51" s="965">
        <v>3</v>
      </c>
      <c r="H51" s="965">
        <v>3</v>
      </c>
      <c r="I51" s="1120">
        <v>3</v>
      </c>
      <c r="J51" s="1121">
        <v>3</v>
      </c>
      <c r="K51" s="1887" t="s">
        <v>2925</v>
      </c>
      <c r="L51" s="1960" t="s">
        <v>1774</v>
      </c>
      <c r="M51" s="1890" t="s">
        <v>1801</v>
      </c>
      <c r="N51" s="1941" t="s">
        <v>2192</v>
      </c>
      <c r="O51" s="1892" t="s">
        <v>551</v>
      </c>
      <c r="P51" s="1892" t="s">
        <v>551</v>
      </c>
      <c r="Q51" s="1892" t="s">
        <v>551</v>
      </c>
      <c r="R51" s="1662" t="s">
        <v>509</v>
      </c>
      <c r="U51" s="383"/>
      <c r="V51" s="383"/>
    </row>
    <row r="52" spans="1:22" ht="87.6" customHeight="1">
      <c r="A52" s="1915"/>
      <c r="B52" s="1901"/>
      <c r="C52" s="1897"/>
      <c r="D52" s="961" t="s">
        <v>1372</v>
      </c>
      <c r="E52" s="962">
        <f>E51</f>
        <v>3</v>
      </c>
      <c r="F52" s="963">
        <f t="shared" si="9"/>
        <v>0</v>
      </c>
      <c r="G52" s="962">
        <f t="shared" ref="G52:J52" si="20">G51</f>
        <v>3</v>
      </c>
      <c r="H52" s="962">
        <f t="shared" si="20"/>
        <v>3</v>
      </c>
      <c r="I52" s="962">
        <f t="shared" si="20"/>
        <v>3</v>
      </c>
      <c r="J52" s="964">
        <f t="shared" si="20"/>
        <v>3</v>
      </c>
      <c r="K52" s="2012"/>
      <c r="L52" s="1956"/>
      <c r="M52" s="1893"/>
      <c r="N52" s="1937"/>
      <c r="O52" s="1938"/>
      <c r="P52" s="1938"/>
      <c r="Q52" s="1938"/>
      <c r="R52" s="1663"/>
      <c r="U52" s="383"/>
      <c r="V52" s="383"/>
    </row>
    <row r="53" spans="1:22" ht="38.4" customHeight="1">
      <c r="A53" s="1984" t="s">
        <v>3523</v>
      </c>
      <c r="B53" s="2015" t="s">
        <v>1759</v>
      </c>
      <c r="C53" s="1951">
        <v>188711925</v>
      </c>
      <c r="D53" s="1124" t="s">
        <v>341</v>
      </c>
      <c r="E53" s="947">
        <v>32.26</v>
      </c>
      <c r="F53" s="957">
        <f t="shared" si="9"/>
        <v>-0.85</v>
      </c>
      <c r="G53" s="947">
        <v>4.8390000000000004</v>
      </c>
      <c r="H53" s="947">
        <v>4.8390000000000004</v>
      </c>
      <c r="I53" s="958"/>
      <c r="J53" s="959"/>
      <c r="K53" s="2012"/>
      <c r="L53" s="1902" t="s">
        <v>2229</v>
      </c>
      <c r="M53" s="2016" t="s">
        <v>1802</v>
      </c>
      <c r="N53" s="1143" t="s">
        <v>1761</v>
      </c>
      <c r="O53" s="1404" t="s">
        <v>1767</v>
      </c>
      <c r="P53" s="1938"/>
      <c r="Q53" s="1938"/>
      <c r="R53" s="1663"/>
      <c r="U53" s="383"/>
      <c r="V53" s="383"/>
    </row>
    <row r="54" spans="1:22" ht="20.100000000000001" customHeight="1">
      <c r="A54" s="1984"/>
      <c r="B54" s="2015"/>
      <c r="C54" s="1951"/>
      <c r="D54" s="2017" t="s">
        <v>1372</v>
      </c>
      <c r="E54" s="2006">
        <f>E53</f>
        <v>32.26</v>
      </c>
      <c r="F54" s="2013">
        <f t="shared" si="9"/>
        <v>-0.85</v>
      </c>
      <c r="G54" s="2006">
        <f t="shared" ref="G54:J54" si="21">G53</f>
        <v>4.8390000000000004</v>
      </c>
      <c r="H54" s="2006">
        <f t="shared" si="21"/>
        <v>4.8390000000000004</v>
      </c>
      <c r="I54" s="2008">
        <f t="shared" si="21"/>
        <v>0</v>
      </c>
      <c r="J54" s="2006">
        <f t="shared" si="21"/>
        <v>0</v>
      </c>
      <c r="K54" s="2012"/>
      <c r="L54" s="1960"/>
      <c r="M54" s="2016"/>
      <c r="N54" s="1143" t="s">
        <v>1762</v>
      </c>
      <c r="O54" s="1404" t="s">
        <v>1768</v>
      </c>
      <c r="P54" s="1938"/>
      <c r="Q54" s="1938"/>
      <c r="R54" s="1663"/>
      <c r="U54" s="383"/>
      <c r="V54" s="383"/>
    </row>
    <row r="55" spans="1:22" ht="20.100000000000001" customHeight="1">
      <c r="A55" s="1984"/>
      <c r="B55" s="2015"/>
      <c r="C55" s="1951"/>
      <c r="D55" s="2018"/>
      <c r="E55" s="2007"/>
      <c r="F55" s="2014" t="e">
        <f t="shared" si="9"/>
        <v>#DIV/0!</v>
      </c>
      <c r="G55" s="2007"/>
      <c r="H55" s="2007"/>
      <c r="I55" s="2007"/>
      <c r="J55" s="2007"/>
      <c r="K55" s="2012"/>
      <c r="L55" s="1960"/>
      <c r="M55" s="2016"/>
      <c r="N55" s="1010" t="s">
        <v>1763</v>
      </c>
      <c r="O55" s="1404" t="s">
        <v>1769</v>
      </c>
      <c r="P55" s="1404"/>
      <c r="Q55" s="1404"/>
      <c r="R55" s="1663"/>
      <c r="U55" s="383"/>
      <c r="V55" s="383"/>
    </row>
    <row r="56" spans="1:22" ht="39.6" customHeight="1">
      <c r="A56" s="1984"/>
      <c r="B56" s="2015"/>
      <c r="C56" s="1951"/>
      <c r="D56" s="2018"/>
      <c r="E56" s="2007"/>
      <c r="F56" s="2014" t="e">
        <f t="shared" si="9"/>
        <v>#DIV/0!</v>
      </c>
      <c r="G56" s="2007"/>
      <c r="H56" s="2007"/>
      <c r="I56" s="2007"/>
      <c r="J56" s="2007"/>
      <c r="K56" s="2012"/>
      <c r="L56" s="1960"/>
      <c r="M56" s="2016"/>
      <c r="N56" s="1010" t="s">
        <v>1764</v>
      </c>
      <c r="O56" s="1404" t="s">
        <v>1770</v>
      </c>
      <c r="P56" s="1404"/>
      <c r="Q56" s="1404"/>
      <c r="R56" s="1663"/>
      <c r="U56" s="383"/>
      <c r="V56" s="383"/>
    </row>
    <row r="57" spans="1:22" ht="20.100000000000001" customHeight="1">
      <c r="A57" s="1984"/>
      <c r="B57" s="2015"/>
      <c r="C57" s="1951"/>
      <c r="D57" s="2018"/>
      <c r="E57" s="2007"/>
      <c r="F57" s="2014" t="e">
        <f t="shared" si="9"/>
        <v>#DIV/0!</v>
      </c>
      <c r="G57" s="2007"/>
      <c r="H57" s="2007"/>
      <c r="I57" s="2007"/>
      <c r="J57" s="2007"/>
      <c r="K57" s="2012"/>
      <c r="L57" s="1960"/>
      <c r="M57" s="2016"/>
      <c r="N57" s="1010" t="s">
        <v>1765</v>
      </c>
      <c r="O57" s="1404" t="s">
        <v>1771</v>
      </c>
      <c r="P57" s="1404"/>
      <c r="Q57" s="1404"/>
      <c r="R57" s="1663"/>
      <c r="U57" s="383"/>
      <c r="V57" s="383"/>
    </row>
    <row r="58" spans="1:22" ht="41.4" customHeight="1">
      <c r="A58" s="1984"/>
      <c r="B58" s="2015"/>
      <c r="C58" s="1951"/>
      <c r="D58" s="2018"/>
      <c r="E58" s="2007"/>
      <c r="F58" s="2014" t="e">
        <f t="shared" si="9"/>
        <v>#DIV/0!</v>
      </c>
      <c r="G58" s="2007"/>
      <c r="H58" s="2007"/>
      <c r="I58" s="2007"/>
      <c r="J58" s="2007"/>
      <c r="K58" s="1888"/>
      <c r="L58" s="1960"/>
      <c r="M58" s="2016"/>
      <c r="N58" s="1010" t="s">
        <v>1766</v>
      </c>
      <c r="O58" s="1404" t="s">
        <v>1772</v>
      </c>
      <c r="P58" s="1404"/>
      <c r="Q58" s="1404"/>
      <c r="R58" s="1664"/>
      <c r="U58" s="383"/>
      <c r="V58" s="383"/>
    </row>
    <row r="59" spans="1:22" ht="47.4" customHeight="1">
      <c r="A59" s="1136" t="s">
        <v>2655</v>
      </c>
      <c r="B59" s="1137" t="s">
        <v>2656</v>
      </c>
      <c r="C59" s="1136"/>
      <c r="D59" s="1136"/>
      <c r="E59" s="1138">
        <f>SUM(E61)</f>
        <v>0</v>
      </c>
      <c r="F59" s="1139"/>
      <c r="G59" s="1138">
        <f t="shared" ref="G59:J59" si="22">SUM(G61)</f>
        <v>1.5</v>
      </c>
      <c r="H59" s="954">
        <f t="shared" si="22"/>
        <v>1.5</v>
      </c>
      <c r="I59" s="954">
        <f t="shared" si="22"/>
        <v>2</v>
      </c>
      <c r="J59" s="954">
        <f t="shared" si="22"/>
        <v>2.5</v>
      </c>
      <c r="K59" s="954" t="s">
        <v>1244</v>
      </c>
      <c r="L59" s="1136"/>
      <c r="M59" s="988" t="s">
        <v>1800</v>
      </c>
      <c r="N59" s="988" t="s">
        <v>2926</v>
      </c>
      <c r="O59" s="1140" t="s">
        <v>613</v>
      </c>
      <c r="P59" s="1140" t="s">
        <v>469</v>
      </c>
      <c r="Q59" s="1140" t="s">
        <v>469</v>
      </c>
      <c r="R59" s="1140" t="s">
        <v>1246</v>
      </c>
      <c r="U59" s="383"/>
      <c r="V59" s="383"/>
    </row>
    <row r="60" spans="1:22" ht="20.100000000000001" customHeight="1">
      <c r="A60" s="1914" t="s">
        <v>3115</v>
      </c>
      <c r="B60" s="1912" t="s">
        <v>3771</v>
      </c>
      <c r="C60" s="1906">
        <v>188711925</v>
      </c>
      <c r="D60" s="1082" t="s">
        <v>668</v>
      </c>
      <c r="E60" s="965">
        <v>0</v>
      </c>
      <c r="F60" s="1119"/>
      <c r="G60" s="965">
        <v>1.5</v>
      </c>
      <c r="H60" s="965">
        <v>1.5</v>
      </c>
      <c r="I60" s="1120">
        <v>2</v>
      </c>
      <c r="J60" s="1121">
        <v>2.5</v>
      </c>
      <c r="K60" s="1887" t="s">
        <v>2927</v>
      </c>
      <c r="L60" s="1960" t="s">
        <v>2484</v>
      </c>
      <c r="M60" s="1890" t="s">
        <v>1801</v>
      </c>
      <c r="N60" s="1941" t="s">
        <v>1781</v>
      </c>
      <c r="O60" s="1892" t="s">
        <v>612</v>
      </c>
      <c r="P60" s="1892" t="s">
        <v>1776</v>
      </c>
      <c r="Q60" s="1892" t="s">
        <v>1691</v>
      </c>
      <c r="R60" s="1662" t="s">
        <v>2928</v>
      </c>
      <c r="S60" s="392" t="s">
        <v>3770</v>
      </c>
      <c r="U60" s="383"/>
      <c r="V60" s="383"/>
    </row>
    <row r="61" spans="1:22" ht="82.95" customHeight="1">
      <c r="A61" s="1915"/>
      <c r="B61" s="1901"/>
      <c r="C61" s="1897"/>
      <c r="D61" s="961" t="s">
        <v>1372</v>
      </c>
      <c r="E61" s="962">
        <f>E60</f>
        <v>0</v>
      </c>
      <c r="F61" s="963"/>
      <c r="G61" s="962">
        <f t="shared" ref="G61:J61" si="23">G60</f>
        <v>1.5</v>
      </c>
      <c r="H61" s="962">
        <f t="shared" si="23"/>
        <v>1.5</v>
      </c>
      <c r="I61" s="962">
        <f t="shared" si="23"/>
        <v>2</v>
      </c>
      <c r="J61" s="964">
        <f t="shared" si="23"/>
        <v>2.5</v>
      </c>
      <c r="K61" s="1888"/>
      <c r="L61" s="1956"/>
      <c r="M61" s="1893"/>
      <c r="N61" s="1937"/>
      <c r="O61" s="1938"/>
      <c r="P61" s="1938"/>
      <c r="Q61" s="1938"/>
      <c r="R61" s="1664"/>
      <c r="U61" s="383"/>
      <c r="V61" s="383"/>
    </row>
    <row r="62" spans="1:22" ht="76.8" customHeight="1">
      <c r="A62" s="1911"/>
      <c r="B62" s="1911"/>
      <c r="C62" s="1911"/>
      <c r="D62" s="1911"/>
      <c r="E62" s="967" t="s">
        <v>1388</v>
      </c>
      <c r="F62" s="967"/>
      <c r="G62" s="967" t="str">
        <f>G15</f>
        <v>2024  m. išlaidų projektas (lėšų poreikis), tūkst. Eur</v>
      </c>
      <c r="H62" s="928" t="str">
        <f>H15</f>
        <v>2024  m.asignavimai ir kitos lėšos, tūkst. Eur</v>
      </c>
      <c r="I62" s="928" t="str">
        <f>I15</f>
        <v>2025 m. asignavimai ir kitos lėšos, tūkst. Eur</v>
      </c>
      <c r="J62" s="928" t="str">
        <f>J15</f>
        <v>2026 m. asignavimai ir kitos lėšos, tūkst. Eur</v>
      </c>
      <c r="K62" s="968"/>
      <c r="L62" s="968"/>
      <c r="M62" s="969"/>
      <c r="N62" s="969"/>
      <c r="O62" s="588"/>
      <c r="P62" s="588"/>
      <c r="Q62" s="588"/>
      <c r="R62" s="970"/>
      <c r="U62" s="383"/>
      <c r="V62" s="383"/>
    </row>
    <row r="63" spans="1:22" ht="20.100000000000001" customHeight="1">
      <c r="A63" s="2003"/>
      <c r="B63" s="1904" t="s">
        <v>990</v>
      </c>
      <c r="C63" s="1904"/>
      <c r="D63" s="1904"/>
      <c r="E63" s="684">
        <f>E64+E65+E66+E67+E68+E69</f>
        <v>300.09199999999998</v>
      </c>
      <c r="F63" s="1126">
        <f t="shared" si="9"/>
        <v>0.31722605067779241</v>
      </c>
      <c r="G63" s="684">
        <f t="shared" ref="G63:J63" si="24">SUM(G64,G65,G66,G67,G68,G69,)</f>
        <v>430.05900000000003</v>
      </c>
      <c r="H63" s="684">
        <f t="shared" si="24"/>
        <v>395.28900000000004</v>
      </c>
      <c r="I63" s="684">
        <f t="shared" si="24"/>
        <v>497.47999999999996</v>
      </c>
      <c r="J63" s="684">
        <f t="shared" si="24"/>
        <v>408.95</v>
      </c>
      <c r="K63" s="973"/>
      <c r="L63" s="1127"/>
      <c r="M63" s="1127"/>
      <c r="N63" s="1127"/>
      <c r="O63" s="974"/>
      <c r="P63" s="974"/>
      <c r="Q63" s="974"/>
      <c r="R63" s="1127"/>
      <c r="U63" s="383"/>
      <c r="V63" s="383"/>
    </row>
    <row r="64" spans="1:22" ht="43.2" customHeight="1">
      <c r="A64" s="2004"/>
      <c r="B64" s="1894" t="s">
        <v>2564</v>
      </c>
      <c r="C64" s="1894"/>
      <c r="D64" s="1894"/>
      <c r="E64" s="749">
        <f>SUM(E18,E20,E23,E25,E27,E32,E34,E36,E38,E41,E43,E46,E48,E51,)</f>
        <v>253.3</v>
      </c>
      <c r="F64" s="1126">
        <f t="shared" si="9"/>
        <v>0.54145282273983431</v>
      </c>
      <c r="G64" s="749">
        <f>SUM(G18,G20,G23,G25,G27,G32,G34,G36,G38,G41,G43,G46,G48,G51,)</f>
        <v>410.22</v>
      </c>
      <c r="H64" s="749">
        <f>SUM(H18,H20,H23,H25,H27,H32,H34,H36,H38,H41,H43,H46,H48,H51,H29,H60)</f>
        <v>390.45000000000005</v>
      </c>
      <c r="I64" s="749">
        <f t="shared" ref="I64:J64" si="25">SUM(I18,I20,I23,I25,I27,I32,I34,I36,I38,I41,I43,I46,I48,I51,I29,I60)</f>
        <v>482.47999999999996</v>
      </c>
      <c r="J64" s="749">
        <f t="shared" si="25"/>
        <v>393.95</v>
      </c>
      <c r="K64" s="976"/>
      <c r="L64" s="1128"/>
      <c r="M64" s="756"/>
      <c r="N64" s="756"/>
      <c r="O64" s="977"/>
      <c r="P64" s="977"/>
      <c r="Q64" s="977"/>
      <c r="R64" s="756"/>
      <c r="U64" s="383"/>
      <c r="V64" s="383"/>
    </row>
    <row r="65" spans="1:22" ht="20.100000000000001" customHeight="1">
      <c r="A65" s="2004"/>
      <c r="B65" s="1894" t="s">
        <v>993</v>
      </c>
      <c r="C65" s="1894"/>
      <c r="D65" s="1894"/>
      <c r="E65" s="749">
        <f>SUM(E21)</f>
        <v>14.532</v>
      </c>
      <c r="F65" s="1126">
        <f t="shared" si="9"/>
        <v>-1</v>
      </c>
      <c r="G65" s="749">
        <f>SUM(G21,)</f>
        <v>15</v>
      </c>
      <c r="H65" s="749">
        <f>SUM(H21)</f>
        <v>0</v>
      </c>
      <c r="I65" s="749">
        <f>SUM(I21)</f>
        <v>15</v>
      </c>
      <c r="J65" s="749">
        <f>SUM(J21)</f>
        <v>15</v>
      </c>
      <c r="K65" s="976"/>
      <c r="L65" s="756"/>
      <c r="M65" s="756"/>
      <c r="N65" s="756"/>
      <c r="O65" s="977"/>
      <c r="P65" s="977"/>
      <c r="Q65" s="977"/>
      <c r="R65" s="756"/>
      <c r="U65" s="383"/>
      <c r="V65" s="383"/>
    </row>
    <row r="66" spans="1:22" ht="20.100000000000001" customHeight="1">
      <c r="A66" s="2004"/>
      <c r="B66" s="1894" t="s">
        <v>994</v>
      </c>
      <c r="C66" s="1894"/>
      <c r="D66" s="1894"/>
      <c r="E66" s="749">
        <v>0</v>
      </c>
      <c r="F66" s="1126"/>
      <c r="G66" s="749">
        <v>0</v>
      </c>
      <c r="H66" s="749">
        <v>0</v>
      </c>
      <c r="I66" s="749">
        <v>0</v>
      </c>
      <c r="J66" s="749">
        <v>0</v>
      </c>
      <c r="K66" s="976"/>
      <c r="L66" s="756"/>
      <c r="M66" s="756"/>
      <c r="N66" s="756"/>
      <c r="O66" s="977"/>
      <c r="P66" s="977"/>
      <c r="Q66" s="977"/>
      <c r="R66" s="756"/>
      <c r="U66" s="383"/>
      <c r="V66" s="383"/>
    </row>
    <row r="67" spans="1:22" ht="30.6" customHeight="1">
      <c r="A67" s="2004"/>
      <c r="B67" s="1894" t="s">
        <v>2565</v>
      </c>
      <c r="C67" s="1894"/>
      <c r="D67" s="1894"/>
      <c r="E67" s="749">
        <f>SUM(E53)</f>
        <v>32.26</v>
      </c>
      <c r="F67" s="1126">
        <f t="shared" si="9"/>
        <v>-0.85</v>
      </c>
      <c r="G67" s="749">
        <f>SUM(G53)</f>
        <v>4.8390000000000004</v>
      </c>
      <c r="H67" s="749">
        <f>SUM(H53)</f>
        <v>4.8390000000000004</v>
      </c>
      <c r="I67" s="749">
        <f>SUM(I53)</f>
        <v>0</v>
      </c>
      <c r="J67" s="749">
        <f>SUM(J53)</f>
        <v>0</v>
      </c>
      <c r="K67" s="976"/>
      <c r="L67" s="756"/>
      <c r="M67" s="756"/>
      <c r="N67" s="756"/>
      <c r="O67" s="977"/>
      <c r="P67" s="977"/>
      <c r="Q67" s="977"/>
      <c r="R67" s="756"/>
      <c r="U67" s="383"/>
      <c r="V67" s="383"/>
    </row>
    <row r="68" spans="1:22" ht="20.100000000000001" customHeight="1">
      <c r="A68" s="2004"/>
      <c r="B68" s="1894" t="s">
        <v>995</v>
      </c>
      <c r="C68" s="1894"/>
      <c r="D68" s="1894"/>
      <c r="E68" s="749">
        <v>0</v>
      </c>
      <c r="F68" s="1144"/>
      <c r="G68" s="749">
        <v>0</v>
      </c>
      <c r="H68" s="749">
        <v>0</v>
      </c>
      <c r="I68" s="749">
        <v>0</v>
      </c>
      <c r="J68" s="749">
        <v>0</v>
      </c>
      <c r="K68" s="976"/>
      <c r="L68" s="756"/>
      <c r="M68" s="756"/>
      <c r="N68" s="756"/>
      <c r="O68" s="977"/>
      <c r="P68" s="977"/>
      <c r="Q68" s="977"/>
      <c r="R68" s="756"/>
      <c r="U68" s="383"/>
      <c r="V68" s="383"/>
    </row>
    <row r="69" spans="1:22" ht="20.100000000000001" customHeight="1">
      <c r="A69" s="2004"/>
      <c r="B69" s="1894" t="s">
        <v>996</v>
      </c>
      <c r="C69" s="1894"/>
      <c r="D69" s="1894"/>
      <c r="E69" s="749">
        <v>0</v>
      </c>
      <c r="F69" s="1144"/>
      <c r="G69" s="749">
        <v>0</v>
      </c>
      <c r="H69" s="749">
        <v>0</v>
      </c>
      <c r="I69" s="749">
        <v>0</v>
      </c>
      <c r="J69" s="749">
        <v>0</v>
      </c>
      <c r="K69" s="976"/>
      <c r="L69" s="756"/>
      <c r="M69" s="756"/>
      <c r="N69" s="756"/>
      <c r="O69" s="977"/>
      <c r="P69" s="977"/>
      <c r="Q69" s="977"/>
      <c r="R69" s="756"/>
      <c r="U69" s="383"/>
      <c r="V69" s="383"/>
    </row>
    <row r="70" spans="1:22" ht="42" customHeight="1">
      <c r="A70" s="2004"/>
      <c r="B70" s="1904" t="s">
        <v>997</v>
      </c>
      <c r="C70" s="1904"/>
      <c r="D70" s="1904"/>
      <c r="E70" s="979">
        <v>0</v>
      </c>
      <c r="F70" s="1129"/>
      <c r="G70" s="979">
        <v>0</v>
      </c>
      <c r="H70" s="979">
        <v>0</v>
      </c>
      <c r="I70" s="979">
        <v>0</v>
      </c>
      <c r="J70" s="979">
        <v>0</v>
      </c>
      <c r="K70" s="976"/>
      <c r="L70" s="756"/>
      <c r="M70" s="756"/>
      <c r="N70" s="756"/>
      <c r="O70" s="977"/>
      <c r="P70" s="977"/>
      <c r="Q70" s="977"/>
      <c r="R70" s="756"/>
      <c r="U70" s="383"/>
      <c r="V70" s="383"/>
    </row>
    <row r="71" spans="1:22" ht="35.4" customHeight="1">
      <c r="A71" s="2004"/>
      <c r="B71" s="1904" t="s">
        <v>1389</v>
      </c>
      <c r="C71" s="1904"/>
      <c r="D71" s="1904"/>
      <c r="E71" s="668">
        <f>SUM(E63,E70)</f>
        <v>300.09199999999998</v>
      </c>
      <c r="F71" s="982">
        <f t="shared" si="9"/>
        <v>0.31722605067779241</v>
      </c>
      <c r="G71" s="668">
        <f t="shared" ref="G71:J71" si="26">SUM(G63,G70)</f>
        <v>430.05900000000003</v>
      </c>
      <c r="H71" s="668">
        <f>SUM(H63,H70)</f>
        <v>395.28900000000004</v>
      </c>
      <c r="I71" s="668">
        <f t="shared" si="26"/>
        <v>497.47999999999996</v>
      </c>
      <c r="J71" s="668">
        <f t="shared" si="26"/>
        <v>408.95</v>
      </c>
      <c r="K71" s="973"/>
      <c r="L71" s="756"/>
      <c r="M71" s="756"/>
      <c r="N71" s="756"/>
      <c r="O71" s="977"/>
      <c r="P71" s="977"/>
      <c r="Q71" s="977"/>
      <c r="R71" s="756"/>
      <c r="U71" s="383"/>
      <c r="V71" s="383"/>
    </row>
    <row r="72" spans="1:22" ht="20.100000000000001" customHeight="1">
      <c r="A72" s="2004"/>
      <c r="B72" s="1904" t="s">
        <v>2566</v>
      </c>
      <c r="C72" s="1904"/>
      <c r="D72" s="1904"/>
      <c r="E72" s="684">
        <v>0</v>
      </c>
      <c r="F72" s="1130"/>
      <c r="G72" s="684">
        <v>0</v>
      </c>
      <c r="H72" s="684">
        <v>0</v>
      </c>
      <c r="I72" s="684">
        <v>0</v>
      </c>
      <c r="J72" s="684">
        <v>0</v>
      </c>
      <c r="K72" s="973"/>
      <c r="L72" s="756"/>
      <c r="M72" s="756"/>
      <c r="N72" s="756"/>
      <c r="O72" s="977"/>
      <c r="P72" s="977"/>
      <c r="Q72" s="977"/>
      <c r="R72" s="756"/>
      <c r="U72" s="383"/>
      <c r="V72" s="383"/>
    </row>
    <row r="73" spans="1:22" ht="40.799999999999997" customHeight="1">
      <c r="A73" s="2005"/>
      <c r="B73" s="1904" t="s">
        <v>998</v>
      </c>
      <c r="C73" s="1904"/>
      <c r="D73" s="1904"/>
      <c r="E73" s="684">
        <v>0</v>
      </c>
      <c r="F73" s="1130"/>
      <c r="G73" s="684">
        <v>0</v>
      </c>
      <c r="H73" s="972">
        <f>H71/E71-1</f>
        <v>0.31722605067779241</v>
      </c>
      <c r="I73" s="972">
        <f>I71/H71-1</f>
        <v>0.25852224574931237</v>
      </c>
      <c r="J73" s="972">
        <f>J71/I71-1</f>
        <v>-0.17795690279006182</v>
      </c>
      <c r="K73" s="973"/>
      <c r="L73" s="756"/>
      <c r="M73" s="756"/>
      <c r="N73" s="756"/>
      <c r="O73" s="977"/>
      <c r="P73" s="977"/>
      <c r="Q73" s="977"/>
      <c r="R73" s="756"/>
      <c r="U73" s="383"/>
      <c r="V73" s="383"/>
    </row>
    <row r="74" spans="1:22">
      <c r="E74" s="383"/>
      <c r="F74" s="383"/>
      <c r="U74" s="383"/>
      <c r="V74" s="383"/>
    </row>
    <row r="75" spans="1:22">
      <c r="E75" s="383"/>
      <c r="F75" s="383"/>
      <c r="U75" s="383"/>
      <c r="V75" s="383"/>
    </row>
    <row r="76" spans="1:22" ht="30.75" customHeight="1">
      <c r="A76" s="1994"/>
      <c r="B76" s="1994"/>
      <c r="C76" s="390"/>
      <c r="D76" s="439"/>
      <c r="E76" s="439"/>
      <c r="F76" s="439"/>
      <c r="G76" s="439"/>
      <c r="H76" s="439"/>
      <c r="I76" s="439"/>
      <c r="J76" s="439"/>
      <c r="K76" s="439"/>
      <c r="U76" s="383"/>
      <c r="V76" s="383"/>
    </row>
    <row r="77" spans="1:22">
      <c r="E77" s="383"/>
      <c r="F77" s="383"/>
      <c r="U77" s="383"/>
      <c r="V77" s="383"/>
    </row>
    <row r="78" spans="1:22">
      <c r="E78" s="383"/>
      <c r="F78" s="383"/>
      <c r="U78" s="383"/>
      <c r="V78" s="383"/>
    </row>
    <row r="79" spans="1:22">
      <c r="E79" s="383"/>
      <c r="F79" s="383"/>
      <c r="U79" s="383"/>
      <c r="V79" s="383"/>
    </row>
    <row r="80" spans="1:22">
      <c r="E80" s="383"/>
      <c r="F80" s="383"/>
      <c r="U80" s="383"/>
      <c r="V80" s="383"/>
    </row>
    <row r="81" spans="7:17" s="383" customFormat="1">
      <c r="G81" s="426"/>
      <c r="O81" s="1004"/>
      <c r="P81" s="1004"/>
      <c r="Q81" s="1004"/>
    </row>
    <row r="82" spans="7:17" s="383" customFormat="1">
      <c r="G82" s="426"/>
      <c r="O82" s="1004"/>
      <c r="P82" s="1004"/>
      <c r="Q82" s="1004"/>
    </row>
    <row r="83" spans="7:17" s="383" customFormat="1">
      <c r="G83" s="426"/>
      <c r="O83" s="1004"/>
      <c r="P83" s="1004"/>
      <c r="Q83" s="1004"/>
    </row>
    <row r="84" spans="7:17" s="383" customFormat="1">
      <c r="G84" s="426"/>
      <c r="O84" s="1004"/>
      <c r="P84" s="1004"/>
      <c r="Q84" s="1004"/>
    </row>
    <row r="85" spans="7:17" s="383" customFormat="1">
      <c r="O85" s="1004"/>
      <c r="P85" s="1004"/>
      <c r="Q85" s="1004"/>
    </row>
    <row r="86" spans="7:17" s="383" customFormat="1">
      <c r="O86" s="1004"/>
      <c r="P86" s="1004"/>
      <c r="Q86" s="1004"/>
    </row>
    <row r="87" spans="7:17" s="383" customFormat="1">
      <c r="O87" s="1004"/>
      <c r="P87" s="1004"/>
      <c r="Q87" s="1004"/>
    </row>
    <row r="88" spans="7:17" s="383" customFormat="1">
      <c r="O88" s="1004"/>
      <c r="P88" s="1004"/>
      <c r="Q88" s="1004"/>
    </row>
    <row r="89" spans="7:17" s="383" customFormat="1">
      <c r="O89" s="1004"/>
      <c r="P89" s="1004"/>
      <c r="Q89" s="1004"/>
    </row>
    <row r="90" spans="7:17" s="383" customFormat="1">
      <c r="O90" s="1004"/>
      <c r="P90" s="1004"/>
      <c r="Q90" s="1004"/>
    </row>
    <row r="91" spans="7:17" s="383" customFormat="1">
      <c r="O91" s="1004"/>
      <c r="P91" s="1004"/>
      <c r="Q91" s="1004"/>
    </row>
    <row r="92" spans="7:17" s="383" customFormat="1">
      <c r="O92" s="1004"/>
      <c r="P92" s="1004"/>
      <c r="Q92" s="1004"/>
    </row>
    <row r="93" spans="7:17" s="383" customFormat="1">
      <c r="O93" s="1004"/>
      <c r="P93" s="1004"/>
      <c r="Q93" s="1004"/>
    </row>
    <row r="94" spans="7:17" s="383" customFormat="1">
      <c r="O94" s="1004"/>
      <c r="P94" s="1004"/>
      <c r="Q94" s="1004"/>
    </row>
    <row r="95" spans="7:17" s="383" customFormat="1">
      <c r="O95" s="1004"/>
      <c r="P95" s="1004"/>
      <c r="Q95" s="1004"/>
    </row>
    <row r="96" spans="7:17" s="383" customFormat="1">
      <c r="O96" s="1004"/>
      <c r="P96" s="1004"/>
      <c r="Q96" s="1004"/>
    </row>
    <row r="97" spans="15:17" s="383" customFormat="1">
      <c r="O97" s="1004"/>
      <c r="P97" s="1004"/>
      <c r="Q97" s="1004"/>
    </row>
    <row r="98" spans="15:17" s="383" customFormat="1">
      <c r="O98" s="1004"/>
      <c r="P98" s="1004"/>
      <c r="Q98" s="1004"/>
    </row>
    <row r="99" spans="15:17" s="383" customFormat="1">
      <c r="O99" s="1004"/>
      <c r="P99" s="1004"/>
      <c r="Q99" s="1004"/>
    </row>
    <row r="100" spans="15:17" s="383" customFormat="1">
      <c r="O100" s="1004"/>
      <c r="P100" s="1004"/>
      <c r="Q100" s="1004"/>
    </row>
    <row r="101" spans="15:17" s="383" customFormat="1">
      <c r="O101" s="1004"/>
      <c r="P101" s="1004"/>
      <c r="Q101" s="1004"/>
    </row>
    <row r="102" spans="15:17" s="383" customFormat="1">
      <c r="O102" s="1004"/>
      <c r="P102" s="1004"/>
      <c r="Q102" s="1004"/>
    </row>
    <row r="103" spans="15:17" s="383" customFormat="1">
      <c r="O103" s="1004"/>
      <c r="P103" s="1004"/>
      <c r="Q103" s="1004"/>
    </row>
    <row r="104" spans="15:17" s="383" customFormat="1">
      <c r="O104" s="1004"/>
      <c r="P104" s="1004"/>
      <c r="Q104" s="1004"/>
    </row>
    <row r="105" spans="15:17" s="383" customFormat="1">
      <c r="O105" s="1004"/>
      <c r="P105" s="1004"/>
      <c r="Q105" s="1004"/>
    </row>
    <row r="106" spans="15:17" s="383" customFormat="1">
      <c r="O106" s="1004"/>
      <c r="P106" s="1004"/>
      <c r="Q106" s="1004"/>
    </row>
    <row r="107" spans="15:17" s="383" customFormat="1">
      <c r="O107" s="1004"/>
      <c r="P107" s="1004"/>
      <c r="Q107" s="1004"/>
    </row>
    <row r="108" spans="15:17" s="383" customFormat="1">
      <c r="O108" s="1004"/>
      <c r="P108" s="1004"/>
      <c r="Q108" s="1004"/>
    </row>
    <row r="109" spans="15:17" s="383" customFormat="1">
      <c r="O109" s="1004"/>
      <c r="P109" s="1004"/>
      <c r="Q109" s="1004"/>
    </row>
    <row r="110" spans="15:17" s="383" customFormat="1">
      <c r="O110" s="1004"/>
      <c r="P110" s="1004"/>
      <c r="Q110" s="1004"/>
    </row>
    <row r="111" spans="15:17" s="383" customFormat="1">
      <c r="O111" s="1004"/>
      <c r="P111" s="1004"/>
      <c r="Q111" s="1004"/>
    </row>
    <row r="112" spans="15:17" s="383" customFormat="1">
      <c r="O112" s="1004"/>
      <c r="P112" s="1004"/>
      <c r="Q112" s="1004"/>
    </row>
    <row r="113" spans="15:17" s="383" customFormat="1">
      <c r="O113" s="1004"/>
      <c r="P113" s="1004"/>
      <c r="Q113" s="1004"/>
    </row>
    <row r="114" spans="15:17" s="383" customFormat="1">
      <c r="O114" s="1004"/>
      <c r="P114" s="1004"/>
      <c r="Q114" s="1004"/>
    </row>
    <row r="115" spans="15:17" s="383" customFormat="1">
      <c r="O115" s="1004"/>
      <c r="P115" s="1004"/>
      <c r="Q115" s="1004"/>
    </row>
    <row r="116" spans="15:17" s="383" customFormat="1">
      <c r="O116" s="1004"/>
      <c r="P116" s="1004"/>
      <c r="Q116" s="1004"/>
    </row>
    <row r="117" spans="15:17" s="383" customFormat="1">
      <c r="O117" s="1004"/>
      <c r="P117" s="1004"/>
      <c r="Q117" s="1004"/>
    </row>
    <row r="118" spans="15:17" s="383" customFormat="1">
      <c r="O118" s="1004"/>
      <c r="P118" s="1004"/>
      <c r="Q118" s="1004"/>
    </row>
    <row r="119" spans="15:17" s="383" customFormat="1">
      <c r="O119" s="1004"/>
      <c r="P119" s="1004"/>
      <c r="Q119" s="1004"/>
    </row>
    <row r="120" spans="15:17" s="383" customFormat="1">
      <c r="O120" s="1004"/>
      <c r="P120" s="1004"/>
      <c r="Q120" s="1004"/>
    </row>
    <row r="121" spans="15:17" s="383" customFormat="1">
      <c r="O121" s="1004"/>
      <c r="P121" s="1004"/>
      <c r="Q121" s="1004"/>
    </row>
    <row r="122" spans="15:17" s="383" customFormat="1">
      <c r="O122" s="1004"/>
      <c r="P122" s="1004"/>
      <c r="Q122" s="1004"/>
    </row>
    <row r="123" spans="15:17" s="383" customFormat="1">
      <c r="O123" s="1004"/>
      <c r="P123" s="1004"/>
      <c r="Q123" s="1004"/>
    </row>
    <row r="124" spans="15:17" s="383" customFormat="1">
      <c r="O124" s="1004"/>
      <c r="P124" s="1004"/>
      <c r="Q124" s="1004"/>
    </row>
    <row r="125" spans="15:17" s="383" customFormat="1">
      <c r="O125" s="1004"/>
      <c r="P125" s="1004"/>
      <c r="Q125" s="1004"/>
    </row>
    <row r="126" spans="15:17" s="383" customFormat="1">
      <c r="O126" s="1004"/>
      <c r="P126" s="1004"/>
      <c r="Q126" s="1004"/>
    </row>
    <row r="127" spans="15:17" s="383" customFormat="1">
      <c r="O127" s="1004"/>
      <c r="P127" s="1004"/>
      <c r="Q127" s="1004"/>
    </row>
    <row r="128" spans="15:17" s="383" customFormat="1">
      <c r="O128" s="1004"/>
      <c r="P128" s="1004"/>
      <c r="Q128" s="1004"/>
    </row>
    <row r="129" spans="15:17" s="383" customFormat="1">
      <c r="O129" s="1004"/>
      <c r="P129" s="1004"/>
      <c r="Q129" s="1004"/>
    </row>
    <row r="130" spans="15:17" s="383" customFormat="1">
      <c r="O130" s="1004"/>
      <c r="P130" s="1004"/>
      <c r="Q130" s="1004"/>
    </row>
    <row r="131" spans="15:17" s="383" customFormat="1">
      <c r="O131" s="1004"/>
      <c r="P131" s="1004"/>
      <c r="Q131" s="1004"/>
    </row>
    <row r="132" spans="15:17" s="383" customFormat="1">
      <c r="O132" s="1004"/>
      <c r="P132" s="1004"/>
      <c r="Q132" s="1004"/>
    </row>
    <row r="133" spans="15:17" s="383" customFormat="1">
      <c r="O133" s="1004"/>
      <c r="P133" s="1004"/>
      <c r="Q133" s="1004"/>
    </row>
    <row r="134" spans="15:17" s="383" customFormat="1">
      <c r="O134" s="1004"/>
      <c r="P134" s="1004"/>
      <c r="Q134" s="1004"/>
    </row>
    <row r="135" spans="15:17" s="383" customFormat="1">
      <c r="O135" s="1004"/>
      <c r="P135" s="1004"/>
      <c r="Q135" s="1004"/>
    </row>
    <row r="136" spans="15:17" s="383" customFormat="1">
      <c r="O136" s="1004"/>
      <c r="P136" s="1004"/>
      <c r="Q136" s="1004"/>
    </row>
    <row r="137" spans="15:17" s="383" customFormat="1">
      <c r="O137" s="1004"/>
      <c r="P137" s="1004"/>
      <c r="Q137" s="1004"/>
    </row>
    <row r="138" spans="15:17" s="383" customFormat="1">
      <c r="O138" s="1004"/>
      <c r="P138" s="1004"/>
      <c r="Q138" s="1004"/>
    </row>
    <row r="139" spans="15:17" s="383" customFormat="1">
      <c r="O139" s="1004"/>
      <c r="P139" s="1004"/>
      <c r="Q139" s="1004"/>
    </row>
    <row r="140" spans="15:17" s="383" customFormat="1">
      <c r="O140" s="1004"/>
      <c r="P140" s="1004"/>
      <c r="Q140" s="1004"/>
    </row>
    <row r="141" spans="15:17" s="383" customFormat="1">
      <c r="O141" s="1004"/>
      <c r="P141" s="1004"/>
      <c r="Q141" s="1004"/>
    </row>
    <row r="142" spans="15:17" s="383" customFormat="1">
      <c r="O142" s="1004"/>
      <c r="P142" s="1004"/>
      <c r="Q142" s="1004"/>
    </row>
    <row r="143" spans="15:17" s="383" customFormat="1">
      <c r="O143" s="1004"/>
      <c r="P143" s="1004"/>
      <c r="Q143" s="1004"/>
    </row>
    <row r="144" spans="15:17" s="383" customFormat="1">
      <c r="O144" s="1004"/>
      <c r="P144" s="1004"/>
      <c r="Q144" s="1004"/>
    </row>
    <row r="145" spans="15:17" s="383" customFormat="1">
      <c r="O145" s="1004"/>
      <c r="P145" s="1004"/>
      <c r="Q145" s="1004"/>
    </row>
    <row r="146" spans="15:17" s="383" customFormat="1">
      <c r="O146" s="1004"/>
      <c r="P146" s="1004"/>
      <c r="Q146" s="1004"/>
    </row>
    <row r="147" spans="15:17" s="383" customFormat="1">
      <c r="O147" s="1004"/>
      <c r="P147" s="1004"/>
      <c r="Q147" s="1004"/>
    </row>
    <row r="148" spans="15:17" s="383" customFormat="1">
      <c r="O148" s="1004"/>
      <c r="P148" s="1004"/>
      <c r="Q148" s="1004"/>
    </row>
    <row r="149" spans="15:17" s="383" customFormat="1">
      <c r="O149" s="1004"/>
      <c r="P149" s="1004"/>
      <c r="Q149" s="1004"/>
    </row>
    <row r="150" spans="15:17" s="383" customFormat="1">
      <c r="O150" s="1004"/>
      <c r="P150" s="1004"/>
      <c r="Q150" s="1004"/>
    </row>
    <row r="151" spans="15:17" s="383" customFormat="1">
      <c r="O151" s="1004"/>
      <c r="P151" s="1004"/>
      <c r="Q151" s="1004"/>
    </row>
    <row r="152" spans="15:17" s="383" customFormat="1">
      <c r="O152" s="1004"/>
      <c r="P152" s="1004"/>
      <c r="Q152" s="1004"/>
    </row>
    <row r="153" spans="15:17" s="383" customFormat="1">
      <c r="O153" s="1004"/>
      <c r="P153" s="1004"/>
      <c r="Q153" s="1004"/>
    </row>
    <row r="154" spans="15:17" s="383" customFormat="1">
      <c r="O154" s="1004"/>
      <c r="P154" s="1004"/>
      <c r="Q154" s="1004"/>
    </row>
    <row r="155" spans="15:17" s="383" customFormat="1">
      <c r="O155" s="1004"/>
      <c r="P155" s="1004"/>
      <c r="Q155" s="1004"/>
    </row>
    <row r="156" spans="15:17" s="383" customFormat="1">
      <c r="O156" s="1004"/>
      <c r="P156" s="1004"/>
      <c r="Q156" s="1004"/>
    </row>
    <row r="157" spans="15:17" s="383" customFormat="1">
      <c r="O157" s="1004"/>
      <c r="P157" s="1004"/>
      <c r="Q157" s="1004"/>
    </row>
    <row r="158" spans="15:17" s="383" customFormat="1">
      <c r="O158" s="1004"/>
      <c r="P158" s="1004"/>
      <c r="Q158" s="1004"/>
    </row>
    <row r="159" spans="15:17" s="383" customFormat="1">
      <c r="O159" s="1004"/>
      <c r="P159" s="1004"/>
      <c r="Q159" s="1004"/>
    </row>
    <row r="160" spans="15:17" s="383" customFormat="1">
      <c r="O160" s="1004"/>
      <c r="P160" s="1004"/>
      <c r="Q160" s="1004"/>
    </row>
    <row r="161" spans="15:17" s="383" customFormat="1">
      <c r="O161" s="1004"/>
      <c r="P161" s="1004"/>
      <c r="Q161" s="1004"/>
    </row>
    <row r="162" spans="15:17" s="383" customFormat="1">
      <c r="O162" s="1004"/>
      <c r="P162" s="1004"/>
      <c r="Q162" s="1004"/>
    </row>
    <row r="163" spans="15:17" s="383" customFormat="1">
      <c r="O163" s="1004"/>
      <c r="P163" s="1004"/>
      <c r="Q163" s="1004"/>
    </row>
    <row r="164" spans="15:17" s="383" customFormat="1">
      <c r="O164" s="1004"/>
      <c r="P164" s="1004"/>
      <c r="Q164" s="1004"/>
    </row>
    <row r="165" spans="15:17" s="383" customFormat="1">
      <c r="O165" s="1004"/>
      <c r="P165" s="1004"/>
      <c r="Q165" s="1004"/>
    </row>
    <row r="166" spans="15:17" s="383" customFormat="1">
      <c r="O166" s="1004"/>
      <c r="P166" s="1004"/>
      <c r="Q166" s="1004"/>
    </row>
    <row r="167" spans="15:17" s="383" customFormat="1">
      <c r="O167" s="1004"/>
      <c r="P167" s="1004"/>
      <c r="Q167" s="1004"/>
    </row>
    <row r="168" spans="15:17" s="383" customFormat="1">
      <c r="O168" s="1004"/>
      <c r="P168" s="1004"/>
      <c r="Q168" s="1004"/>
    </row>
    <row r="169" spans="15:17" s="383" customFormat="1">
      <c r="O169" s="1004"/>
      <c r="P169" s="1004"/>
      <c r="Q169" s="1004"/>
    </row>
    <row r="170" spans="15:17" s="383" customFormat="1">
      <c r="O170" s="1004"/>
      <c r="P170" s="1004"/>
      <c r="Q170" s="1004"/>
    </row>
    <row r="171" spans="15:17" s="383" customFormat="1">
      <c r="O171" s="1004"/>
      <c r="P171" s="1004"/>
      <c r="Q171" s="1004"/>
    </row>
    <row r="172" spans="15:17" s="383" customFormat="1">
      <c r="O172" s="1004"/>
      <c r="P172" s="1004"/>
      <c r="Q172" s="1004"/>
    </row>
    <row r="173" spans="15:17" s="383" customFormat="1">
      <c r="O173" s="1004"/>
      <c r="P173" s="1004"/>
      <c r="Q173" s="1004"/>
    </row>
    <row r="174" spans="15:17" s="383" customFormat="1">
      <c r="O174" s="1004"/>
      <c r="P174" s="1004"/>
      <c r="Q174" s="1004"/>
    </row>
    <row r="175" spans="15:17" s="383" customFormat="1">
      <c r="O175" s="1004"/>
      <c r="P175" s="1004"/>
      <c r="Q175" s="1004"/>
    </row>
    <row r="176" spans="15:17" s="383" customFormat="1">
      <c r="O176" s="1004"/>
      <c r="P176" s="1004"/>
      <c r="Q176" s="1004"/>
    </row>
    <row r="177" spans="15:17" s="383" customFormat="1">
      <c r="O177" s="1004"/>
      <c r="P177" s="1004"/>
      <c r="Q177" s="1004"/>
    </row>
    <row r="178" spans="15:17" s="383" customFormat="1">
      <c r="O178" s="1004"/>
      <c r="P178" s="1004"/>
      <c r="Q178" s="1004"/>
    </row>
    <row r="179" spans="15:17" s="383" customFormat="1">
      <c r="O179" s="1004"/>
      <c r="P179" s="1004"/>
      <c r="Q179" s="1004"/>
    </row>
    <row r="180" spans="15:17" s="383" customFormat="1">
      <c r="O180" s="1004"/>
      <c r="P180" s="1004"/>
      <c r="Q180" s="1004"/>
    </row>
    <row r="181" spans="15:17" s="383" customFormat="1">
      <c r="O181" s="1004"/>
      <c r="P181" s="1004"/>
      <c r="Q181" s="1004"/>
    </row>
    <row r="182" spans="15:17" s="383" customFormat="1">
      <c r="O182" s="1004"/>
      <c r="P182" s="1004"/>
      <c r="Q182" s="1004"/>
    </row>
    <row r="183" spans="15:17" s="383" customFormat="1">
      <c r="O183" s="1004"/>
      <c r="P183" s="1004"/>
      <c r="Q183" s="1004"/>
    </row>
    <row r="184" spans="15:17" s="383" customFormat="1">
      <c r="O184" s="1004"/>
      <c r="P184" s="1004"/>
      <c r="Q184" s="1004"/>
    </row>
    <row r="185" spans="15:17" s="383" customFormat="1">
      <c r="O185" s="1004"/>
      <c r="P185" s="1004"/>
      <c r="Q185" s="1004"/>
    </row>
    <row r="186" spans="15:17" s="383" customFormat="1">
      <c r="O186" s="1004"/>
      <c r="P186" s="1004"/>
      <c r="Q186" s="1004"/>
    </row>
    <row r="187" spans="15:17" s="383" customFormat="1">
      <c r="O187" s="1004"/>
      <c r="P187" s="1004"/>
      <c r="Q187" s="1004"/>
    </row>
    <row r="188" spans="15:17" s="383" customFormat="1">
      <c r="O188" s="1004"/>
      <c r="P188" s="1004"/>
      <c r="Q188" s="1004"/>
    </row>
    <row r="189" spans="15:17" s="383" customFormat="1">
      <c r="O189" s="1004"/>
      <c r="P189" s="1004"/>
      <c r="Q189" s="1004"/>
    </row>
    <row r="190" spans="15:17" s="383" customFormat="1">
      <c r="O190" s="1004"/>
      <c r="P190" s="1004"/>
      <c r="Q190" s="1004"/>
    </row>
    <row r="191" spans="15:17" s="383" customFormat="1">
      <c r="O191" s="1004"/>
      <c r="P191" s="1004"/>
      <c r="Q191" s="1004"/>
    </row>
    <row r="192" spans="15:17" s="383" customFormat="1">
      <c r="O192" s="1004"/>
      <c r="P192" s="1004"/>
      <c r="Q192" s="1004"/>
    </row>
    <row r="193" spans="15:17" s="383" customFormat="1">
      <c r="O193" s="1004"/>
      <c r="P193" s="1004"/>
      <c r="Q193" s="1004"/>
    </row>
    <row r="194" spans="15:17" s="383" customFormat="1">
      <c r="O194" s="1004"/>
      <c r="P194" s="1004"/>
      <c r="Q194" s="1004"/>
    </row>
    <row r="195" spans="15:17" s="383" customFormat="1">
      <c r="O195" s="1004"/>
      <c r="P195" s="1004"/>
      <c r="Q195" s="1004"/>
    </row>
    <row r="196" spans="15:17" s="383" customFormat="1">
      <c r="O196" s="1004"/>
      <c r="P196" s="1004"/>
      <c r="Q196" s="1004"/>
    </row>
    <row r="197" spans="15:17" s="383" customFormat="1">
      <c r="O197" s="1004"/>
      <c r="P197" s="1004"/>
      <c r="Q197" s="1004"/>
    </row>
    <row r="198" spans="15:17" s="383" customFormat="1">
      <c r="O198" s="1004"/>
      <c r="P198" s="1004"/>
      <c r="Q198" s="1004"/>
    </row>
    <row r="199" spans="15:17" s="383" customFormat="1">
      <c r="O199" s="1004"/>
      <c r="P199" s="1004"/>
      <c r="Q199" s="1004"/>
    </row>
    <row r="200" spans="15:17" s="383" customFormat="1">
      <c r="O200" s="1004"/>
      <c r="P200" s="1004"/>
      <c r="Q200" s="1004"/>
    </row>
    <row r="201" spans="15:17" s="383" customFormat="1">
      <c r="O201" s="1004"/>
      <c r="P201" s="1004"/>
      <c r="Q201" s="1004"/>
    </row>
    <row r="202" spans="15:17" s="383" customFormat="1">
      <c r="O202" s="1004"/>
      <c r="P202" s="1004"/>
      <c r="Q202" s="1004"/>
    </row>
    <row r="203" spans="15:17" s="383" customFormat="1">
      <c r="O203" s="1004"/>
      <c r="P203" s="1004"/>
      <c r="Q203" s="1004"/>
    </row>
    <row r="204" spans="15:17" s="383" customFormat="1">
      <c r="O204" s="1004"/>
      <c r="P204" s="1004"/>
      <c r="Q204" s="1004"/>
    </row>
    <row r="205" spans="15:17" s="383" customFormat="1">
      <c r="O205" s="1004"/>
      <c r="P205" s="1004"/>
      <c r="Q205" s="1004"/>
    </row>
    <row r="206" spans="15:17" s="383" customFormat="1">
      <c r="O206" s="1004"/>
      <c r="P206" s="1004"/>
      <c r="Q206" s="1004"/>
    </row>
    <row r="207" spans="15:17" s="383" customFormat="1">
      <c r="O207" s="1004"/>
      <c r="P207" s="1004"/>
      <c r="Q207" s="1004"/>
    </row>
    <row r="208" spans="15:17" s="383" customFormat="1">
      <c r="O208" s="1004"/>
      <c r="P208" s="1004"/>
      <c r="Q208" s="1004"/>
    </row>
    <row r="209" spans="15:17" s="383" customFormat="1">
      <c r="O209" s="1004"/>
      <c r="P209" s="1004"/>
      <c r="Q209" s="1004"/>
    </row>
    <row r="210" spans="15:17" s="383" customFormat="1">
      <c r="O210" s="1004"/>
      <c r="P210" s="1004"/>
      <c r="Q210" s="1004"/>
    </row>
    <row r="211" spans="15:17" s="383" customFormat="1">
      <c r="O211" s="1004"/>
      <c r="P211" s="1004"/>
      <c r="Q211" s="1004"/>
    </row>
    <row r="212" spans="15:17" s="383" customFormat="1">
      <c r="O212" s="1004"/>
      <c r="P212" s="1004"/>
      <c r="Q212" s="1004"/>
    </row>
    <row r="213" spans="15:17" s="383" customFormat="1">
      <c r="O213" s="1004"/>
      <c r="P213" s="1004"/>
      <c r="Q213" s="1004"/>
    </row>
    <row r="214" spans="15:17" s="383" customFormat="1">
      <c r="O214" s="1004"/>
      <c r="P214" s="1004"/>
      <c r="Q214" s="1004"/>
    </row>
    <row r="215" spans="15:17" s="383" customFormat="1">
      <c r="O215" s="1004"/>
      <c r="P215" s="1004"/>
      <c r="Q215" s="1004"/>
    </row>
    <row r="216" spans="15:17" s="383" customFormat="1">
      <c r="O216" s="1004"/>
      <c r="P216" s="1004"/>
      <c r="Q216" s="1004"/>
    </row>
    <row r="217" spans="15:17" s="383" customFormat="1">
      <c r="O217" s="1004"/>
      <c r="P217" s="1004"/>
      <c r="Q217" s="1004"/>
    </row>
    <row r="218" spans="15:17" s="383" customFormat="1">
      <c r="O218" s="1004"/>
      <c r="P218" s="1004"/>
      <c r="Q218" s="1004"/>
    </row>
    <row r="219" spans="15:17" s="383" customFormat="1">
      <c r="O219" s="1004"/>
      <c r="P219" s="1004"/>
      <c r="Q219" s="1004"/>
    </row>
    <row r="220" spans="15:17" s="383" customFormat="1">
      <c r="O220" s="1004"/>
      <c r="P220" s="1004"/>
      <c r="Q220" s="1004"/>
    </row>
    <row r="221" spans="15:17" s="383" customFormat="1">
      <c r="O221" s="1004"/>
      <c r="P221" s="1004"/>
      <c r="Q221" s="1004"/>
    </row>
    <row r="222" spans="15:17" s="383" customFormat="1">
      <c r="O222" s="1004"/>
      <c r="P222" s="1004"/>
      <c r="Q222" s="1004"/>
    </row>
    <row r="223" spans="15:17" s="383" customFormat="1">
      <c r="O223" s="1004"/>
      <c r="P223" s="1004"/>
      <c r="Q223" s="1004"/>
    </row>
    <row r="224" spans="15:17" s="383" customFormat="1">
      <c r="O224" s="1004"/>
      <c r="P224" s="1004"/>
      <c r="Q224" s="1004"/>
    </row>
    <row r="225" spans="15:17" s="383" customFormat="1">
      <c r="O225" s="1004"/>
      <c r="P225" s="1004"/>
      <c r="Q225" s="1004"/>
    </row>
    <row r="226" spans="15:17" s="383" customFormat="1">
      <c r="O226" s="1004"/>
      <c r="P226" s="1004"/>
      <c r="Q226" s="1004"/>
    </row>
    <row r="227" spans="15:17" s="383" customFormat="1">
      <c r="O227" s="1004"/>
      <c r="P227" s="1004"/>
      <c r="Q227" s="1004"/>
    </row>
    <row r="228" spans="15:17" s="383" customFormat="1">
      <c r="O228" s="1004"/>
      <c r="P228" s="1004"/>
      <c r="Q228" s="1004"/>
    </row>
    <row r="229" spans="15:17" s="383" customFormat="1">
      <c r="O229" s="1004"/>
      <c r="P229" s="1004"/>
      <c r="Q229" s="1004"/>
    </row>
    <row r="230" spans="15:17" s="383" customFormat="1">
      <c r="O230" s="1004"/>
      <c r="P230" s="1004"/>
      <c r="Q230" s="1004"/>
    </row>
    <row r="231" spans="15:17" s="383" customFormat="1">
      <c r="O231" s="1004"/>
      <c r="P231" s="1004"/>
      <c r="Q231" s="1004"/>
    </row>
    <row r="232" spans="15:17" s="383" customFormat="1">
      <c r="O232" s="1004"/>
      <c r="P232" s="1004"/>
      <c r="Q232" s="1004"/>
    </row>
    <row r="233" spans="15:17" s="383" customFormat="1">
      <c r="O233" s="1004"/>
      <c r="P233" s="1004"/>
      <c r="Q233" s="1004"/>
    </row>
    <row r="234" spans="15:17" s="383" customFormat="1">
      <c r="O234" s="1004"/>
      <c r="P234" s="1004"/>
      <c r="Q234" s="1004"/>
    </row>
    <row r="235" spans="15:17" s="383" customFormat="1">
      <c r="O235" s="1004"/>
      <c r="P235" s="1004"/>
      <c r="Q235" s="1004"/>
    </row>
    <row r="236" spans="15:17" s="383" customFormat="1">
      <c r="O236" s="1004"/>
      <c r="P236" s="1004"/>
      <c r="Q236" s="1004"/>
    </row>
    <row r="237" spans="15:17" s="383" customFormat="1">
      <c r="O237" s="1004"/>
      <c r="P237" s="1004"/>
      <c r="Q237" s="1004"/>
    </row>
    <row r="238" spans="15:17" s="383" customFormat="1">
      <c r="O238" s="1004"/>
      <c r="P238" s="1004"/>
      <c r="Q238" s="1004"/>
    </row>
    <row r="239" spans="15:17" s="383" customFormat="1">
      <c r="O239" s="1004"/>
      <c r="P239" s="1004"/>
      <c r="Q239" s="1004"/>
    </row>
    <row r="240" spans="15:17" s="383" customFormat="1">
      <c r="O240" s="1004"/>
      <c r="P240" s="1004"/>
      <c r="Q240" s="1004"/>
    </row>
    <row r="241" spans="15:17" s="383" customFormat="1">
      <c r="O241" s="1004"/>
      <c r="P241" s="1004"/>
      <c r="Q241" s="1004"/>
    </row>
    <row r="242" spans="15:17" s="383" customFormat="1">
      <c r="O242" s="1004"/>
      <c r="P242" s="1004"/>
      <c r="Q242" s="1004"/>
    </row>
    <row r="243" spans="15:17" s="383" customFormat="1">
      <c r="O243" s="1004"/>
      <c r="P243" s="1004"/>
      <c r="Q243" s="1004"/>
    </row>
    <row r="244" spans="15:17" s="383" customFormat="1">
      <c r="O244" s="1004"/>
      <c r="P244" s="1004"/>
      <c r="Q244" s="1004"/>
    </row>
    <row r="245" spans="15:17" s="383" customFormat="1">
      <c r="O245" s="1004"/>
      <c r="P245" s="1004"/>
      <c r="Q245" s="1004"/>
    </row>
    <row r="246" spans="15:17" s="383" customFormat="1">
      <c r="O246" s="1004"/>
      <c r="P246" s="1004"/>
      <c r="Q246" s="1004"/>
    </row>
    <row r="247" spans="15:17" s="383" customFormat="1">
      <c r="O247" s="1004"/>
      <c r="P247" s="1004"/>
      <c r="Q247" s="1004"/>
    </row>
    <row r="248" spans="15:17" s="383" customFormat="1">
      <c r="O248" s="1004"/>
      <c r="P248" s="1004"/>
      <c r="Q248" s="1004"/>
    </row>
    <row r="249" spans="15:17" s="383" customFormat="1">
      <c r="O249" s="1004"/>
      <c r="P249" s="1004"/>
      <c r="Q249" s="1004"/>
    </row>
    <row r="250" spans="15:17" s="383" customFormat="1">
      <c r="O250" s="1004"/>
      <c r="P250" s="1004"/>
      <c r="Q250" s="1004"/>
    </row>
    <row r="251" spans="15:17" s="383" customFormat="1">
      <c r="O251" s="1004"/>
      <c r="P251" s="1004"/>
      <c r="Q251" s="1004"/>
    </row>
    <row r="252" spans="15:17" s="383" customFormat="1">
      <c r="O252" s="1004"/>
      <c r="P252" s="1004"/>
      <c r="Q252" s="1004"/>
    </row>
    <row r="253" spans="15:17" s="383" customFormat="1">
      <c r="O253" s="1004"/>
      <c r="P253" s="1004"/>
      <c r="Q253" s="1004"/>
    </row>
    <row r="254" spans="15:17" s="383" customFormat="1">
      <c r="O254" s="1004"/>
      <c r="P254" s="1004"/>
      <c r="Q254" s="1004"/>
    </row>
    <row r="255" spans="15:17" s="383" customFormat="1">
      <c r="O255" s="1004"/>
      <c r="P255" s="1004"/>
      <c r="Q255" s="1004"/>
    </row>
    <row r="256" spans="15:17" s="383" customFormat="1">
      <c r="O256" s="1004"/>
      <c r="P256" s="1004"/>
      <c r="Q256" s="1004"/>
    </row>
    <row r="257" spans="15:17" s="383" customFormat="1">
      <c r="O257" s="1004"/>
      <c r="P257" s="1004"/>
      <c r="Q257" s="1004"/>
    </row>
    <row r="258" spans="15:17" s="383" customFormat="1">
      <c r="O258" s="1004"/>
      <c r="P258" s="1004"/>
      <c r="Q258" s="1004"/>
    </row>
    <row r="259" spans="15:17" s="383" customFormat="1">
      <c r="O259" s="1004"/>
      <c r="P259" s="1004"/>
      <c r="Q259" s="1004"/>
    </row>
    <row r="260" spans="15:17" s="383" customFormat="1">
      <c r="O260" s="1004"/>
      <c r="P260" s="1004"/>
      <c r="Q260" s="1004"/>
    </row>
    <row r="261" spans="15:17" s="383" customFormat="1">
      <c r="O261" s="1004"/>
      <c r="P261" s="1004"/>
      <c r="Q261" s="1004"/>
    </row>
    <row r="262" spans="15:17" s="383" customFormat="1">
      <c r="O262" s="1004"/>
      <c r="P262" s="1004"/>
      <c r="Q262" s="1004"/>
    </row>
    <row r="263" spans="15:17" s="383" customFormat="1">
      <c r="O263" s="1004"/>
      <c r="P263" s="1004"/>
      <c r="Q263" s="1004"/>
    </row>
    <row r="264" spans="15:17" s="383" customFormat="1">
      <c r="O264" s="1004"/>
      <c r="P264" s="1004"/>
      <c r="Q264" s="1004"/>
    </row>
    <row r="265" spans="15:17" s="383" customFormat="1">
      <c r="O265" s="1004"/>
      <c r="P265" s="1004"/>
      <c r="Q265" s="1004"/>
    </row>
    <row r="266" spans="15:17" s="383" customFormat="1">
      <c r="O266" s="1004"/>
      <c r="P266" s="1004"/>
      <c r="Q266" s="1004"/>
    </row>
    <row r="267" spans="15:17" s="383" customFormat="1">
      <c r="O267" s="1004"/>
      <c r="P267" s="1004"/>
      <c r="Q267" s="1004"/>
    </row>
    <row r="268" spans="15:17" s="383" customFormat="1">
      <c r="O268" s="1004"/>
      <c r="P268" s="1004"/>
      <c r="Q268" s="1004"/>
    </row>
    <row r="269" spans="15:17" s="383" customFormat="1">
      <c r="O269" s="1004"/>
      <c r="P269" s="1004"/>
      <c r="Q269" s="1004"/>
    </row>
    <row r="270" spans="15:17" s="383" customFormat="1">
      <c r="O270" s="1004"/>
      <c r="P270" s="1004"/>
      <c r="Q270" s="1004"/>
    </row>
    <row r="271" spans="15:17" s="383" customFormat="1">
      <c r="O271" s="1004"/>
      <c r="P271" s="1004"/>
      <c r="Q271" s="1004"/>
    </row>
    <row r="272" spans="15:17" s="383" customFormat="1">
      <c r="O272" s="1004"/>
      <c r="P272" s="1004"/>
      <c r="Q272" s="1004"/>
    </row>
    <row r="273" spans="15:17" s="383" customFormat="1">
      <c r="O273" s="1004"/>
      <c r="P273" s="1004"/>
      <c r="Q273" s="1004"/>
    </row>
    <row r="274" spans="15:17" s="383" customFormat="1">
      <c r="O274" s="1004"/>
      <c r="P274" s="1004"/>
      <c r="Q274" s="1004"/>
    </row>
    <row r="275" spans="15:17" s="383" customFormat="1">
      <c r="O275" s="1004"/>
      <c r="P275" s="1004"/>
      <c r="Q275" s="1004"/>
    </row>
    <row r="276" spans="15:17" s="383" customFormat="1">
      <c r="O276" s="1004"/>
      <c r="P276" s="1004"/>
      <c r="Q276" s="1004"/>
    </row>
    <row r="277" spans="15:17" s="383" customFormat="1">
      <c r="O277" s="1004"/>
      <c r="P277" s="1004"/>
      <c r="Q277" s="1004"/>
    </row>
    <row r="278" spans="15:17" s="383" customFormat="1">
      <c r="O278" s="1004"/>
      <c r="P278" s="1004"/>
      <c r="Q278" s="1004"/>
    </row>
    <row r="279" spans="15:17" s="383" customFormat="1">
      <c r="O279" s="1004"/>
      <c r="P279" s="1004"/>
      <c r="Q279" s="1004"/>
    </row>
    <row r="280" spans="15:17" s="383" customFormat="1">
      <c r="O280" s="1004"/>
      <c r="P280" s="1004"/>
      <c r="Q280" s="1004"/>
    </row>
    <row r="281" spans="15:17" s="383" customFormat="1">
      <c r="O281" s="1004"/>
      <c r="P281" s="1004"/>
      <c r="Q281" s="1004"/>
    </row>
    <row r="282" spans="15:17" s="383" customFormat="1">
      <c r="O282" s="1004"/>
      <c r="P282" s="1004"/>
      <c r="Q282" s="1004"/>
    </row>
    <row r="283" spans="15:17" s="383" customFormat="1">
      <c r="O283" s="1004"/>
      <c r="P283" s="1004"/>
      <c r="Q283" s="1004"/>
    </row>
    <row r="284" spans="15:17" s="383" customFormat="1">
      <c r="O284" s="1004"/>
      <c r="P284" s="1004"/>
      <c r="Q284" s="1004"/>
    </row>
    <row r="285" spans="15:17" s="383" customFormat="1">
      <c r="O285" s="1004"/>
      <c r="P285" s="1004"/>
      <c r="Q285" s="1004"/>
    </row>
    <row r="286" spans="15:17" s="383" customFormat="1">
      <c r="O286" s="1004"/>
      <c r="P286" s="1004"/>
      <c r="Q286" s="1004"/>
    </row>
    <row r="287" spans="15:17" s="383" customFormat="1">
      <c r="O287" s="1004"/>
      <c r="P287" s="1004"/>
      <c r="Q287" s="1004"/>
    </row>
    <row r="288" spans="15:17" s="383" customFormat="1">
      <c r="O288" s="1004"/>
      <c r="P288" s="1004"/>
      <c r="Q288" s="1004"/>
    </row>
    <row r="289" spans="15:17" s="383" customFormat="1">
      <c r="O289" s="1004"/>
      <c r="P289" s="1004"/>
      <c r="Q289" s="1004"/>
    </row>
    <row r="290" spans="15:17" s="383" customFormat="1">
      <c r="O290" s="1004"/>
      <c r="P290" s="1004"/>
      <c r="Q290" s="1004"/>
    </row>
    <row r="291" spans="15:17" s="383" customFormat="1">
      <c r="O291" s="1004"/>
      <c r="P291" s="1004"/>
      <c r="Q291" s="1004"/>
    </row>
    <row r="292" spans="15:17" s="383" customFormat="1">
      <c r="O292" s="1004"/>
      <c r="P292" s="1004"/>
      <c r="Q292" s="1004"/>
    </row>
    <row r="293" spans="15:17" s="383" customFormat="1">
      <c r="O293" s="1004"/>
      <c r="P293" s="1004"/>
      <c r="Q293" s="1004"/>
    </row>
    <row r="294" spans="15:17" s="383" customFormat="1">
      <c r="O294" s="1004"/>
      <c r="P294" s="1004"/>
      <c r="Q294" s="1004"/>
    </row>
    <row r="295" spans="15:17" s="383" customFormat="1">
      <c r="O295" s="1004"/>
      <c r="P295" s="1004"/>
      <c r="Q295" s="1004"/>
    </row>
    <row r="296" spans="15:17" s="383" customFormat="1">
      <c r="O296" s="1004"/>
      <c r="P296" s="1004"/>
      <c r="Q296" s="1004"/>
    </row>
    <row r="297" spans="15:17" s="383" customFormat="1">
      <c r="O297" s="1004"/>
      <c r="P297" s="1004"/>
      <c r="Q297" s="1004"/>
    </row>
    <row r="298" spans="15:17" s="383" customFormat="1">
      <c r="O298" s="1004"/>
      <c r="P298" s="1004"/>
      <c r="Q298" s="1004"/>
    </row>
    <row r="299" spans="15:17" s="383" customFormat="1">
      <c r="O299" s="1004"/>
      <c r="P299" s="1004"/>
      <c r="Q299" s="1004"/>
    </row>
    <row r="300" spans="15:17" s="383" customFormat="1">
      <c r="O300" s="1004"/>
      <c r="P300" s="1004"/>
      <c r="Q300" s="1004"/>
    </row>
    <row r="301" spans="15:17" s="383" customFormat="1">
      <c r="O301" s="1004"/>
      <c r="P301" s="1004"/>
      <c r="Q301" s="1004"/>
    </row>
    <row r="302" spans="15:17" s="383" customFormat="1">
      <c r="O302" s="1004"/>
      <c r="P302" s="1004"/>
      <c r="Q302" s="1004"/>
    </row>
    <row r="303" spans="15:17" s="383" customFormat="1">
      <c r="O303" s="1004"/>
      <c r="P303" s="1004"/>
      <c r="Q303" s="1004"/>
    </row>
    <row r="304" spans="15:17" s="383" customFormat="1">
      <c r="O304" s="1004"/>
      <c r="P304" s="1004"/>
      <c r="Q304" s="1004"/>
    </row>
    <row r="305" spans="15:17" s="383" customFormat="1">
      <c r="O305" s="1004"/>
      <c r="P305" s="1004"/>
      <c r="Q305" s="1004"/>
    </row>
    <row r="306" spans="15:17" s="383" customFormat="1">
      <c r="O306" s="1004"/>
      <c r="P306" s="1004"/>
      <c r="Q306" s="1004"/>
    </row>
    <row r="307" spans="15:17" s="383" customFormat="1">
      <c r="O307" s="1004"/>
      <c r="P307" s="1004"/>
      <c r="Q307" s="1004"/>
    </row>
    <row r="308" spans="15:17" s="383" customFormat="1">
      <c r="O308" s="1004"/>
      <c r="P308" s="1004"/>
      <c r="Q308" s="1004"/>
    </row>
    <row r="309" spans="15:17" s="383" customFormat="1">
      <c r="O309" s="1004"/>
      <c r="P309" s="1004"/>
      <c r="Q309" s="1004"/>
    </row>
    <row r="310" spans="15:17" s="383" customFormat="1">
      <c r="O310" s="1004"/>
      <c r="P310" s="1004"/>
      <c r="Q310" s="1004"/>
    </row>
    <row r="311" spans="15:17" s="383" customFormat="1">
      <c r="O311" s="1004"/>
      <c r="P311" s="1004"/>
      <c r="Q311" s="1004"/>
    </row>
    <row r="312" spans="15:17" s="383" customFormat="1">
      <c r="O312" s="1004"/>
      <c r="P312" s="1004"/>
      <c r="Q312" s="1004"/>
    </row>
    <row r="313" spans="15:17" s="383" customFormat="1">
      <c r="O313" s="1004"/>
      <c r="P313" s="1004"/>
      <c r="Q313" s="1004"/>
    </row>
    <row r="314" spans="15:17" s="383" customFormat="1">
      <c r="O314" s="1004"/>
      <c r="P314" s="1004"/>
      <c r="Q314" s="1004"/>
    </row>
    <row r="315" spans="15:17" s="383" customFormat="1">
      <c r="O315" s="1004"/>
      <c r="P315" s="1004"/>
      <c r="Q315" s="1004"/>
    </row>
    <row r="316" spans="15:17" s="383" customFormat="1">
      <c r="O316" s="1004"/>
      <c r="P316" s="1004"/>
      <c r="Q316" s="1004"/>
    </row>
    <row r="317" spans="15:17" s="383" customFormat="1">
      <c r="O317" s="1004"/>
      <c r="P317" s="1004"/>
      <c r="Q317" s="1004"/>
    </row>
    <row r="318" spans="15:17" s="383" customFormat="1">
      <c r="O318" s="1004"/>
      <c r="P318" s="1004"/>
      <c r="Q318" s="1004"/>
    </row>
    <row r="319" spans="15:17" s="383" customFormat="1">
      <c r="O319" s="1004"/>
      <c r="P319" s="1004"/>
      <c r="Q319" s="1004"/>
    </row>
    <row r="320" spans="15:17" s="383" customFormat="1">
      <c r="O320" s="1004"/>
      <c r="P320" s="1004"/>
      <c r="Q320" s="1004"/>
    </row>
    <row r="321" spans="15:17" s="383" customFormat="1">
      <c r="O321" s="1004"/>
      <c r="P321" s="1004"/>
      <c r="Q321" s="1004"/>
    </row>
    <row r="322" spans="15:17" s="383" customFormat="1">
      <c r="O322" s="1004"/>
      <c r="P322" s="1004"/>
      <c r="Q322" s="1004"/>
    </row>
    <row r="323" spans="15:17" s="383" customFormat="1">
      <c r="O323" s="1004"/>
      <c r="P323" s="1004"/>
      <c r="Q323" s="1004"/>
    </row>
    <row r="324" spans="15:17" s="383" customFormat="1">
      <c r="O324" s="1004"/>
      <c r="P324" s="1004"/>
      <c r="Q324" s="1004"/>
    </row>
    <row r="325" spans="15:17" s="383" customFormat="1">
      <c r="O325" s="1004"/>
      <c r="P325" s="1004"/>
      <c r="Q325" s="1004"/>
    </row>
    <row r="326" spans="15:17" s="383" customFormat="1">
      <c r="O326" s="1004"/>
      <c r="P326" s="1004"/>
      <c r="Q326" s="1004"/>
    </row>
    <row r="327" spans="15:17" s="383" customFormat="1">
      <c r="O327" s="1004"/>
      <c r="P327" s="1004"/>
      <c r="Q327" s="1004"/>
    </row>
    <row r="328" spans="15:17" s="383" customFormat="1">
      <c r="O328" s="1004"/>
      <c r="P328" s="1004"/>
      <c r="Q328" s="1004"/>
    </row>
    <row r="329" spans="15:17" s="383" customFormat="1">
      <c r="O329" s="1004"/>
      <c r="P329" s="1004"/>
      <c r="Q329" s="1004"/>
    </row>
    <row r="330" spans="15:17" s="383" customFormat="1">
      <c r="O330" s="1004"/>
      <c r="P330" s="1004"/>
      <c r="Q330" s="1004"/>
    </row>
    <row r="331" spans="15:17" s="383" customFormat="1">
      <c r="O331" s="1004"/>
      <c r="P331" s="1004"/>
      <c r="Q331" s="1004"/>
    </row>
    <row r="332" spans="15:17" s="383" customFormat="1">
      <c r="O332" s="1004"/>
      <c r="P332" s="1004"/>
      <c r="Q332" s="1004"/>
    </row>
    <row r="333" spans="15:17" s="383" customFormat="1">
      <c r="O333" s="1004"/>
      <c r="P333" s="1004"/>
      <c r="Q333" s="1004"/>
    </row>
    <row r="334" spans="15:17" s="383" customFormat="1">
      <c r="O334" s="1004"/>
      <c r="P334" s="1004"/>
      <c r="Q334" s="1004"/>
    </row>
    <row r="335" spans="15:17" s="383" customFormat="1">
      <c r="O335" s="1004"/>
      <c r="P335" s="1004"/>
      <c r="Q335" s="1004"/>
    </row>
    <row r="336" spans="15:17" s="383" customFormat="1">
      <c r="O336" s="1004"/>
      <c r="P336" s="1004"/>
      <c r="Q336" s="1004"/>
    </row>
    <row r="337" spans="15:17" s="383" customFormat="1">
      <c r="O337" s="1004"/>
      <c r="P337" s="1004"/>
      <c r="Q337" s="1004"/>
    </row>
    <row r="338" spans="15:17" s="383" customFormat="1">
      <c r="O338" s="1004"/>
      <c r="P338" s="1004"/>
      <c r="Q338" s="1004"/>
    </row>
    <row r="339" spans="15:17" s="383" customFormat="1">
      <c r="O339" s="1004"/>
      <c r="P339" s="1004"/>
      <c r="Q339" s="1004"/>
    </row>
    <row r="340" spans="15:17" s="383" customFormat="1">
      <c r="O340" s="1004"/>
      <c r="P340" s="1004"/>
      <c r="Q340" s="1004"/>
    </row>
    <row r="341" spans="15:17" s="383" customFormat="1">
      <c r="O341" s="1004"/>
      <c r="P341" s="1004"/>
      <c r="Q341" s="1004"/>
    </row>
    <row r="342" spans="15:17" s="383" customFormat="1">
      <c r="O342" s="1004"/>
      <c r="P342" s="1004"/>
      <c r="Q342" s="1004"/>
    </row>
    <row r="343" spans="15:17" s="383" customFormat="1">
      <c r="O343" s="1004"/>
      <c r="P343" s="1004"/>
      <c r="Q343" s="1004"/>
    </row>
    <row r="344" spans="15:17" s="383" customFormat="1">
      <c r="O344" s="1004"/>
      <c r="P344" s="1004"/>
      <c r="Q344" s="1004"/>
    </row>
    <row r="345" spans="15:17" s="383" customFormat="1">
      <c r="O345" s="1004"/>
      <c r="P345" s="1004"/>
      <c r="Q345" s="1004"/>
    </row>
    <row r="346" spans="15:17" s="383" customFormat="1">
      <c r="O346" s="1004"/>
      <c r="P346" s="1004"/>
      <c r="Q346" s="1004"/>
    </row>
    <row r="347" spans="15:17" s="383" customFormat="1">
      <c r="O347" s="1004"/>
      <c r="P347" s="1004"/>
      <c r="Q347" s="1004"/>
    </row>
    <row r="348" spans="15:17" s="383" customFormat="1">
      <c r="O348" s="1004"/>
      <c r="P348" s="1004"/>
      <c r="Q348" s="1004"/>
    </row>
    <row r="349" spans="15:17" s="383" customFormat="1">
      <c r="O349" s="1004"/>
      <c r="P349" s="1004"/>
      <c r="Q349" s="1004"/>
    </row>
    <row r="350" spans="15:17" s="383" customFormat="1">
      <c r="O350" s="1004"/>
      <c r="P350" s="1004"/>
      <c r="Q350" s="1004"/>
    </row>
    <row r="351" spans="15:17" s="383" customFormat="1">
      <c r="O351" s="1004"/>
      <c r="P351" s="1004"/>
      <c r="Q351" s="1004"/>
    </row>
    <row r="352" spans="15:17" s="383" customFormat="1">
      <c r="O352" s="1004"/>
      <c r="P352" s="1004"/>
      <c r="Q352" s="1004"/>
    </row>
    <row r="353" spans="15:17" s="383" customFormat="1">
      <c r="O353" s="1004"/>
      <c r="P353" s="1004"/>
      <c r="Q353" s="1004"/>
    </row>
    <row r="354" spans="15:17" s="383" customFormat="1">
      <c r="O354" s="1004"/>
      <c r="P354" s="1004"/>
      <c r="Q354" s="1004"/>
    </row>
    <row r="355" spans="15:17" s="383" customFormat="1">
      <c r="O355" s="1004"/>
      <c r="P355" s="1004"/>
      <c r="Q355" s="1004"/>
    </row>
    <row r="356" spans="15:17" s="383" customFormat="1">
      <c r="O356" s="1004"/>
      <c r="P356" s="1004"/>
      <c r="Q356" s="1004"/>
    </row>
    <row r="357" spans="15:17" s="383" customFormat="1">
      <c r="O357" s="1004"/>
      <c r="P357" s="1004"/>
      <c r="Q357" s="1004"/>
    </row>
    <row r="358" spans="15:17" s="383" customFormat="1">
      <c r="O358" s="1004"/>
      <c r="P358" s="1004"/>
      <c r="Q358" s="1004"/>
    </row>
    <row r="359" spans="15:17" s="383" customFormat="1">
      <c r="O359" s="1004"/>
      <c r="P359" s="1004"/>
      <c r="Q359" s="1004"/>
    </row>
    <row r="360" spans="15:17" s="383" customFormat="1">
      <c r="O360" s="1004"/>
      <c r="P360" s="1004"/>
      <c r="Q360" s="1004"/>
    </row>
    <row r="361" spans="15:17" s="383" customFormat="1">
      <c r="O361" s="1004"/>
      <c r="P361" s="1004"/>
      <c r="Q361" s="1004"/>
    </row>
    <row r="362" spans="15:17" s="383" customFormat="1">
      <c r="O362" s="1004"/>
      <c r="P362" s="1004"/>
      <c r="Q362" s="1004"/>
    </row>
    <row r="363" spans="15:17" s="383" customFormat="1">
      <c r="O363" s="1004"/>
      <c r="P363" s="1004"/>
      <c r="Q363" s="1004"/>
    </row>
    <row r="364" spans="15:17" s="383" customFormat="1">
      <c r="O364" s="1004"/>
      <c r="P364" s="1004"/>
      <c r="Q364" s="1004"/>
    </row>
    <row r="365" spans="15:17" s="383" customFormat="1">
      <c r="O365" s="1004"/>
      <c r="P365" s="1004"/>
      <c r="Q365" s="1004"/>
    </row>
    <row r="366" spans="15:17" s="383" customFormat="1">
      <c r="O366" s="1004"/>
      <c r="P366" s="1004"/>
      <c r="Q366" s="1004"/>
    </row>
    <row r="367" spans="15:17" s="383" customFormat="1">
      <c r="O367" s="1004"/>
      <c r="P367" s="1004"/>
      <c r="Q367" s="1004"/>
    </row>
    <row r="368" spans="15:17" s="383" customFormat="1">
      <c r="O368" s="1004"/>
      <c r="P368" s="1004"/>
      <c r="Q368" s="1004"/>
    </row>
    <row r="369" spans="15:17" s="383" customFormat="1">
      <c r="O369" s="1004"/>
      <c r="P369" s="1004"/>
      <c r="Q369" s="1004"/>
    </row>
    <row r="370" spans="15:17" s="383" customFormat="1">
      <c r="O370" s="1004"/>
      <c r="P370" s="1004"/>
      <c r="Q370" s="1004"/>
    </row>
    <row r="371" spans="15:17" s="383" customFormat="1">
      <c r="O371" s="1004"/>
      <c r="P371" s="1004"/>
      <c r="Q371" s="1004"/>
    </row>
    <row r="372" spans="15:17" s="383" customFormat="1">
      <c r="O372" s="1004"/>
      <c r="P372" s="1004"/>
      <c r="Q372" s="1004"/>
    </row>
    <row r="373" spans="15:17" s="383" customFormat="1">
      <c r="O373" s="1004"/>
      <c r="P373" s="1004"/>
      <c r="Q373" s="1004"/>
    </row>
    <row r="374" spans="15:17" s="383" customFormat="1">
      <c r="O374" s="1004"/>
      <c r="P374" s="1004"/>
      <c r="Q374" s="1004"/>
    </row>
    <row r="375" spans="15:17" s="383" customFormat="1">
      <c r="O375" s="1004"/>
      <c r="P375" s="1004"/>
      <c r="Q375" s="1004"/>
    </row>
    <row r="376" spans="15:17" s="383" customFormat="1">
      <c r="O376" s="1004"/>
      <c r="P376" s="1004"/>
      <c r="Q376" s="1004"/>
    </row>
    <row r="377" spans="15:17" s="383" customFormat="1">
      <c r="O377" s="1004"/>
      <c r="P377" s="1004"/>
      <c r="Q377" s="1004"/>
    </row>
    <row r="378" spans="15:17" s="383" customFormat="1">
      <c r="O378" s="1004"/>
      <c r="P378" s="1004"/>
      <c r="Q378" s="1004"/>
    </row>
    <row r="379" spans="15:17" s="383" customFormat="1">
      <c r="O379" s="1004"/>
      <c r="P379" s="1004"/>
      <c r="Q379" s="1004"/>
    </row>
    <row r="380" spans="15:17" s="383" customFormat="1">
      <c r="O380" s="1004"/>
      <c r="P380" s="1004"/>
      <c r="Q380" s="1004"/>
    </row>
    <row r="381" spans="15:17" s="383" customFormat="1">
      <c r="O381" s="1004"/>
      <c r="P381" s="1004"/>
      <c r="Q381" s="1004"/>
    </row>
    <row r="382" spans="15:17" s="383" customFormat="1">
      <c r="O382" s="1004"/>
      <c r="P382" s="1004"/>
      <c r="Q382" s="1004"/>
    </row>
    <row r="383" spans="15:17" s="383" customFormat="1">
      <c r="O383" s="1004"/>
      <c r="P383" s="1004"/>
      <c r="Q383" s="1004"/>
    </row>
    <row r="384" spans="15:17" s="383" customFormat="1">
      <c r="O384" s="1004"/>
      <c r="P384" s="1004"/>
      <c r="Q384" s="1004"/>
    </row>
    <row r="385" spans="15:17" s="383" customFormat="1">
      <c r="O385" s="1004"/>
      <c r="P385" s="1004"/>
      <c r="Q385" s="1004"/>
    </row>
    <row r="386" spans="15:17" s="383" customFormat="1">
      <c r="O386" s="1004"/>
      <c r="P386" s="1004"/>
      <c r="Q386" s="1004"/>
    </row>
    <row r="387" spans="15:17" s="383" customFormat="1">
      <c r="O387" s="1004"/>
      <c r="P387" s="1004"/>
      <c r="Q387" s="1004"/>
    </row>
    <row r="388" spans="15:17" s="383" customFormat="1">
      <c r="O388" s="1004"/>
      <c r="P388" s="1004"/>
      <c r="Q388" s="1004"/>
    </row>
    <row r="389" spans="15:17" s="383" customFormat="1">
      <c r="O389" s="1004"/>
      <c r="P389" s="1004"/>
      <c r="Q389" s="1004"/>
    </row>
    <row r="390" spans="15:17" s="383" customFormat="1">
      <c r="O390" s="1004"/>
      <c r="P390" s="1004"/>
      <c r="Q390" s="1004"/>
    </row>
    <row r="391" spans="15:17" s="383" customFormat="1">
      <c r="O391" s="1004"/>
      <c r="P391" s="1004"/>
      <c r="Q391" s="1004"/>
    </row>
    <row r="392" spans="15:17" s="383" customFormat="1">
      <c r="O392" s="1004"/>
      <c r="P392" s="1004"/>
      <c r="Q392" s="1004"/>
    </row>
    <row r="393" spans="15:17" s="383" customFormat="1">
      <c r="O393" s="1004"/>
      <c r="P393" s="1004"/>
      <c r="Q393" s="1004"/>
    </row>
    <row r="394" spans="15:17" s="383" customFormat="1">
      <c r="O394" s="1004"/>
      <c r="P394" s="1004"/>
      <c r="Q394" s="1004"/>
    </row>
    <row r="395" spans="15:17" s="383" customFormat="1">
      <c r="O395" s="1004"/>
      <c r="P395" s="1004"/>
      <c r="Q395" s="1004"/>
    </row>
    <row r="396" spans="15:17" s="383" customFormat="1">
      <c r="O396" s="1004"/>
      <c r="P396" s="1004"/>
      <c r="Q396" s="1004"/>
    </row>
    <row r="397" spans="15:17" s="383" customFormat="1">
      <c r="O397" s="1004"/>
      <c r="P397" s="1004"/>
      <c r="Q397" s="1004"/>
    </row>
    <row r="398" spans="15:17" s="383" customFormat="1">
      <c r="O398" s="1004"/>
      <c r="P398" s="1004"/>
      <c r="Q398" s="1004"/>
    </row>
    <row r="399" spans="15:17" s="383" customFormat="1">
      <c r="O399" s="1004"/>
      <c r="P399" s="1004"/>
      <c r="Q399" s="1004"/>
    </row>
    <row r="400" spans="15:17" s="383" customFormat="1">
      <c r="O400" s="1004"/>
      <c r="P400" s="1004"/>
      <c r="Q400" s="1004"/>
    </row>
    <row r="401" spans="15:17" s="383" customFormat="1">
      <c r="O401" s="1004"/>
      <c r="P401" s="1004"/>
      <c r="Q401" s="1004"/>
    </row>
    <row r="402" spans="15:17" s="383" customFormat="1">
      <c r="O402" s="1004"/>
      <c r="P402" s="1004"/>
      <c r="Q402" s="1004"/>
    </row>
    <row r="403" spans="15:17" s="383" customFormat="1">
      <c r="O403" s="1004"/>
      <c r="P403" s="1004"/>
      <c r="Q403" s="1004"/>
    </row>
    <row r="404" spans="15:17" s="383" customFormat="1">
      <c r="O404" s="1004"/>
      <c r="P404" s="1004"/>
      <c r="Q404" s="1004"/>
    </row>
    <row r="405" spans="15:17" s="383" customFormat="1">
      <c r="O405" s="1004"/>
      <c r="P405" s="1004"/>
      <c r="Q405" s="1004"/>
    </row>
    <row r="406" spans="15:17" s="383" customFormat="1">
      <c r="O406" s="1004"/>
      <c r="P406" s="1004"/>
      <c r="Q406" s="1004"/>
    </row>
    <row r="407" spans="15:17" s="383" customFormat="1">
      <c r="O407" s="1004"/>
      <c r="P407" s="1004"/>
      <c r="Q407" s="1004"/>
    </row>
    <row r="408" spans="15:17" s="383" customFormat="1">
      <c r="O408" s="1004"/>
      <c r="P408" s="1004"/>
      <c r="Q408" s="1004"/>
    </row>
    <row r="409" spans="15:17" s="383" customFormat="1">
      <c r="O409" s="1004"/>
      <c r="P409" s="1004"/>
      <c r="Q409" s="1004"/>
    </row>
    <row r="410" spans="15:17" s="383" customFormat="1">
      <c r="O410" s="1004"/>
      <c r="P410" s="1004"/>
      <c r="Q410" s="1004"/>
    </row>
    <row r="411" spans="15:17" s="383" customFormat="1">
      <c r="O411" s="1004"/>
      <c r="P411" s="1004"/>
      <c r="Q411" s="1004"/>
    </row>
    <row r="412" spans="15:17" s="383" customFormat="1">
      <c r="O412" s="1004"/>
      <c r="P412" s="1004"/>
      <c r="Q412" s="1004"/>
    </row>
    <row r="413" spans="15:17" s="383" customFormat="1">
      <c r="O413" s="1004"/>
      <c r="P413" s="1004"/>
      <c r="Q413" s="1004"/>
    </row>
    <row r="414" spans="15:17" s="383" customFormat="1">
      <c r="O414" s="1004"/>
      <c r="P414" s="1004"/>
      <c r="Q414" s="1004"/>
    </row>
    <row r="415" spans="15:17" s="383" customFormat="1">
      <c r="O415" s="1004"/>
      <c r="P415" s="1004"/>
      <c r="Q415" s="1004"/>
    </row>
    <row r="416" spans="15:17" s="383" customFormat="1">
      <c r="O416" s="1004"/>
      <c r="P416" s="1004"/>
      <c r="Q416" s="1004"/>
    </row>
    <row r="417" spans="15:17" s="383" customFormat="1">
      <c r="O417" s="1004"/>
      <c r="P417" s="1004"/>
      <c r="Q417" s="1004"/>
    </row>
    <row r="418" spans="15:17" s="383" customFormat="1">
      <c r="O418" s="1004"/>
      <c r="P418" s="1004"/>
      <c r="Q418" s="1004"/>
    </row>
    <row r="419" spans="15:17" s="383" customFormat="1">
      <c r="O419" s="1004"/>
      <c r="P419" s="1004"/>
      <c r="Q419" s="1004"/>
    </row>
    <row r="420" spans="15:17" s="383" customFormat="1">
      <c r="O420" s="1004"/>
      <c r="P420" s="1004"/>
      <c r="Q420" s="1004"/>
    </row>
    <row r="421" spans="15:17" s="383" customFormat="1">
      <c r="O421" s="1004"/>
      <c r="P421" s="1004"/>
      <c r="Q421" s="1004"/>
    </row>
    <row r="422" spans="15:17" s="383" customFormat="1">
      <c r="O422" s="1004"/>
      <c r="P422" s="1004"/>
      <c r="Q422" s="1004"/>
    </row>
    <row r="423" spans="15:17" s="383" customFormat="1">
      <c r="O423" s="1004"/>
      <c r="P423" s="1004"/>
      <c r="Q423" s="1004"/>
    </row>
    <row r="424" spans="15:17" s="383" customFormat="1">
      <c r="O424" s="1004"/>
      <c r="P424" s="1004"/>
      <c r="Q424" s="1004"/>
    </row>
    <row r="425" spans="15:17" s="383" customFormat="1">
      <c r="O425" s="1004"/>
      <c r="P425" s="1004"/>
      <c r="Q425" s="1004"/>
    </row>
    <row r="426" spans="15:17" s="383" customFormat="1">
      <c r="O426" s="1004"/>
      <c r="P426" s="1004"/>
      <c r="Q426" s="1004"/>
    </row>
    <row r="427" spans="15:17" s="383" customFormat="1">
      <c r="O427" s="1004"/>
      <c r="P427" s="1004"/>
      <c r="Q427" s="1004"/>
    </row>
    <row r="428" spans="15:17" s="383" customFormat="1">
      <c r="O428" s="1004"/>
      <c r="P428" s="1004"/>
      <c r="Q428" s="1004"/>
    </row>
    <row r="429" spans="15:17" s="383" customFormat="1">
      <c r="O429" s="1004"/>
      <c r="P429" s="1004"/>
      <c r="Q429" s="1004"/>
    </row>
    <row r="430" spans="15:17" s="383" customFormat="1">
      <c r="O430" s="1004"/>
      <c r="P430" s="1004"/>
      <c r="Q430" s="1004"/>
    </row>
    <row r="431" spans="15:17" s="383" customFormat="1">
      <c r="O431" s="1004"/>
      <c r="P431" s="1004"/>
      <c r="Q431" s="1004"/>
    </row>
    <row r="432" spans="15:17" s="383" customFormat="1">
      <c r="O432" s="1004"/>
      <c r="P432" s="1004"/>
      <c r="Q432" s="1004"/>
    </row>
    <row r="433" spans="15:17" s="383" customFormat="1">
      <c r="O433" s="1004"/>
      <c r="P433" s="1004"/>
      <c r="Q433" s="1004"/>
    </row>
    <row r="434" spans="15:17" s="383" customFormat="1">
      <c r="O434" s="1004"/>
      <c r="P434" s="1004"/>
      <c r="Q434" s="1004"/>
    </row>
    <row r="435" spans="15:17" s="383" customFormat="1">
      <c r="O435" s="1004"/>
      <c r="P435" s="1004"/>
      <c r="Q435" s="1004"/>
    </row>
    <row r="436" spans="15:17" s="383" customFormat="1">
      <c r="O436" s="1004"/>
      <c r="P436" s="1004"/>
      <c r="Q436" s="1004"/>
    </row>
    <row r="437" spans="15:17" s="383" customFormat="1">
      <c r="O437" s="1004"/>
      <c r="P437" s="1004"/>
      <c r="Q437" s="1004"/>
    </row>
    <row r="438" spans="15:17" s="383" customFormat="1">
      <c r="O438" s="1004"/>
      <c r="P438" s="1004"/>
      <c r="Q438" s="1004"/>
    </row>
    <row r="439" spans="15:17" s="383" customFormat="1">
      <c r="O439" s="1004"/>
      <c r="P439" s="1004"/>
      <c r="Q439" s="1004"/>
    </row>
    <row r="440" spans="15:17" s="383" customFormat="1">
      <c r="O440" s="1004"/>
      <c r="P440" s="1004"/>
      <c r="Q440" s="1004"/>
    </row>
    <row r="441" spans="15:17" s="383" customFormat="1">
      <c r="O441" s="1004"/>
      <c r="P441" s="1004"/>
      <c r="Q441" s="1004"/>
    </row>
    <row r="442" spans="15:17" s="383" customFormat="1">
      <c r="O442" s="1004"/>
      <c r="P442" s="1004"/>
      <c r="Q442" s="1004"/>
    </row>
    <row r="443" spans="15:17" s="383" customFormat="1">
      <c r="O443" s="1004"/>
      <c r="P443" s="1004"/>
      <c r="Q443" s="1004"/>
    </row>
    <row r="444" spans="15:17" s="383" customFormat="1">
      <c r="O444" s="1004"/>
      <c r="P444" s="1004"/>
      <c r="Q444" s="1004"/>
    </row>
    <row r="445" spans="15:17" s="383" customFormat="1">
      <c r="O445" s="1004"/>
      <c r="P445" s="1004"/>
      <c r="Q445" s="1004"/>
    </row>
    <row r="446" spans="15:17" s="383" customFormat="1">
      <c r="O446" s="1004"/>
      <c r="P446" s="1004"/>
      <c r="Q446" s="1004"/>
    </row>
    <row r="447" spans="15:17" s="383" customFormat="1">
      <c r="O447" s="1004"/>
      <c r="P447" s="1004"/>
      <c r="Q447" s="1004"/>
    </row>
    <row r="448" spans="15:17" s="383" customFormat="1">
      <c r="O448" s="1004"/>
      <c r="P448" s="1004"/>
      <c r="Q448" s="1004"/>
    </row>
    <row r="449" spans="15:17" s="383" customFormat="1">
      <c r="O449" s="1004"/>
      <c r="P449" s="1004"/>
      <c r="Q449" s="1004"/>
    </row>
    <row r="450" spans="15:17" s="383" customFormat="1">
      <c r="O450" s="1004"/>
      <c r="P450" s="1004"/>
      <c r="Q450" s="1004"/>
    </row>
    <row r="451" spans="15:17" s="383" customFormat="1">
      <c r="O451" s="1004"/>
      <c r="P451" s="1004"/>
      <c r="Q451" s="1004"/>
    </row>
    <row r="452" spans="15:17" s="383" customFormat="1">
      <c r="O452" s="1004"/>
      <c r="P452" s="1004"/>
      <c r="Q452" s="1004"/>
    </row>
    <row r="453" spans="15:17" s="383" customFormat="1">
      <c r="O453" s="1004"/>
      <c r="P453" s="1004"/>
      <c r="Q453" s="1004"/>
    </row>
    <row r="454" spans="15:17" s="383" customFormat="1">
      <c r="O454" s="1004"/>
      <c r="P454" s="1004"/>
      <c r="Q454" s="1004"/>
    </row>
    <row r="455" spans="15:17" s="383" customFormat="1">
      <c r="O455" s="1004"/>
      <c r="P455" s="1004"/>
      <c r="Q455" s="1004"/>
    </row>
    <row r="456" spans="15:17" s="383" customFormat="1">
      <c r="O456" s="1004"/>
      <c r="P456" s="1004"/>
      <c r="Q456" s="1004"/>
    </row>
    <row r="457" spans="15:17" s="383" customFormat="1">
      <c r="O457" s="1004"/>
      <c r="P457" s="1004"/>
      <c r="Q457" s="1004"/>
    </row>
    <row r="458" spans="15:17" s="383" customFormat="1">
      <c r="O458" s="1004"/>
      <c r="P458" s="1004"/>
      <c r="Q458" s="1004"/>
    </row>
    <row r="459" spans="15:17" s="383" customFormat="1">
      <c r="O459" s="1004"/>
      <c r="P459" s="1004"/>
      <c r="Q459" s="1004"/>
    </row>
    <row r="460" spans="15:17" s="383" customFormat="1">
      <c r="O460" s="1004"/>
      <c r="P460" s="1004"/>
      <c r="Q460" s="1004"/>
    </row>
    <row r="461" spans="15:17" s="383" customFormat="1">
      <c r="O461" s="1004"/>
      <c r="P461" s="1004"/>
      <c r="Q461" s="1004"/>
    </row>
    <row r="462" spans="15:17" s="383" customFormat="1">
      <c r="O462" s="1004"/>
      <c r="P462" s="1004"/>
      <c r="Q462" s="1004"/>
    </row>
    <row r="463" spans="15:17" s="383" customFormat="1">
      <c r="O463" s="1004"/>
      <c r="P463" s="1004"/>
      <c r="Q463" s="1004"/>
    </row>
    <row r="464" spans="15:17" s="383" customFormat="1">
      <c r="O464" s="1004"/>
      <c r="P464" s="1004"/>
      <c r="Q464" s="1004"/>
    </row>
    <row r="465" spans="15:17" s="383" customFormat="1">
      <c r="O465" s="1004"/>
      <c r="P465" s="1004"/>
      <c r="Q465" s="1004"/>
    </row>
    <row r="466" spans="15:17" s="383" customFormat="1">
      <c r="O466" s="1004"/>
      <c r="P466" s="1004"/>
      <c r="Q466" s="1004"/>
    </row>
    <row r="467" spans="15:17" s="383" customFormat="1">
      <c r="O467" s="1004"/>
      <c r="P467" s="1004"/>
      <c r="Q467" s="1004"/>
    </row>
    <row r="468" spans="15:17" s="383" customFormat="1">
      <c r="O468" s="1004"/>
      <c r="P468" s="1004"/>
      <c r="Q468" s="1004"/>
    </row>
    <row r="469" spans="15:17" s="383" customFormat="1">
      <c r="O469" s="1004"/>
      <c r="P469" s="1004"/>
      <c r="Q469" s="1004"/>
    </row>
    <row r="470" spans="15:17" s="383" customFormat="1">
      <c r="O470" s="1004"/>
      <c r="P470" s="1004"/>
      <c r="Q470" s="1004"/>
    </row>
    <row r="471" spans="15:17" s="383" customFormat="1">
      <c r="O471" s="1004"/>
      <c r="P471" s="1004"/>
      <c r="Q471" s="1004"/>
    </row>
    <row r="472" spans="15:17" s="383" customFormat="1">
      <c r="O472" s="1004"/>
      <c r="P472" s="1004"/>
      <c r="Q472" s="1004"/>
    </row>
    <row r="473" spans="15:17" s="383" customFormat="1">
      <c r="O473" s="1004"/>
      <c r="P473" s="1004"/>
      <c r="Q473" s="1004"/>
    </row>
    <row r="474" spans="15:17" s="383" customFormat="1">
      <c r="O474" s="1004"/>
      <c r="P474" s="1004"/>
      <c r="Q474" s="1004"/>
    </row>
    <row r="475" spans="15:17" s="383" customFormat="1">
      <c r="O475" s="1004"/>
      <c r="P475" s="1004"/>
      <c r="Q475" s="1004"/>
    </row>
    <row r="476" spans="15:17" s="383" customFormat="1">
      <c r="O476" s="1004"/>
      <c r="P476" s="1004"/>
      <c r="Q476" s="1004"/>
    </row>
    <row r="477" spans="15:17" s="383" customFormat="1">
      <c r="O477" s="1004"/>
      <c r="P477" s="1004"/>
      <c r="Q477" s="1004"/>
    </row>
    <row r="478" spans="15:17" s="383" customFormat="1">
      <c r="O478" s="1004"/>
      <c r="P478" s="1004"/>
      <c r="Q478" s="1004"/>
    </row>
    <row r="479" spans="15:17" s="383" customFormat="1">
      <c r="O479" s="1004"/>
      <c r="P479" s="1004"/>
      <c r="Q479" s="1004"/>
    </row>
    <row r="480" spans="15:17" s="383" customFormat="1">
      <c r="O480" s="1004"/>
      <c r="P480" s="1004"/>
      <c r="Q480" s="1004"/>
    </row>
    <row r="481" spans="15:17" s="383" customFormat="1">
      <c r="O481" s="1004"/>
      <c r="P481" s="1004"/>
      <c r="Q481" s="1004"/>
    </row>
    <row r="482" spans="15:17" s="383" customFormat="1">
      <c r="O482" s="1004"/>
      <c r="P482" s="1004"/>
      <c r="Q482" s="1004"/>
    </row>
    <row r="483" spans="15:17" s="383" customFormat="1">
      <c r="O483" s="1004"/>
      <c r="P483" s="1004"/>
      <c r="Q483" s="1004"/>
    </row>
    <row r="484" spans="15:17" s="383" customFormat="1">
      <c r="O484" s="1004"/>
      <c r="P484" s="1004"/>
      <c r="Q484" s="1004"/>
    </row>
    <row r="485" spans="15:17" s="383" customFormat="1">
      <c r="O485" s="1004"/>
      <c r="P485" s="1004"/>
      <c r="Q485" s="1004"/>
    </row>
    <row r="486" spans="15:17" s="383" customFormat="1">
      <c r="O486" s="1004"/>
      <c r="P486" s="1004"/>
      <c r="Q486" s="1004"/>
    </row>
    <row r="487" spans="15:17" s="383" customFormat="1">
      <c r="O487" s="1004"/>
      <c r="P487" s="1004"/>
      <c r="Q487" s="1004"/>
    </row>
    <row r="488" spans="15:17" s="383" customFormat="1">
      <c r="O488" s="1004"/>
      <c r="P488" s="1004"/>
      <c r="Q488" s="1004"/>
    </row>
    <row r="489" spans="15:17" s="383" customFormat="1">
      <c r="O489" s="1004"/>
      <c r="P489" s="1004"/>
      <c r="Q489" s="1004"/>
    </row>
    <row r="490" spans="15:17" s="383" customFormat="1">
      <c r="O490" s="1004"/>
      <c r="P490" s="1004"/>
      <c r="Q490" s="1004"/>
    </row>
    <row r="491" spans="15:17" s="383" customFormat="1">
      <c r="O491" s="1004"/>
      <c r="P491" s="1004"/>
      <c r="Q491" s="1004"/>
    </row>
    <row r="492" spans="15:17" s="383" customFormat="1">
      <c r="O492" s="1004"/>
      <c r="P492" s="1004"/>
      <c r="Q492" s="1004"/>
    </row>
    <row r="493" spans="15:17" s="383" customFormat="1">
      <c r="O493" s="1004"/>
      <c r="P493" s="1004"/>
      <c r="Q493" s="1004"/>
    </row>
    <row r="494" spans="15:17" s="383" customFormat="1">
      <c r="O494" s="1004"/>
      <c r="P494" s="1004"/>
      <c r="Q494" s="1004"/>
    </row>
    <row r="495" spans="15:17" s="383" customFormat="1">
      <c r="O495" s="1004"/>
      <c r="P495" s="1004"/>
      <c r="Q495" s="1004"/>
    </row>
    <row r="496" spans="15:17" s="383" customFormat="1">
      <c r="O496" s="1004"/>
      <c r="P496" s="1004"/>
      <c r="Q496" s="1004"/>
    </row>
    <row r="497" spans="15:17" s="383" customFormat="1">
      <c r="O497" s="1004"/>
      <c r="P497" s="1004"/>
      <c r="Q497" s="1004"/>
    </row>
    <row r="498" spans="15:17" s="383" customFormat="1">
      <c r="O498" s="1004"/>
      <c r="P498" s="1004"/>
      <c r="Q498" s="1004"/>
    </row>
    <row r="499" spans="15:17" s="383" customFormat="1">
      <c r="O499" s="1004"/>
      <c r="P499" s="1004"/>
      <c r="Q499" s="1004"/>
    </row>
    <row r="500" spans="15:17" s="383" customFormat="1">
      <c r="O500" s="1004"/>
      <c r="P500" s="1004"/>
      <c r="Q500" s="1004"/>
    </row>
    <row r="501" spans="15:17" s="383" customFormat="1">
      <c r="O501" s="1004"/>
      <c r="P501" s="1004"/>
      <c r="Q501" s="1004"/>
    </row>
    <row r="502" spans="15:17" s="383" customFormat="1">
      <c r="O502" s="1004"/>
      <c r="P502" s="1004"/>
      <c r="Q502" s="1004"/>
    </row>
    <row r="503" spans="15:17" s="383" customFormat="1">
      <c r="O503" s="1004"/>
      <c r="P503" s="1004"/>
      <c r="Q503" s="1004"/>
    </row>
    <row r="504" spans="15:17" s="383" customFormat="1">
      <c r="O504" s="1004"/>
      <c r="P504" s="1004"/>
      <c r="Q504" s="1004"/>
    </row>
    <row r="505" spans="15:17" s="383" customFormat="1">
      <c r="O505" s="1004"/>
      <c r="P505" s="1004"/>
      <c r="Q505" s="1004"/>
    </row>
    <row r="506" spans="15:17" s="383" customFormat="1">
      <c r="O506" s="1004"/>
      <c r="P506" s="1004"/>
      <c r="Q506" s="1004"/>
    </row>
    <row r="507" spans="15:17" s="383" customFormat="1">
      <c r="O507" s="1004"/>
      <c r="P507" s="1004"/>
      <c r="Q507" s="1004"/>
    </row>
    <row r="508" spans="15:17" s="383" customFormat="1">
      <c r="O508" s="1004"/>
      <c r="P508" s="1004"/>
      <c r="Q508" s="1004"/>
    </row>
    <row r="509" spans="15:17" s="383" customFormat="1">
      <c r="O509" s="1004"/>
      <c r="P509" s="1004"/>
      <c r="Q509" s="1004"/>
    </row>
    <row r="510" spans="15:17" s="383" customFormat="1">
      <c r="O510" s="1004"/>
      <c r="P510" s="1004"/>
      <c r="Q510" s="1004"/>
    </row>
    <row r="511" spans="15:17" s="383" customFormat="1">
      <c r="O511" s="1004"/>
      <c r="P511" s="1004"/>
      <c r="Q511" s="1004"/>
    </row>
    <row r="512" spans="15:17" s="383" customFormat="1">
      <c r="O512" s="1004"/>
      <c r="P512" s="1004"/>
      <c r="Q512" s="1004"/>
    </row>
    <row r="513" spans="15:17" s="383" customFormat="1">
      <c r="O513" s="1004"/>
      <c r="P513" s="1004"/>
      <c r="Q513" s="1004"/>
    </row>
    <row r="514" spans="15:17" s="383" customFormat="1">
      <c r="O514" s="1004"/>
      <c r="P514" s="1004"/>
      <c r="Q514" s="1004"/>
    </row>
    <row r="515" spans="15:17" s="383" customFormat="1">
      <c r="O515" s="1004"/>
      <c r="P515" s="1004"/>
      <c r="Q515" s="1004"/>
    </row>
    <row r="516" spans="15:17" s="383" customFormat="1">
      <c r="O516" s="1004"/>
      <c r="P516" s="1004"/>
      <c r="Q516" s="1004"/>
    </row>
    <row r="517" spans="15:17" s="383" customFormat="1">
      <c r="O517" s="1004"/>
      <c r="P517" s="1004"/>
      <c r="Q517" s="1004"/>
    </row>
    <row r="518" spans="15:17" s="383" customFormat="1">
      <c r="O518" s="1004"/>
      <c r="P518" s="1004"/>
      <c r="Q518" s="1004"/>
    </row>
    <row r="519" spans="15:17" s="383" customFormat="1">
      <c r="O519" s="1004"/>
      <c r="P519" s="1004"/>
      <c r="Q519" s="1004"/>
    </row>
    <row r="520" spans="15:17" s="383" customFormat="1">
      <c r="O520" s="1004"/>
      <c r="P520" s="1004"/>
      <c r="Q520" s="1004"/>
    </row>
    <row r="521" spans="15:17" s="383" customFormat="1">
      <c r="O521" s="1004"/>
      <c r="P521" s="1004"/>
      <c r="Q521" s="1004"/>
    </row>
    <row r="522" spans="15:17" s="383" customFormat="1">
      <c r="O522" s="1004"/>
      <c r="P522" s="1004"/>
      <c r="Q522" s="1004"/>
    </row>
    <row r="523" spans="15:17" s="383" customFormat="1">
      <c r="O523" s="1004"/>
      <c r="P523" s="1004"/>
      <c r="Q523" s="1004"/>
    </row>
    <row r="524" spans="15:17" s="383" customFormat="1">
      <c r="O524" s="1004"/>
      <c r="P524" s="1004"/>
      <c r="Q524" s="1004"/>
    </row>
    <row r="525" spans="15:17" s="383" customFormat="1">
      <c r="O525" s="1004"/>
      <c r="P525" s="1004"/>
      <c r="Q525" s="1004"/>
    </row>
    <row r="526" spans="15:17" s="383" customFormat="1">
      <c r="O526" s="1004"/>
      <c r="P526" s="1004"/>
      <c r="Q526" s="1004"/>
    </row>
    <row r="527" spans="15:17" s="383" customFormat="1">
      <c r="O527" s="1004"/>
      <c r="P527" s="1004"/>
      <c r="Q527" s="1004"/>
    </row>
    <row r="528" spans="15:17" s="383" customFormat="1">
      <c r="O528" s="1004"/>
      <c r="P528" s="1004"/>
      <c r="Q528" s="1004"/>
    </row>
    <row r="529" spans="15:17" s="383" customFormat="1">
      <c r="O529" s="1004"/>
      <c r="P529" s="1004"/>
      <c r="Q529" s="1004"/>
    </row>
    <row r="530" spans="15:17" s="383" customFormat="1">
      <c r="O530" s="1004"/>
      <c r="P530" s="1004"/>
      <c r="Q530" s="1004"/>
    </row>
    <row r="531" spans="15:17" s="383" customFormat="1">
      <c r="O531" s="1004"/>
      <c r="P531" s="1004"/>
      <c r="Q531" s="1004"/>
    </row>
    <row r="532" spans="15:17" s="383" customFormat="1">
      <c r="O532" s="1004"/>
      <c r="P532" s="1004"/>
      <c r="Q532" s="1004"/>
    </row>
    <row r="533" spans="15:17" s="383" customFormat="1">
      <c r="O533" s="1004"/>
      <c r="P533" s="1004"/>
      <c r="Q533" s="1004"/>
    </row>
    <row r="534" spans="15:17" s="383" customFormat="1">
      <c r="O534" s="1004"/>
      <c r="P534" s="1004"/>
      <c r="Q534" s="1004"/>
    </row>
    <row r="535" spans="15:17" s="383" customFormat="1">
      <c r="O535" s="1004"/>
      <c r="P535" s="1004"/>
      <c r="Q535" s="1004"/>
    </row>
    <row r="536" spans="15:17" s="383" customFormat="1">
      <c r="O536" s="1004"/>
      <c r="P536" s="1004"/>
      <c r="Q536" s="1004"/>
    </row>
    <row r="537" spans="15:17" s="383" customFormat="1">
      <c r="O537" s="1004"/>
      <c r="P537" s="1004"/>
      <c r="Q537" s="1004"/>
    </row>
    <row r="538" spans="15:17" s="383" customFormat="1">
      <c r="O538" s="1004"/>
      <c r="P538" s="1004"/>
      <c r="Q538" s="1004"/>
    </row>
    <row r="539" spans="15:17" s="383" customFormat="1">
      <c r="O539" s="1004"/>
      <c r="P539" s="1004"/>
      <c r="Q539" s="1004"/>
    </row>
    <row r="540" spans="15:17" s="383" customFormat="1">
      <c r="O540" s="1004"/>
      <c r="P540" s="1004"/>
      <c r="Q540" s="1004"/>
    </row>
    <row r="541" spans="15:17" s="383" customFormat="1">
      <c r="O541" s="1004"/>
      <c r="P541" s="1004"/>
      <c r="Q541" s="1004"/>
    </row>
    <row r="542" spans="15:17" s="383" customFormat="1">
      <c r="O542" s="1004"/>
      <c r="P542" s="1004"/>
      <c r="Q542" s="1004"/>
    </row>
    <row r="543" spans="15:17" s="383" customFormat="1">
      <c r="O543" s="1004"/>
      <c r="P543" s="1004"/>
      <c r="Q543" s="1004"/>
    </row>
    <row r="544" spans="15:17" s="383" customFormat="1">
      <c r="O544" s="1004"/>
      <c r="P544" s="1004"/>
      <c r="Q544" s="1004"/>
    </row>
    <row r="545" spans="15:17" s="383" customFormat="1">
      <c r="O545" s="1004"/>
      <c r="P545" s="1004"/>
      <c r="Q545" s="1004"/>
    </row>
    <row r="546" spans="15:17" s="383" customFormat="1">
      <c r="O546" s="1004"/>
      <c r="P546" s="1004"/>
      <c r="Q546" s="1004"/>
    </row>
    <row r="547" spans="15:17" s="383" customFormat="1">
      <c r="O547" s="1004"/>
      <c r="P547" s="1004"/>
      <c r="Q547" s="1004"/>
    </row>
    <row r="548" spans="15:17" s="383" customFormat="1">
      <c r="O548" s="1004"/>
      <c r="P548" s="1004"/>
      <c r="Q548" s="1004"/>
    </row>
    <row r="549" spans="15:17" s="383" customFormat="1">
      <c r="O549" s="1004"/>
      <c r="P549" s="1004"/>
      <c r="Q549" s="1004"/>
    </row>
    <row r="550" spans="15:17" s="383" customFormat="1">
      <c r="O550" s="1004"/>
      <c r="P550" s="1004"/>
      <c r="Q550" s="1004"/>
    </row>
    <row r="551" spans="15:17" s="383" customFormat="1">
      <c r="O551" s="1004"/>
      <c r="P551" s="1004"/>
      <c r="Q551" s="1004"/>
    </row>
    <row r="552" spans="15:17" s="383" customFormat="1">
      <c r="O552" s="1004"/>
      <c r="P552" s="1004"/>
      <c r="Q552" s="1004"/>
    </row>
    <row r="553" spans="15:17" s="383" customFormat="1">
      <c r="O553" s="1004"/>
      <c r="P553" s="1004"/>
      <c r="Q553" s="1004"/>
    </row>
    <row r="554" spans="15:17" s="383" customFormat="1">
      <c r="O554" s="1004"/>
      <c r="P554" s="1004"/>
      <c r="Q554" s="1004"/>
    </row>
    <row r="555" spans="15:17" s="383" customFormat="1">
      <c r="O555" s="1004"/>
      <c r="P555" s="1004"/>
      <c r="Q555" s="1004"/>
    </row>
    <row r="556" spans="15:17" s="383" customFormat="1">
      <c r="O556" s="1004"/>
      <c r="P556" s="1004"/>
      <c r="Q556" s="1004"/>
    </row>
    <row r="557" spans="15:17" s="383" customFormat="1">
      <c r="O557" s="1004"/>
      <c r="P557" s="1004"/>
      <c r="Q557" s="1004"/>
    </row>
    <row r="558" spans="15:17" s="383" customFormat="1">
      <c r="O558" s="1004"/>
      <c r="P558" s="1004"/>
      <c r="Q558" s="1004"/>
    </row>
    <row r="559" spans="15:17" s="383" customFormat="1">
      <c r="O559" s="1004"/>
      <c r="P559" s="1004"/>
      <c r="Q559" s="1004"/>
    </row>
    <row r="560" spans="15:17" s="383" customFormat="1">
      <c r="O560" s="1004"/>
      <c r="P560" s="1004"/>
      <c r="Q560" s="1004"/>
    </row>
    <row r="561" spans="15:17" s="383" customFormat="1">
      <c r="O561" s="1004"/>
      <c r="P561" s="1004"/>
      <c r="Q561" s="1004"/>
    </row>
    <row r="562" spans="15:17" s="383" customFormat="1">
      <c r="O562" s="1004"/>
      <c r="P562" s="1004"/>
      <c r="Q562" s="1004"/>
    </row>
    <row r="563" spans="15:17" s="383" customFormat="1">
      <c r="O563" s="1004"/>
      <c r="P563" s="1004"/>
      <c r="Q563" s="1004"/>
    </row>
    <row r="564" spans="15:17" s="383" customFormat="1">
      <c r="O564" s="1004"/>
      <c r="P564" s="1004"/>
      <c r="Q564" s="1004"/>
    </row>
    <row r="565" spans="15:17" s="383" customFormat="1">
      <c r="O565" s="1004"/>
      <c r="P565" s="1004"/>
      <c r="Q565" s="1004"/>
    </row>
    <row r="566" spans="15:17" s="383" customFormat="1">
      <c r="O566" s="1004"/>
      <c r="P566" s="1004"/>
      <c r="Q566" s="1004"/>
    </row>
    <row r="567" spans="15:17" s="383" customFormat="1">
      <c r="O567" s="1004"/>
      <c r="P567" s="1004"/>
      <c r="Q567" s="1004"/>
    </row>
    <row r="568" spans="15:17" s="383" customFormat="1">
      <c r="O568" s="1004"/>
      <c r="P568" s="1004"/>
      <c r="Q568" s="1004"/>
    </row>
    <row r="569" spans="15:17" s="383" customFormat="1">
      <c r="O569" s="1004"/>
      <c r="P569" s="1004"/>
      <c r="Q569" s="1004"/>
    </row>
    <row r="570" spans="15:17" s="383" customFormat="1">
      <c r="O570" s="1004"/>
      <c r="P570" s="1004"/>
      <c r="Q570" s="1004"/>
    </row>
    <row r="571" spans="15:17" s="383" customFormat="1">
      <c r="O571" s="1004"/>
      <c r="P571" s="1004"/>
      <c r="Q571" s="1004"/>
    </row>
    <row r="572" spans="15:17" s="383" customFormat="1">
      <c r="O572" s="1004"/>
      <c r="P572" s="1004"/>
      <c r="Q572" s="1004"/>
    </row>
    <row r="573" spans="15:17" s="383" customFormat="1">
      <c r="O573" s="1004"/>
      <c r="P573" s="1004"/>
      <c r="Q573" s="1004"/>
    </row>
    <row r="574" spans="15:17" s="383" customFormat="1">
      <c r="O574" s="1004"/>
      <c r="P574" s="1004"/>
      <c r="Q574" s="1004"/>
    </row>
    <row r="575" spans="15:17" s="383" customFormat="1">
      <c r="O575" s="1004"/>
      <c r="P575" s="1004"/>
      <c r="Q575" s="1004"/>
    </row>
    <row r="576" spans="15:17" s="383" customFormat="1">
      <c r="O576" s="1004"/>
      <c r="P576" s="1004"/>
      <c r="Q576" s="1004"/>
    </row>
    <row r="577" spans="15:17" s="383" customFormat="1">
      <c r="O577" s="1004"/>
      <c r="P577" s="1004"/>
      <c r="Q577" s="1004"/>
    </row>
    <row r="578" spans="15:17" s="383" customFormat="1">
      <c r="O578" s="1004"/>
      <c r="P578" s="1004"/>
      <c r="Q578" s="1004"/>
    </row>
    <row r="579" spans="15:17" s="383" customFormat="1">
      <c r="O579" s="1004"/>
      <c r="P579" s="1004"/>
      <c r="Q579" s="1004"/>
    </row>
    <row r="580" spans="15:17" s="383" customFormat="1">
      <c r="O580" s="1004"/>
      <c r="P580" s="1004"/>
      <c r="Q580" s="1004"/>
    </row>
    <row r="581" spans="15:17" s="383" customFormat="1">
      <c r="O581" s="1004"/>
      <c r="P581" s="1004"/>
      <c r="Q581" s="1004"/>
    </row>
    <row r="582" spans="15:17" s="383" customFormat="1">
      <c r="O582" s="1004"/>
      <c r="P582" s="1004"/>
      <c r="Q582" s="1004"/>
    </row>
    <row r="583" spans="15:17" s="383" customFormat="1">
      <c r="O583" s="1004"/>
      <c r="P583" s="1004"/>
      <c r="Q583" s="1004"/>
    </row>
    <row r="584" spans="15:17" s="383" customFormat="1">
      <c r="O584" s="1004"/>
      <c r="P584" s="1004"/>
      <c r="Q584" s="1004"/>
    </row>
    <row r="585" spans="15:17" s="383" customFormat="1">
      <c r="O585" s="1004"/>
      <c r="P585" s="1004"/>
      <c r="Q585" s="1004"/>
    </row>
    <row r="586" spans="15:17" s="383" customFormat="1">
      <c r="O586" s="1004"/>
      <c r="P586" s="1004"/>
      <c r="Q586" s="1004"/>
    </row>
    <row r="587" spans="15:17" s="383" customFormat="1">
      <c r="O587" s="1004"/>
      <c r="P587" s="1004"/>
      <c r="Q587" s="1004"/>
    </row>
    <row r="588" spans="15:17" s="383" customFormat="1">
      <c r="O588" s="1004"/>
      <c r="P588" s="1004"/>
      <c r="Q588" s="1004"/>
    </row>
    <row r="589" spans="15:17" s="383" customFormat="1">
      <c r="O589" s="1004"/>
      <c r="P589" s="1004"/>
      <c r="Q589" s="1004"/>
    </row>
    <row r="590" spans="15:17" s="383" customFormat="1">
      <c r="O590" s="1004"/>
      <c r="P590" s="1004"/>
      <c r="Q590" s="1004"/>
    </row>
    <row r="591" spans="15:17" s="383" customFormat="1">
      <c r="O591" s="1004"/>
      <c r="P591" s="1004"/>
      <c r="Q591" s="1004"/>
    </row>
    <row r="592" spans="15:17" s="383" customFormat="1">
      <c r="O592" s="1004"/>
      <c r="P592" s="1004"/>
      <c r="Q592" s="1004"/>
    </row>
    <row r="593" spans="15:17" s="383" customFormat="1">
      <c r="O593" s="1004"/>
      <c r="P593" s="1004"/>
      <c r="Q593" s="1004"/>
    </row>
    <row r="594" spans="15:17" s="383" customFormat="1">
      <c r="O594" s="1004"/>
      <c r="P594" s="1004"/>
      <c r="Q594" s="1004"/>
    </row>
    <row r="595" spans="15:17" s="383" customFormat="1">
      <c r="O595" s="1004"/>
      <c r="P595" s="1004"/>
      <c r="Q595" s="1004"/>
    </row>
    <row r="596" spans="15:17" s="383" customFormat="1">
      <c r="O596" s="1004"/>
      <c r="P596" s="1004"/>
      <c r="Q596" s="1004"/>
    </row>
    <row r="597" spans="15:17" s="383" customFormat="1">
      <c r="O597" s="1004"/>
      <c r="P597" s="1004"/>
      <c r="Q597" s="1004"/>
    </row>
    <row r="598" spans="15:17" s="383" customFormat="1">
      <c r="O598" s="1004"/>
      <c r="P598" s="1004"/>
      <c r="Q598" s="1004"/>
    </row>
    <row r="599" spans="15:17" s="383" customFormat="1">
      <c r="O599" s="1004"/>
      <c r="P599" s="1004"/>
      <c r="Q599" s="1004"/>
    </row>
    <row r="600" spans="15:17" s="383" customFormat="1">
      <c r="O600" s="1004"/>
      <c r="P600" s="1004"/>
      <c r="Q600" s="1004"/>
    </row>
    <row r="601" spans="15:17" s="383" customFormat="1">
      <c r="O601" s="1004"/>
      <c r="P601" s="1004"/>
      <c r="Q601" s="1004"/>
    </row>
    <row r="602" spans="15:17" s="383" customFormat="1">
      <c r="O602" s="1004"/>
      <c r="P602" s="1004"/>
      <c r="Q602" s="1004"/>
    </row>
    <row r="603" spans="15:17" s="383" customFormat="1">
      <c r="O603" s="1004"/>
      <c r="P603" s="1004"/>
      <c r="Q603" s="1004"/>
    </row>
    <row r="604" spans="15:17" s="383" customFormat="1">
      <c r="O604" s="1004"/>
      <c r="P604" s="1004"/>
      <c r="Q604" s="1004"/>
    </row>
    <row r="605" spans="15:17" s="383" customFormat="1">
      <c r="O605" s="1004"/>
      <c r="P605" s="1004"/>
      <c r="Q605" s="1004"/>
    </row>
    <row r="606" spans="15:17" s="383" customFormat="1">
      <c r="O606" s="1004"/>
      <c r="P606" s="1004"/>
      <c r="Q606" s="1004"/>
    </row>
    <row r="607" spans="15:17" s="383" customFormat="1">
      <c r="O607" s="1004"/>
      <c r="P607" s="1004"/>
      <c r="Q607" s="1004"/>
    </row>
    <row r="608" spans="15:17" s="383" customFormat="1">
      <c r="O608" s="1004"/>
      <c r="P608" s="1004"/>
      <c r="Q608" s="1004"/>
    </row>
    <row r="609" spans="15:17" s="383" customFormat="1">
      <c r="O609" s="1004"/>
      <c r="P609" s="1004"/>
      <c r="Q609" s="1004"/>
    </row>
    <row r="610" spans="15:17" s="383" customFormat="1">
      <c r="O610" s="1004"/>
      <c r="P610" s="1004"/>
      <c r="Q610" s="1004"/>
    </row>
    <row r="611" spans="15:17" s="383" customFormat="1">
      <c r="O611" s="1004"/>
      <c r="P611" s="1004"/>
      <c r="Q611" s="1004"/>
    </row>
    <row r="612" spans="15:17" s="383" customFormat="1">
      <c r="O612" s="1004"/>
      <c r="P612" s="1004"/>
      <c r="Q612" s="1004"/>
    </row>
    <row r="613" spans="15:17" s="383" customFormat="1">
      <c r="O613" s="1004"/>
      <c r="P613" s="1004"/>
      <c r="Q613" s="1004"/>
    </row>
    <row r="614" spans="15:17" s="383" customFormat="1">
      <c r="O614" s="1004"/>
      <c r="P614" s="1004"/>
      <c r="Q614" s="1004"/>
    </row>
    <row r="615" spans="15:17" s="383" customFormat="1">
      <c r="O615" s="1004"/>
      <c r="P615" s="1004"/>
      <c r="Q615" s="1004"/>
    </row>
    <row r="616" spans="15:17" s="383" customFormat="1">
      <c r="O616" s="1004"/>
      <c r="P616" s="1004"/>
      <c r="Q616" s="1004"/>
    </row>
    <row r="617" spans="15:17" s="383" customFormat="1">
      <c r="O617" s="1004"/>
      <c r="P617" s="1004"/>
      <c r="Q617" s="1004"/>
    </row>
    <row r="618" spans="15:17" s="383" customFormat="1">
      <c r="O618" s="1004"/>
      <c r="P618" s="1004"/>
      <c r="Q618" s="1004"/>
    </row>
    <row r="619" spans="15:17" s="383" customFormat="1">
      <c r="O619" s="1004"/>
      <c r="P619" s="1004"/>
      <c r="Q619" s="1004"/>
    </row>
    <row r="620" spans="15:17" s="383" customFormat="1">
      <c r="O620" s="1004"/>
      <c r="P620" s="1004"/>
      <c r="Q620" s="1004"/>
    </row>
    <row r="621" spans="15:17" s="383" customFormat="1">
      <c r="O621" s="1004"/>
      <c r="P621" s="1004"/>
      <c r="Q621" s="1004"/>
    </row>
    <row r="622" spans="15:17" s="383" customFormat="1">
      <c r="O622" s="1004"/>
      <c r="P622" s="1004"/>
      <c r="Q622" s="1004"/>
    </row>
    <row r="623" spans="15:17" s="383" customFormat="1">
      <c r="O623" s="1004"/>
      <c r="P623" s="1004"/>
      <c r="Q623" s="1004"/>
    </row>
    <row r="624" spans="15:17" s="383" customFormat="1">
      <c r="O624" s="1004"/>
      <c r="P624" s="1004"/>
      <c r="Q624" s="1004"/>
    </row>
    <row r="625" spans="15:17" s="383" customFormat="1">
      <c r="O625" s="1004"/>
      <c r="P625" s="1004"/>
      <c r="Q625" s="1004"/>
    </row>
    <row r="626" spans="15:17" s="383" customFormat="1">
      <c r="O626" s="1004"/>
      <c r="P626" s="1004"/>
      <c r="Q626" s="1004"/>
    </row>
    <row r="627" spans="15:17" s="383" customFormat="1">
      <c r="O627" s="1004"/>
      <c r="P627" s="1004"/>
      <c r="Q627" s="1004"/>
    </row>
    <row r="628" spans="15:17" s="383" customFormat="1">
      <c r="O628" s="1004"/>
      <c r="P628" s="1004"/>
      <c r="Q628" s="1004"/>
    </row>
    <row r="629" spans="15:17" s="383" customFormat="1">
      <c r="O629" s="1004"/>
      <c r="P629" s="1004"/>
      <c r="Q629" s="1004"/>
    </row>
    <row r="630" spans="15:17" s="383" customFormat="1">
      <c r="O630" s="1004"/>
      <c r="P630" s="1004"/>
      <c r="Q630" s="1004"/>
    </row>
    <row r="631" spans="15:17" s="383" customFormat="1">
      <c r="O631" s="1004"/>
      <c r="P631" s="1004"/>
      <c r="Q631" s="1004"/>
    </row>
    <row r="632" spans="15:17" s="383" customFormat="1">
      <c r="O632" s="1004"/>
      <c r="P632" s="1004"/>
      <c r="Q632" s="1004"/>
    </row>
    <row r="633" spans="15:17" s="383" customFormat="1">
      <c r="O633" s="1004"/>
      <c r="P633" s="1004"/>
      <c r="Q633" s="1004"/>
    </row>
    <row r="634" spans="15:17" s="383" customFormat="1">
      <c r="O634" s="1004"/>
      <c r="P634" s="1004"/>
      <c r="Q634" s="1004"/>
    </row>
    <row r="635" spans="15:17" s="383" customFormat="1">
      <c r="O635" s="1004"/>
      <c r="P635" s="1004"/>
      <c r="Q635" s="1004"/>
    </row>
    <row r="636" spans="15:17" s="383" customFormat="1">
      <c r="O636" s="1004"/>
      <c r="P636" s="1004"/>
      <c r="Q636" s="1004"/>
    </row>
    <row r="637" spans="15:17" s="383" customFormat="1">
      <c r="O637" s="1004"/>
      <c r="P637" s="1004"/>
      <c r="Q637" s="1004"/>
    </row>
    <row r="638" spans="15:17" s="383" customFormat="1">
      <c r="O638" s="1004"/>
      <c r="P638" s="1004"/>
      <c r="Q638" s="1004"/>
    </row>
    <row r="639" spans="15:17" s="383" customFormat="1">
      <c r="O639" s="1004"/>
      <c r="P639" s="1004"/>
      <c r="Q639" s="1004"/>
    </row>
    <row r="640" spans="15:17" s="383" customFormat="1">
      <c r="O640" s="1004"/>
      <c r="P640" s="1004"/>
      <c r="Q640" s="1004"/>
    </row>
    <row r="641" spans="15:17" s="383" customFormat="1">
      <c r="O641" s="1004"/>
      <c r="P641" s="1004"/>
      <c r="Q641" s="1004"/>
    </row>
    <row r="642" spans="15:17" s="383" customFormat="1">
      <c r="O642" s="1004"/>
      <c r="P642" s="1004"/>
      <c r="Q642" s="1004"/>
    </row>
    <row r="643" spans="15:17" s="383" customFormat="1">
      <c r="O643" s="1004"/>
      <c r="P643" s="1004"/>
      <c r="Q643" s="1004"/>
    </row>
    <row r="644" spans="15:17" s="383" customFormat="1">
      <c r="O644" s="1004"/>
      <c r="P644" s="1004"/>
      <c r="Q644" s="1004"/>
    </row>
    <row r="645" spans="15:17" s="383" customFormat="1">
      <c r="O645" s="1004"/>
      <c r="P645" s="1004"/>
      <c r="Q645" s="1004"/>
    </row>
    <row r="646" spans="15:17" s="383" customFormat="1">
      <c r="O646" s="1004"/>
      <c r="P646" s="1004"/>
      <c r="Q646" s="1004"/>
    </row>
    <row r="647" spans="15:17" s="383" customFormat="1">
      <c r="O647" s="1004"/>
      <c r="P647" s="1004"/>
      <c r="Q647" s="1004"/>
    </row>
    <row r="648" spans="15:17" s="383" customFormat="1">
      <c r="O648" s="1004"/>
      <c r="P648" s="1004"/>
      <c r="Q648" s="1004"/>
    </row>
    <row r="649" spans="15:17" s="383" customFormat="1">
      <c r="O649" s="1004"/>
      <c r="P649" s="1004"/>
      <c r="Q649" s="1004"/>
    </row>
    <row r="650" spans="15:17" s="383" customFormat="1">
      <c r="O650" s="1004"/>
      <c r="P650" s="1004"/>
      <c r="Q650" s="1004"/>
    </row>
    <row r="651" spans="15:17" s="383" customFormat="1">
      <c r="O651" s="1004"/>
      <c r="P651" s="1004"/>
      <c r="Q651" s="1004"/>
    </row>
    <row r="652" spans="15:17" s="383" customFormat="1">
      <c r="O652" s="1004"/>
      <c r="P652" s="1004"/>
      <c r="Q652" s="1004"/>
    </row>
    <row r="653" spans="15:17" s="383" customFormat="1">
      <c r="O653" s="1004"/>
      <c r="P653" s="1004"/>
      <c r="Q653" s="1004"/>
    </row>
    <row r="654" spans="15:17" s="383" customFormat="1">
      <c r="O654" s="1004"/>
      <c r="P654" s="1004"/>
      <c r="Q654" s="1004"/>
    </row>
    <row r="655" spans="15:17" s="383" customFormat="1">
      <c r="O655" s="1004"/>
      <c r="P655" s="1004"/>
      <c r="Q655" s="1004"/>
    </row>
    <row r="656" spans="15:17" s="383" customFormat="1">
      <c r="O656" s="1004"/>
      <c r="P656" s="1004"/>
      <c r="Q656" s="1004"/>
    </row>
    <row r="657" spans="15:17" s="383" customFormat="1">
      <c r="O657" s="1004"/>
      <c r="P657" s="1004"/>
      <c r="Q657" s="1004"/>
    </row>
    <row r="658" spans="15:17" s="383" customFormat="1">
      <c r="O658" s="1004"/>
      <c r="P658" s="1004"/>
      <c r="Q658" s="1004"/>
    </row>
    <row r="659" spans="15:17" s="383" customFormat="1">
      <c r="O659" s="1004"/>
      <c r="P659" s="1004"/>
      <c r="Q659" s="1004"/>
    </row>
    <row r="660" spans="15:17" s="383" customFormat="1">
      <c r="O660" s="1004"/>
      <c r="P660" s="1004"/>
      <c r="Q660" s="1004"/>
    </row>
    <row r="661" spans="15:17" s="383" customFormat="1">
      <c r="O661" s="1004"/>
      <c r="P661" s="1004"/>
      <c r="Q661" s="1004"/>
    </row>
    <row r="662" spans="15:17" s="383" customFormat="1">
      <c r="O662" s="1004"/>
      <c r="P662" s="1004"/>
      <c r="Q662" s="1004"/>
    </row>
    <row r="663" spans="15:17" s="383" customFormat="1">
      <c r="O663" s="1004"/>
      <c r="P663" s="1004"/>
      <c r="Q663" s="1004"/>
    </row>
    <row r="664" spans="15:17" s="383" customFormat="1">
      <c r="O664" s="1004"/>
      <c r="P664" s="1004"/>
      <c r="Q664" s="1004"/>
    </row>
    <row r="665" spans="15:17" s="383" customFormat="1">
      <c r="O665" s="1004"/>
      <c r="P665" s="1004"/>
      <c r="Q665" s="1004"/>
    </row>
    <row r="666" spans="15:17" s="383" customFormat="1">
      <c r="O666" s="1004"/>
      <c r="P666" s="1004"/>
      <c r="Q666" s="1004"/>
    </row>
    <row r="667" spans="15:17" s="383" customFormat="1">
      <c r="O667" s="1004"/>
      <c r="P667" s="1004"/>
      <c r="Q667" s="1004"/>
    </row>
    <row r="668" spans="15:17" s="383" customFormat="1">
      <c r="O668" s="1004"/>
      <c r="P668" s="1004"/>
      <c r="Q668" s="1004"/>
    </row>
    <row r="669" spans="15:17" s="383" customFormat="1">
      <c r="O669" s="1004"/>
      <c r="P669" s="1004"/>
      <c r="Q669" s="1004"/>
    </row>
    <row r="670" spans="15:17" s="383" customFormat="1">
      <c r="O670" s="1004"/>
      <c r="P670" s="1004"/>
      <c r="Q670" s="1004"/>
    </row>
    <row r="671" spans="15:17" s="383" customFormat="1">
      <c r="O671" s="1004"/>
      <c r="P671" s="1004"/>
      <c r="Q671" s="1004"/>
    </row>
    <row r="672" spans="15:17" s="383" customFormat="1">
      <c r="O672" s="1004"/>
      <c r="P672" s="1004"/>
      <c r="Q672" s="1004"/>
    </row>
    <row r="673" spans="15:17" s="383" customFormat="1">
      <c r="O673" s="1004"/>
      <c r="P673" s="1004"/>
      <c r="Q673" s="1004"/>
    </row>
    <row r="674" spans="15:17" s="383" customFormat="1">
      <c r="O674" s="1004"/>
      <c r="P674" s="1004"/>
      <c r="Q674" s="1004"/>
    </row>
    <row r="675" spans="15:17" s="383" customFormat="1">
      <c r="O675" s="1004"/>
      <c r="P675" s="1004"/>
      <c r="Q675" s="1004"/>
    </row>
    <row r="676" spans="15:17" s="383" customFormat="1">
      <c r="O676" s="1004"/>
      <c r="P676" s="1004"/>
      <c r="Q676" s="1004"/>
    </row>
    <row r="677" spans="15:17" s="383" customFormat="1">
      <c r="O677" s="1004"/>
      <c r="P677" s="1004"/>
      <c r="Q677" s="1004"/>
    </row>
    <row r="678" spans="15:17" s="383" customFormat="1">
      <c r="O678" s="1004"/>
      <c r="P678" s="1004"/>
      <c r="Q678" s="1004"/>
    </row>
    <row r="679" spans="15:17" s="383" customFormat="1">
      <c r="O679" s="1004"/>
      <c r="P679" s="1004"/>
      <c r="Q679" s="1004"/>
    </row>
    <row r="680" spans="15:17" s="383" customFormat="1">
      <c r="O680" s="1004"/>
      <c r="P680" s="1004"/>
      <c r="Q680" s="1004"/>
    </row>
    <row r="681" spans="15:17" s="383" customFormat="1">
      <c r="O681" s="1004"/>
      <c r="P681" s="1004"/>
      <c r="Q681" s="1004"/>
    </row>
    <row r="682" spans="15:17" s="383" customFormat="1">
      <c r="O682" s="1004"/>
      <c r="P682" s="1004"/>
      <c r="Q682" s="1004"/>
    </row>
    <row r="683" spans="15:17" s="383" customFormat="1">
      <c r="O683" s="1004"/>
      <c r="P683" s="1004"/>
      <c r="Q683" s="1004"/>
    </row>
    <row r="684" spans="15:17" s="383" customFormat="1">
      <c r="O684" s="1004"/>
      <c r="P684" s="1004"/>
      <c r="Q684" s="1004"/>
    </row>
    <row r="685" spans="15:17" s="383" customFormat="1">
      <c r="O685" s="1004"/>
      <c r="P685" s="1004"/>
      <c r="Q685" s="1004"/>
    </row>
    <row r="686" spans="15:17" s="383" customFormat="1">
      <c r="O686" s="1004"/>
      <c r="P686" s="1004"/>
      <c r="Q686" s="1004"/>
    </row>
    <row r="687" spans="15:17" s="383" customFormat="1">
      <c r="O687" s="1004"/>
      <c r="P687" s="1004"/>
      <c r="Q687" s="1004"/>
    </row>
    <row r="688" spans="15:17" s="383" customFormat="1">
      <c r="O688" s="1004"/>
      <c r="P688" s="1004"/>
      <c r="Q688" s="1004"/>
    </row>
    <row r="689" spans="15:17" s="383" customFormat="1">
      <c r="O689" s="1004"/>
      <c r="P689" s="1004"/>
      <c r="Q689" s="1004"/>
    </row>
    <row r="690" spans="15:17" s="383" customFormat="1">
      <c r="O690" s="1004"/>
      <c r="P690" s="1004"/>
      <c r="Q690" s="1004"/>
    </row>
    <row r="691" spans="15:17" s="383" customFormat="1">
      <c r="O691" s="1004"/>
      <c r="P691" s="1004"/>
      <c r="Q691" s="1004"/>
    </row>
    <row r="692" spans="15:17" s="383" customFormat="1">
      <c r="O692" s="1004"/>
      <c r="P692" s="1004"/>
      <c r="Q692" s="1004"/>
    </row>
    <row r="693" spans="15:17" s="383" customFormat="1">
      <c r="O693" s="1004"/>
      <c r="P693" s="1004"/>
      <c r="Q693" s="1004"/>
    </row>
    <row r="694" spans="15:17" s="383" customFormat="1">
      <c r="O694" s="1004"/>
      <c r="P694" s="1004"/>
      <c r="Q694" s="1004"/>
    </row>
    <row r="695" spans="15:17" s="383" customFormat="1">
      <c r="O695" s="1004"/>
      <c r="P695" s="1004"/>
      <c r="Q695" s="1004"/>
    </row>
    <row r="696" spans="15:17" s="383" customFormat="1">
      <c r="O696" s="1004"/>
      <c r="P696" s="1004"/>
      <c r="Q696" s="1004"/>
    </row>
    <row r="697" spans="15:17" s="383" customFormat="1">
      <c r="O697" s="1004"/>
      <c r="P697" s="1004"/>
      <c r="Q697" s="1004"/>
    </row>
    <row r="698" spans="15:17" s="383" customFormat="1">
      <c r="O698" s="1004"/>
      <c r="P698" s="1004"/>
      <c r="Q698" s="1004"/>
    </row>
    <row r="699" spans="15:17" s="383" customFormat="1">
      <c r="O699" s="1004"/>
      <c r="P699" s="1004"/>
      <c r="Q699" s="1004"/>
    </row>
    <row r="700" spans="15:17" s="383" customFormat="1">
      <c r="O700" s="1004"/>
      <c r="P700" s="1004"/>
      <c r="Q700" s="1004"/>
    </row>
    <row r="701" spans="15:17" s="383" customFormat="1">
      <c r="O701" s="1004"/>
      <c r="P701" s="1004"/>
      <c r="Q701" s="1004"/>
    </row>
    <row r="702" spans="15:17" s="383" customFormat="1">
      <c r="O702" s="1004"/>
      <c r="P702" s="1004"/>
      <c r="Q702" s="1004"/>
    </row>
    <row r="703" spans="15:17" s="383" customFormat="1">
      <c r="O703" s="1004"/>
      <c r="P703" s="1004"/>
      <c r="Q703" s="1004"/>
    </row>
    <row r="704" spans="15:17" s="383" customFormat="1">
      <c r="O704" s="1004"/>
      <c r="P704" s="1004"/>
      <c r="Q704" s="1004"/>
    </row>
    <row r="705" spans="15:17" s="383" customFormat="1">
      <c r="O705" s="1004"/>
      <c r="P705" s="1004"/>
      <c r="Q705" s="1004"/>
    </row>
    <row r="706" spans="15:17" s="383" customFormat="1">
      <c r="O706" s="1004"/>
      <c r="P706" s="1004"/>
      <c r="Q706" s="1004"/>
    </row>
    <row r="707" spans="15:17" s="383" customFormat="1">
      <c r="O707" s="1004"/>
      <c r="P707" s="1004"/>
      <c r="Q707" s="1004"/>
    </row>
    <row r="708" spans="15:17" s="383" customFormat="1">
      <c r="O708" s="1004"/>
      <c r="P708" s="1004"/>
      <c r="Q708" s="1004"/>
    </row>
    <row r="709" spans="15:17" s="383" customFormat="1">
      <c r="O709" s="1004"/>
      <c r="P709" s="1004"/>
      <c r="Q709" s="1004"/>
    </row>
    <row r="710" spans="15:17" s="383" customFormat="1">
      <c r="O710" s="1004"/>
      <c r="P710" s="1004"/>
      <c r="Q710" s="1004"/>
    </row>
    <row r="711" spans="15:17" s="383" customFormat="1">
      <c r="O711" s="1004"/>
      <c r="P711" s="1004"/>
      <c r="Q711" s="1004"/>
    </row>
    <row r="712" spans="15:17" s="383" customFormat="1">
      <c r="O712" s="1004"/>
      <c r="P712" s="1004"/>
      <c r="Q712" s="1004"/>
    </row>
    <row r="713" spans="15:17" s="383" customFormat="1">
      <c r="O713" s="1004"/>
      <c r="P713" s="1004"/>
      <c r="Q713" s="1004"/>
    </row>
    <row r="714" spans="15:17" s="383" customFormat="1">
      <c r="O714" s="1004"/>
      <c r="P714" s="1004"/>
      <c r="Q714" s="1004"/>
    </row>
    <row r="715" spans="15:17" s="383" customFormat="1">
      <c r="O715" s="1004"/>
      <c r="P715" s="1004"/>
      <c r="Q715" s="1004"/>
    </row>
    <row r="716" spans="15:17" s="383" customFormat="1">
      <c r="O716" s="1004"/>
      <c r="P716" s="1004"/>
      <c r="Q716" s="1004"/>
    </row>
    <row r="717" spans="15:17" s="383" customFormat="1">
      <c r="O717" s="1004"/>
      <c r="P717" s="1004"/>
      <c r="Q717" s="1004"/>
    </row>
    <row r="718" spans="15:17" s="383" customFormat="1">
      <c r="O718" s="1004"/>
      <c r="P718" s="1004"/>
      <c r="Q718" s="1004"/>
    </row>
    <row r="719" spans="15:17" s="383" customFormat="1">
      <c r="O719" s="1004"/>
      <c r="P719" s="1004"/>
      <c r="Q719" s="1004"/>
    </row>
    <row r="720" spans="15:17" s="383" customFormat="1">
      <c r="O720" s="1004"/>
      <c r="P720" s="1004"/>
      <c r="Q720" s="1004"/>
    </row>
    <row r="721" spans="15:17" s="383" customFormat="1">
      <c r="O721" s="1004"/>
      <c r="P721" s="1004"/>
      <c r="Q721" s="1004"/>
    </row>
    <row r="722" spans="15:17" s="383" customFormat="1">
      <c r="O722" s="1004"/>
      <c r="P722" s="1004"/>
      <c r="Q722" s="1004"/>
    </row>
    <row r="723" spans="15:17" s="383" customFormat="1">
      <c r="O723" s="1004"/>
      <c r="P723" s="1004"/>
      <c r="Q723" s="1004"/>
    </row>
    <row r="724" spans="15:17" s="383" customFormat="1">
      <c r="O724" s="1004"/>
      <c r="P724" s="1004"/>
      <c r="Q724" s="1004"/>
    </row>
    <row r="725" spans="15:17" s="383" customFormat="1">
      <c r="O725" s="1004"/>
      <c r="P725" s="1004"/>
      <c r="Q725" s="1004"/>
    </row>
    <row r="726" spans="15:17" s="383" customFormat="1">
      <c r="O726" s="1004"/>
      <c r="P726" s="1004"/>
      <c r="Q726" s="1004"/>
    </row>
    <row r="727" spans="15:17" s="383" customFormat="1">
      <c r="O727" s="1004"/>
      <c r="P727" s="1004"/>
      <c r="Q727" s="1004"/>
    </row>
    <row r="728" spans="15:17" s="383" customFormat="1">
      <c r="O728" s="1004"/>
      <c r="P728" s="1004"/>
      <c r="Q728" s="1004"/>
    </row>
    <row r="729" spans="15:17" s="383" customFormat="1">
      <c r="O729" s="1004"/>
      <c r="P729" s="1004"/>
      <c r="Q729" s="1004"/>
    </row>
    <row r="730" spans="15:17" s="383" customFormat="1">
      <c r="O730" s="1004"/>
      <c r="P730" s="1004"/>
      <c r="Q730" s="1004"/>
    </row>
    <row r="731" spans="15:17" s="383" customFormat="1">
      <c r="O731" s="1004"/>
      <c r="P731" s="1004"/>
      <c r="Q731" s="1004"/>
    </row>
    <row r="732" spans="15:17" s="383" customFormat="1">
      <c r="O732" s="1004"/>
      <c r="P732" s="1004"/>
      <c r="Q732" s="1004"/>
    </row>
    <row r="733" spans="15:17" s="383" customFormat="1">
      <c r="O733" s="1004"/>
      <c r="P733" s="1004"/>
      <c r="Q733" s="1004"/>
    </row>
    <row r="734" spans="15:17" s="383" customFormat="1">
      <c r="O734" s="1004"/>
      <c r="P734" s="1004"/>
      <c r="Q734" s="1004"/>
    </row>
    <row r="735" spans="15:17" s="383" customFormat="1">
      <c r="O735" s="1004"/>
      <c r="P735" s="1004"/>
      <c r="Q735" s="1004"/>
    </row>
    <row r="736" spans="15:17" s="383" customFormat="1">
      <c r="O736" s="1004"/>
      <c r="P736" s="1004"/>
      <c r="Q736" s="1004"/>
    </row>
    <row r="737" spans="15:17" s="383" customFormat="1">
      <c r="O737" s="1004"/>
      <c r="P737" s="1004"/>
      <c r="Q737" s="1004"/>
    </row>
    <row r="738" spans="15:17" s="383" customFormat="1">
      <c r="O738" s="1004"/>
      <c r="P738" s="1004"/>
      <c r="Q738" s="1004"/>
    </row>
    <row r="739" spans="15:17" s="383" customFormat="1">
      <c r="O739" s="1004"/>
      <c r="P739" s="1004"/>
      <c r="Q739" s="1004"/>
    </row>
    <row r="740" spans="15:17" s="383" customFormat="1">
      <c r="O740" s="1004"/>
      <c r="P740" s="1004"/>
      <c r="Q740" s="1004"/>
    </row>
    <row r="741" spans="15:17" s="383" customFormat="1">
      <c r="O741" s="1004"/>
      <c r="P741" s="1004"/>
      <c r="Q741" s="1004"/>
    </row>
    <row r="742" spans="15:17" s="383" customFormat="1">
      <c r="O742" s="1004"/>
      <c r="P742" s="1004"/>
      <c r="Q742" s="1004"/>
    </row>
    <row r="743" spans="15:17" s="383" customFormat="1">
      <c r="O743" s="1004"/>
      <c r="P743" s="1004"/>
      <c r="Q743" s="1004"/>
    </row>
    <row r="744" spans="15:17" s="383" customFormat="1">
      <c r="O744" s="1004"/>
      <c r="P744" s="1004"/>
      <c r="Q744" s="1004"/>
    </row>
    <row r="745" spans="15:17" s="383" customFormat="1">
      <c r="O745" s="1004"/>
      <c r="P745" s="1004"/>
      <c r="Q745" s="1004"/>
    </row>
    <row r="746" spans="15:17" s="383" customFormat="1">
      <c r="O746" s="1004"/>
      <c r="P746" s="1004"/>
      <c r="Q746" s="1004"/>
    </row>
    <row r="747" spans="15:17" s="383" customFormat="1">
      <c r="O747" s="1004"/>
      <c r="P747" s="1004"/>
      <c r="Q747" s="1004"/>
    </row>
    <row r="748" spans="15:17" s="383" customFormat="1">
      <c r="O748" s="1004"/>
      <c r="P748" s="1004"/>
      <c r="Q748" s="1004"/>
    </row>
    <row r="749" spans="15:17" s="383" customFormat="1">
      <c r="O749" s="1004"/>
      <c r="P749" s="1004"/>
      <c r="Q749" s="1004"/>
    </row>
    <row r="750" spans="15:17" s="383" customFormat="1">
      <c r="O750" s="1004"/>
      <c r="P750" s="1004"/>
      <c r="Q750" s="1004"/>
    </row>
    <row r="751" spans="15:17" s="383" customFormat="1">
      <c r="O751" s="1004"/>
      <c r="P751" s="1004"/>
      <c r="Q751" s="1004"/>
    </row>
    <row r="752" spans="15:17" s="383" customFormat="1">
      <c r="O752" s="1004"/>
      <c r="P752" s="1004"/>
      <c r="Q752" s="1004"/>
    </row>
    <row r="753" spans="15:17" s="383" customFormat="1">
      <c r="O753" s="1004"/>
      <c r="P753" s="1004"/>
      <c r="Q753" s="1004"/>
    </row>
    <row r="754" spans="15:17" s="383" customFormat="1">
      <c r="O754" s="1004"/>
      <c r="P754" s="1004"/>
      <c r="Q754" s="1004"/>
    </row>
    <row r="755" spans="15:17" s="383" customFormat="1">
      <c r="O755" s="1004"/>
      <c r="P755" s="1004"/>
      <c r="Q755" s="1004"/>
    </row>
    <row r="756" spans="15:17" s="383" customFormat="1">
      <c r="O756" s="1004"/>
      <c r="P756" s="1004"/>
      <c r="Q756" s="1004"/>
    </row>
    <row r="757" spans="15:17" s="383" customFormat="1">
      <c r="O757" s="1004"/>
      <c r="P757" s="1004"/>
      <c r="Q757" s="1004"/>
    </row>
    <row r="758" spans="15:17" s="383" customFormat="1">
      <c r="O758" s="1004"/>
      <c r="P758" s="1004"/>
      <c r="Q758" s="1004"/>
    </row>
    <row r="759" spans="15:17" s="383" customFormat="1">
      <c r="O759" s="1004"/>
      <c r="P759" s="1004"/>
      <c r="Q759" s="1004"/>
    </row>
    <row r="760" spans="15:17" s="383" customFormat="1">
      <c r="O760" s="1004"/>
      <c r="P760" s="1004"/>
      <c r="Q760" s="1004"/>
    </row>
    <row r="761" spans="15:17" s="383" customFormat="1">
      <c r="O761" s="1004"/>
      <c r="P761" s="1004"/>
      <c r="Q761" s="1004"/>
    </row>
    <row r="762" spans="15:17" s="383" customFormat="1">
      <c r="O762" s="1004"/>
      <c r="P762" s="1004"/>
      <c r="Q762" s="1004"/>
    </row>
    <row r="763" spans="15:17" s="383" customFormat="1">
      <c r="O763" s="1004"/>
      <c r="P763" s="1004"/>
      <c r="Q763" s="1004"/>
    </row>
    <row r="764" spans="15:17" s="383" customFormat="1">
      <c r="O764" s="1004"/>
      <c r="P764" s="1004"/>
      <c r="Q764" s="1004"/>
    </row>
    <row r="765" spans="15:17" s="383" customFormat="1">
      <c r="O765" s="1004"/>
      <c r="P765" s="1004"/>
      <c r="Q765" s="1004"/>
    </row>
    <row r="766" spans="15:17" s="383" customFormat="1">
      <c r="O766" s="1004"/>
      <c r="P766" s="1004"/>
      <c r="Q766" s="1004"/>
    </row>
    <row r="767" spans="15:17" s="383" customFormat="1">
      <c r="O767" s="1004"/>
      <c r="P767" s="1004"/>
      <c r="Q767" s="1004"/>
    </row>
    <row r="768" spans="15:17" s="383" customFormat="1">
      <c r="O768" s="1004"/>
      <c r="P768" s="1004"/>
      <c r="Q768" s="1004"/>
    </row>
    <row r="769" spans="15:17" s="383" customFormat="1">
      <c r="O769" s="1004"/>
      <c r="P769" s="1004"/>
      <c r="Q769" s="1004"/>
    </row>
    <row r="770" spans="15:17" s="383" customFormat="1">
      <c r="O770" s="1004"/>
      <c r="P770" s="1004"/>
      <c r="Q770" s="1004"/>
    </row>
    <row r="771" spans="15:17" s="383" customFormat="1">
      <c r="O771" s="1004"/>
      <c r="P771" s="1004"/>
      <c r="Q771" s="1004"/>
    </row>
    <row r="772" spans="15:17" s="383" customFormat="1">
      <c r="O772" s="1004"/>
      <c r="P772" s="1004"/>
      <c r="Q772" s="1004"/>
    </row>
    <row r="773" spans="15:17" s="383" customFormat="1">
      <c r="O773" s="1004"/>
      <c r="P773" s="1004"/>
      <c r="Q773" s="1004"/>
    </row>
    <row r="774" spans="15:17" s="383" customFormat="1">
      <c r="O774" s="1004"/>
      <c r="P774" s="1004"/>
      <c r="Q774" s="1004"/>
    </row>
    <row r="775" spans="15:17" s="383" customFormat="1">
      <c r="O775" s="1004"/>
      <c r="P775" s="1004"/>
      <c r="Q775" s="1004"/>
    </row>
    <row r="776" spans="15:17" s="383" customFormat="1">
      <c r="O776" s="1004"/>
      <c r="P776" s="1004"/>
      <c r="Q776" s="1004"/>
    </row>
    <row r="777" spans="15:17" s="383" customFormat="1">
      <c r="O777" s="1004"/>
      <c r="P777" s="1004"/>
      <c r="Q777" s="1004"/>
    </row>
    <row r="778" spans="15:17" s="383" customFormat="1">
      <c r="O778" s="1004"/>
      <c r="P778" s="1004"/>
      <c r="Q778" s="1004"/>
    </row>
    <row r="779" spans="15:17" s="383" customFormat="1">
      <c r="O779" s="1004"/>
      <c r="P779" s="1004"/>
      <c r="Q779" s="1004"/>
    </row>
    <row r="780" spans="15:17" s="383" customFormat="1">
      <c r="O780" s="1004"/>
      <c r="P780" s="1004"/>
      <c r="Q780" s="1004"/>
    </row>
    <row r="781" spans="15:17" s="383" customFormat="1">
      <c r="O781" s="1004"/>
      <c r="P781" s="1004"/>
      <c r="Q781" s="1004"/>
    </row>
    <row r="782" spans="15:17" s="383" customFormat="1">
      <c r="O782" s="1004"/>
      <c r="P782" s="1004"/>
      <c r="Q782" s="1004"/>
    </row>
    <row r="783" spans="15:17" s="383" customFormat="1">
      <c r="O783" s="1004"/>
      <c r="P783" s="1004"/>
      <c r="Q783" s="1004"/>
    </row>
    <row r="784" spans="15:17" s="383" customFormat="1">
      <c r="O784" s="1004"/>
      <c r="P784" s="1004"/>
      <c r="Q784" s="1004"/>
    </row>
    <row r="785" spans="15:17" s="383" customFormat="1">
      <c r="O785" s="1004"/>
      <c r="P785" s="1004"/>
      <c r="Q785" s="1004"/>
    </row>
    <row r="786" spans="15:17" s="383" customFormat="1">
      <c r="O786" s="1004"/>
      <c r="P786" s="1004"/>
      <c r="Q786" s="1004"/>
    </row>
    <row r="787" spans="15:17" s="383" customFormat="1">
      <c r="O787" s="1004"/>
      <c r="P787" s="1004"/>
      <c r="Q787" s="1004"/>
    </row>
    <row r="788" spans="15:17" s="383" customFormat="1">
      <c r="O788" s="1004"/>
      <c r="P788" s="1004"/>
      <c r="Q788" s="1004"/>
    </row>
    <row r="789" spans="15:17" s="383" customFormat="1">
      <c r="O789" s="1004"/>
      <c r="P789" s="1004"/>
      <c r="Q789" s="1004"/>
    </row>
    <row r="790" spans="15:17" s="383" customFormat="1">
      <c r="O790" s="1004"/>
      <c r="P790" s="1004"/>
      <c r="Q790" s="1004"/>
    </row>
    <row r="791" spans="15:17" s="383" customFormat="1">
      <c r="O791" s="1004"/>
      <c r="P791" s="1004"/>
      <c r="Q791" s="1004"/>
    </row>
    <row r="792" spans="15:17" s="383" customFormat="1">
      <c r="O792" s="1004"/>
      <c r="P792" s="1004"/>
      <c r="Q792" s="1004"/>
    </row>
    <row r="793" spans="15:17" s="383" customFormat="1">
      <c r="O793" s="1004"/>
      <c r="P793" s="1004"/>
      <c r="Q793" s="1004"/>
    </row>
    <row r="794" spans="15:17" s="383" customFormat="1">
      <c r="O794" s="1004"/>
      <c r="P794" s="1004"/>
      <c r="Q794" s="1004"/>
    </row>
    <row r="795" spans="15:17" s="383" customFormat="1">
      <c r="O795" s="1004"/>
      <c r="P795" s="1004"/>
      <c r="Q795" s="1004"/>
    </row>
    <row r="796" spans="15:17" s="383" customFormat="1">
      <c r="O796" s="1004"/>
      <c r="P796" s="1004"/>
      <c r="Q796" s="1004"/>
    </row>
    <row r="797" spans="15:17" s="383" customFormat="1">
      <c r="O797" s="1004"/>
      <c r="P797" s="1004"/>
      <c r="Q797" s="1004"/>
    </row>
    <row r="798" spans="15:17" s="383" customFormat="1">
      <c r="O798" s="1004"/>
      <c r="P798" s="1004"/>
      <c r="Q798" s="1004"/>
    </row>
    <row r="799" spans="15:17" s="383" customFormat="1">
      <c r="O799" s="1004"/>
      <c r="P799" s="1004"/>
      <c r="Q799" s="1004"/>
    </row>
    <row r="800" spans="15:17" s="383" customFormat="1">
      <c r="O800" s="1004"/>
      <c r="P800" s="1004"/>
      <c r="Q800" s="1004"/>
    </row>
    <row r="801" spans="15:17" s="383" customFormat="1">
      <c r="O801" s="1004"/>
      <c r="P801" s="1004"/>
      <c r="Q801" s="1004"/>
    </row>
    <row r="802" spans="15:17" s="383" customFormat="1">
      <c r="O802" s="1004"/>
      <c r="P802" s="1004"/>
      <c r="Q802" s="1004"/>
    </row>
    <row r="803" spans="15:17" s="383" customFormat="1">
      <c r="O803" s="1004"/>
      <c r="P803" s="1004"/>
      <c r="Q803" s="1004"/>
    </row>
    <row r="804" spans="15:17" s="383" customFormat="1">
      <c r="O804" s="1004"/>
      <c r="P804" s="1004"/>
      <c r="Q804" s="1004"/>
    </row>
    <row r="805" spans="15:17" s="383" customFormat="1">
      <c r="O805" s="1004"/>
      <c r="P805" s="1004"/>
      <c r="Q805" s="1004"/>
    </row>
    <row r="806" spans="15:17" s="383" customFormat="1">
      <c r="O806" s="1004"/>
      <c r="P806" s="1004"/>
      <c r="Q806" s="1004"/>
    </row>
    <row r="807" spans="15:17" s="383" customFormat="1">
      <c r="O807" s="1004"/>
      <c r="P807" s="1004"/>
      <c r="Q807" s="1004"/>
    </row>
    <row r="808" spans="15:17" s="383" customFormat="1">
      <c r="O808" s="1004"/>
      <c r="P808" s="1004"/>
      <c r="Q808" s="1004"/>
    </row>
    <row r="809" spans="15:17" s="383" customFormat="1">
      <c r="O809" s="1004"/>
      <c r="P809" s="1004"/>
      <c r="Q809" s="1004"/>
    </row>
    <row r="810" spans="15:17" s="383" customFormat="1">
      <c r="O810" s="1004"/>
      <c r="P810" s="1004"/>
      <c r="Q810" s="1004"/>
    </row>
    <row r="811" spans="15:17" s="383" customFormat="1">
      <c r="O811" s="1004"/>
      <c r="P811" s="1004"/>
      <c r="Q811" s="1004"/>
    </row>
    <row r="812" spans="15:17" s="383" customFormat="1">
      <c r="O812" s="1004"/>
      <c r="P812" s="1004"/>
      <c r="Q812" s="1004"/>
    </row>
    <row r="813" spans="15:17" s="383" customFormat="1">
      <c r="O813" s="1004"/>
      <c r="P813" s="1004"/>
      <c r="Q813" s="1004"/>
    </row>
    <row r="814" spans="15:17" s="383" customFormat="1">
      <c r="O814" s="1004"/>
      <c r="P814" s="1004"/>
      <c r="Q814" s="1004"/>
    </row>
    <row r="815" spans="15:17" s="383" customFormat="1">
      <c r="O815" s="1004"/>
      <c r="P815" s="1004"/>
      <c r="Q815" s="1004"/>
    </row>
    <row r="816" spans="15:17" s="383" customFormat="1">
      <c r="O816" s="1004"/>
      <c r="P816" s="1004"/>
      <c r="Q816" s="1004"/>
    </row>
    <row r="817" spans="15:17" s="383" customFormat="1">
      <c r="O817" s="1004"/>
      <c r="P817" s="1004"/>
      <c r="Q817" s="1004"/>
    </row>
    <row r="818" spans="15:17" s="383" customFormat="1">
      <c r="O818" s="1004"/>
      <c r="P818" s="1004"/>
      <c r="Q818" s="1004"/>
    </row>
    <row r="819" spans="15:17" s="383" customFormat="1">
      <c r="O819" s="1004"/>
      <c r="P819" s="1004"/>
      <c r="Q819" s="1004"/>
    </row>
    <row r="820" spans="15:17" s="383" customFormat="1">
      <c r="O820" s="1004"/>
      <c r="P820" s="1004"/>
      <c r="Q820" s="1004"/>
    </row>
    <row r="821" spans="15:17" s="383" customFormat="1">
      <c r="O821" s="1004"/>
      <c r="P821" s="1004"/>
      <c r="Q821" s="1004"/>
    </row>
    <row r="822" spans="15:17" s="383" customFormat="1">
      <c r="O822" s="1004"/>
      <c r="P822" s="1004"/>
      <c r="Q822" s="1004"/>
    </row>
    <row r="823" spans="15:17" s="383" customFormat="1">
      <c r="O823" s="1004"/>
      <c r="P823" s="1004"/>
      <c r="Q823" s="1004"/>
    </row>
    <row r="824" spans="15:17" s="383" customFormat="1">
      <c r="O824" s="1004"/>
      <c r="P824" s="1004"/>
      <c r="Q824" s="1004"/>
    </row>
    <row r="825" spans="15:17" s="383" customFormat="1">
      <c r="O825" s="1004"/>
      <c r="P825" s="1004"/>
      <c r="Q825" s="1004"/>
    </row>
    <row r="826" spans="15:17" s="383" customFormat="1">
      <c r="O826" s="1004"/>
      <c r="P826" s="1004"/>
      <c r="Q826" s="1004"/>
    </row>
    <row r="827" spans="15:17" s="383" customFormat="1">
      <c r="O827" s="1004"/>
      <c r="P827" s="1004"/>
      <c r="Q827" s="1004"/>
    </row>
    <row r="828" spans="15:17" s="383" customFormat="1">
      <c r="O828" s="1004"/>
      <c r="P828" s="1004"/>
      <c r="Q828" s="1004"/>
    </row>
    <row r="829" spans="15:17" s="383" customFormat="1">
      <c r="O829" s="1004"/>
      <c r="P829" s="1004"/>
      <c r="Q829" s="1004"/>
    </row>
    <row r="830" spans="15:17" s="383" customFormat="1">
      <c r="O830" s="1004"/>
      <c r="P830" s="1004"/>
      <c r="Q830" s="1004"/>
    </row>
    <row r="831" spans="15:17" s="383" customFormat="1">
      <c r="O831" s="1004"/>
      <c r="P831" s="1004"/>
      <c r="Q831" s="1004"/>
    </row>
    <row r="832" spans="15:17" s="383" customFormat="1">
      <c r="O832" s="1004"/>
      <c r="P832" s="1004"/>
      <c r="Q832" s="1004"/>
    </row>
    <row r="833" spans="15:17" s="383" customFormat="1">
      <c r="O833" s="1004"/>
      <c r="P833" s="1004"/>
      <c r="Q833" s="1004"/>
    </row>
    <row r="834" spans="15:17" s="383" customFormat="1">
      <c r="O834" s="1004"/>
      <c r="P834" s="1004"/>
      <c r="Q834" s="1004"/>
    </row>
    <row r="835" spans="15:17" s="383" customFormat="1">
      <c r="O835" s="1004"/>
      <c r="P835" s="1004"/>
      <c r="Q835" s="1004"/>
    </row>
    <row r="836" spans="15:17" s="383" customFormat="1">
      <c r="O836" s="1004"/>
      <c r="P836" s="1004"/>
      <c r="Q836" s="1004"/>
    </row>
    <row r="837" spans="15:17" s="383" customFormat="1">
      <c r="O837" s="1004"/>
      <c r="P837" s="1004"/>
      <c r="Q837" s="1004"/>
    </row>
    <row r="838" spans="15:17" s="383" customFormat="1">
      <c r="O838" s="1004"/>
      <c r="P838" s="1004"/>
      <c r="Q838" s="1004"/>
    </row>
    <row r="839" spans="15:17" s="383" customFormat="1">
      <c r="O839" s="1004"/>
      <c r="P839" s="1004"/>
      <c r="Q839" s="1004"/>
    </row>
    <row r="840" spans="15:17" s="383" customFormat="1">
      <c r="O840" s="1004"/>
      <c r="P840" s="1004"/>
      <c r="Q840" s="1004"/>
    </row>
    <row r="841" spans="15:17" s="383" customFormat="1">
      <c r="O841" s="1004"/>
      <c r="P841" s="1004"/>
      <c r="Q841" s="1004"/>
    </row>
    <row r="842" spans="15:17" s="383" customFormat="1">
      <c r="O842" s="1004"/>
      <c r="P842" s="1004"/>
      <c r="Q842" s="1004"/>
    </row>
    <row r="843" spans="15:17" s="383" customFormat="1">
      <c r="O843" s="1004"/>
      <c r="P843" s="1004"/>
      <c r="Q843" s="1004"/>
    </row>
    <row r="844" spans="15:17" s="383" customFormat="1">
      <c r="O844" s="1004"/>
      <c r="P844" s="1004"/>
      <c r="Q844" s="1004"/>
    </row>
    <row r="845" spans="15:17" s="383" customFormat="1">
      <c r="O845" s="1004"/>
      <c r="P845" s="1004"/>
      <c r="Q845" s="1004"/>
    </row>
    <row r="846" spans="15:17" s="383" customFormat="1">
      <c r="O846" s="1004"/>
      <c r="P846" s="1004"/>
      <c r="Q846" s="1004"/>
    </row>
    <row r="847" spans="15:17" s="383" customFormat="1">
      <c r="O847" s="1004"/>
      <c r="P847" s="1004"/>
      <c r="Q847" s="1004"/>
    </row>
    <row r="848" spans="15:17" s="383" customFormat="1">
      <c r="O848" s="1004"/>
      <c r="P848" s="1004"/>
      <c r="Q848" s="1004"/>
    </row>
    <row r="849" spans="15:17" s="383" customFormat="1">
      <c r="O849" s="1004"/>
      <c r="P849" s="1004"/>
      <c r="Q849" s="1004"/>
    </row>
    <row r="850" spans="15:17" s="383" customFormat="1">
      <c r="O850" s="1004"/>
      <c r="P850" s="1004"/>
      <c r="Q850" s="1004"/>
    </row>
    <row r="851" spans="15:17" s="383" customFormat="1">
      <c r="O851" s="1004"/>
      <c r="P851" s="1004"/>
      <c r="Q851" s="1004"/>
    </row>
    <row r="852" spans="15:17" s="383" customFormat="1">
      <c r="O852" s="1004"/>
      <c r="P852" s="1004"/>
      <c r="Q852" s="1004"/>
    </row>
    <row r="853" spans="15:17" s="383" customFormat="1">
      <c r="O853" s="1004"/>
      <c r="P853" s="1004"/>
      <c r="Q853" s="1004"/>
    </row>
    <row r="854" spans="15:17" s="383" customFormat="1">
      <c r="O854" s="1004"/>
      <c r="P854" s="1004"/>
      <c r="Q854" s="1004"/>
    </row>
    <row r="855" spans="15:17" s="383" customFormat="1">
      <c r="O855" s="1004"/>
      <c r="P855" s="1004"/>
      <c r="Q855" s="1004"/>
    </row>
    <row r="856" spans="15:17" s="383" customFormat="1">
      <c r="O856" s="1004"/>
      <c r="P856" s="1004"/>
      <c r="Q856" s="1004"/>
    </row>
    <row r="857" spans="15:17" s="383" customFormat="1">
      <c r="O857" s="1004"/>
      <c r="P857" s="1004"/>
      <c r="Q857" s="1004"/>
    </row>
    <row r="858" spans="15:17" s="383" customFormat="1">
      <c r="O858" s="1004"/>
      <c r="P858" s="1004"/>
      <c r="Q858" s="1004"/>
    </row>
    <row r="859" spans="15:17" s="383" customFormat="1">
      <c r="O859" s="1004"/>
      <c r="P859" s="1004"/>
      <c r="Q859" s="1004"/>
    </row>
    <row r="860" spans="15:17" s="383" customFormat="1">
      <c r="O860" s="1004"/>
      <c r="P860" s="1004"/>
      <c r="Q860" s="1004"/>
    </row>
    <row r="861" spans="15:17" s="383" customFormat="1">
      <c r="O861" s="1004"/>
      <c r="P861" s="1004"/>
      <c r="Q861" s="1004"/>
    </row>
    <row r="862" spans="15:17" s="383" customFormat="1">
      <c r="O862" s="1004"/>
      <c r="P862" s="1004"/>
      <c r="Q862" s="1004"/>
    </row>
    <row r="863" spans="15:17" s="383" customFormat="1">
      <c r="O863" s="1004"/>
      <c r="P863" s="1004"/>
      <c r="Q863" s="1004"/>
    </row>
    <row r="864" spans="15:17" s="383" customFormat="1">
      <c r="O864" s="1004"/>
      <c r="P864" s="1004"/>
      <c r="Q864" s="1004"/>
    </row>
    <row r="865" spans="15:17" s="383" customFormat="1">
      <c r="O865" s="1004"/>
      <c r="P865" s="1004"/>
      <c r="Q865" s="1004"/>
    </row>
    <row r="866" spans="15:17" s="383" customFormat="1">
      <c r="O866" s="1004"/>
      <c r="P866" s="1004"/>
      <c r="Q866" s="1004"/>
    </row>
    <row r="867" spans="15:17" s="383" customFormat="1">
      <c r="O867" s="1004"/>
      <c r="P867" s="1004"/>
      <c r="Q867" s="1004"/>
    </row>
    <row r="868" spans="15:17" s="383" customFormat="1">
      <c r="O868" s="1004"/>
      <c r="P868" s="1004"/>
      <c r="Q868" s="1004"/>
    </row>
    <row r="869" spans="15:17" s="383" customFormat="1">
      <c r="O869" s="1004"/>
      <c r="P869" s="1004"/>
      <c r="Q869" s="1004"/>
    </row>
    <row r="870" spans="15:17" s="383" customFormat="1">
      <c r="O870" s="1004"/>
      <c r="P870" s="1004"/>
      <c r="Q870" s="1004"/>
    </row>
    <row r="871" spans="15:17" s="383" customFormat="1">
      <c r="O871" s="1004"/>
      <c r="P871" s="1004"/>
      <c r="Q871" s="1004"/>
    </row>
    <row r="872" spans="15:17" s="383" customFormat="1">
      <c r="O872" s="1004"/>
      <c r="P872" s="1004"/>
      <c r="Q872" s="1004"/>
    </row>
    <row r="873" spans="15:17" s="383" customFormat="1">
      <c r="O873" s="1004"/>
      <c r="P873" s="1004"/>
      <c r="Q873" s="1004"/>
    </row>
    <row r="874" spans="15:17" s="383" customFormat="1">
      <c r="O874" s="1004"/>
      <c r="P874" s="1004"/>
      <c r="Q874" s="1004"/>
    </row>
    <row r="875" spans="15:17" s="383" customFormat="1">
      <c r="O875" s="1004"/>
      <c r="P875" s="1004"/>
      <c r="Q875" s="1004"/>
    </row>
    <row r="876" spans="15:17" s="383" customFormat="1">
      <c r="O876" s="1004"/>
      <c r="P876" s="1004"/>
      <c r="Q876" s="1004"/>
    </row>
    <row r="877" spans="15:17" s="383" customFormat="1">
      <c r="O877" s="1004"/>
      <c r="P877" s="1004"/>
      <c r="Q877" s="1004"/>
    </row>
    <row r="878" spans="15:17" s="383" customFormat="1">
      <c r="O878" s="1004"/>
      <c r="P878" s="1004"/>
      <c r="Q878" s="1004"/>
    </row>
    <row r="879" spans="15:17" s="383" customFormat="1">
      <c r="O879" s="1004"/>
      <c r="P879" s="1004"/>
      <c r="Q879" s="1004"/>
    </row>
    <row r="880" spans="15:17" s="383" customFormat="1">
      <c r="O880" s="1004"/>
      <c r="P880" s="1004"/>
      <c r="Q880" s="1004"/>
    </row>
    <row r="881" spans="15:17" s="383" customFormat="1">
      <c r="O881" s="1004"/>
      <c r="P881" s="1004"/>
      <c r="Q881" s="1004"/>
    </row>
    <row r="882" spans="15:17" s="383" customFormat="1">
      <c r="O882" s="1004"/>
      <c r="P882" s="1004"/>
      <c r="Q882" s="1004"/>
    </row>
    <row r="883" spans="15:17" s="383" customFormat="1">
      <c r="O883" s="1004"/>
      <c r="P883" s="1004"/>
      <c r="Q883" s="1004"/>
    </row>
    <row r="884" spans="15:17" s="383" customFormat="1">
      <c r="O884" s="1004"/>
      <c r="P884" s="1004"/>
      <c r="Q884" s="1004"/>
    </row>
    <row r="885" spans="15:17" s="383" customFormat="1">
      <c r="O885" s="1004"/>
      <c r="P885" s="1004"/>
      <c r="Q885" s="1004"/>
    </row>
    <row r="886" spans="15:17" s="383" customFormat="1">
      <c r="O886" s="1004"/>
      <c r="P886" s="1004"/>
      <c r="Q886" s="1004"/>
    </row>
    <row r="887" spans="15:17" s="383" customFormat="1">
      <c r="O887" s="1004"/>
      <c r="P887" s="1004"/>
      <c r="Q887" s="1004"/>
    </row>
    <row r="888" spans="15:17" s="383" customFormat="1">
      <c r="O888" s="1004"/>
      <c r="P888" s="1004"/>
      <c r="Q888" s="1004"/>
    </row>
    <row r="889" spans="15:17" s="383" customFormat="1">
      <c r="O889" s="1004"/>
      <c r="P889" s="1004"/>
      <c r="Q889" s="1004"/>
    </row>
    <row r="890" spans="15:17" s="383" customFormat="1">
      <c r="O890" s="1004"/>
      <c r="P890" s="1004"/>
      <c r="Q890" s="1004"/>
    </row>
    <row r="891" spans="15:17" s="383" customFormat="1">
      <c r="O891" s="1004"/>
      <c r="P891" s="1004"/>
      <c r="Q891" s="1004"/>
    </row>
    <row r="892" spans="15:17" s="383" customFormat="1">
      <c r="O892" s="1004"/>
      <c r="P892" s="1004"/>
      <c r="Q892" s="1004"/>
    </row>
    <row r="893" spans="15:17" s="383" customFormat="1">
      <c r="O893" s="1004"/>
      <c r="P893" s="1004"/>
      <c r="Q893" s="1004"/>
    </row>
    <row r="894" spans="15:17" s="383" customFormat="1">
      <c r="O894" s="1004"/>
      <c r="P894" s="1004"/>
      <c r="Q894" s="1004"/>
    </row>
    <row r="895" spans="15:17" s="383" customFormat="1">
      <c r="O895" s="1004"/>
      <c r="P895" s="1004"/>
      <c r="Q895" s="1004"/>
    </row>
    <row r="896" spans="15:17" s="383" customFormat="1">
      <c r="O896" s="1004"/>
      <c r="P896" s="1004"/>
      <c r="Q896" s="1004"/>
    </row>
    <row r="897" spans="15:17" s="383" customFormat="1">
      <c r="O897" s="1004"/>
      <c r="P897" s="1004"/>
      <c r="Q897" s="1004"/>
    </row>
    <row r="898" spans="15:17" s="383" customFormat="1">
      <c r="O898" s="1004"/>
      <c r="P898" s="1004"/>
      <c r="Q898" s="1004"/>
    </row>
    <row r="899" spans="15:17" s="383" customFormat="1">
      <c r="O899" s="1004"/>
      <c r="P899" s="1004"/>
      <c r="Q899" s="1004"/>
    </row>
    <row r="900" spans="15:17" s="383" customFormat="1">
      <c r="O900" s="1004"/>
      <c r="P900" s="1004"/>
      <c r="Q900" s="1004"/>
    </row>
    <row r="901" spans="15:17" s="383" customFormat="1">
      <c r="O901" s="1004"/>
      <c r="P901" s="1004"/>
      <c r="Q901" s="1004"/>
    </row>
    <row r="902" spans="15:17" s="383" customFormat="1">
      <c r="O902" s="1004"/>
      <c r="P902" s="1004"/>
      <c r="Q902" s="1004"/>
    </row>
    <row r="903" spans="15:17" s="383" customFormat="1">
      <c r="O903" s="1004"/>
      <c r="P903" s="1004"/>
      <c r="Q903" s="1004"/>
    </row>
    <row r="904" spans="15:17" s="383" customFormat="1">
      <c r="O904" s="1004"/>
      <c r="P904" s="1004"/>
      <c r="Q904" s="1004"/>
    </row>
    <row r="905" spans="15:17" s="383" customFormat="1">
      <c r="O905" s="1004"/>
      <c r="P905" s="1004"/>
      <c r="Q905" s="1004"/>
    </row>
    <row r="906" spans="15:17" s="383" customFormat="1">
      <c r="O906" s="1004"/>
      <c r="P906" s="1004"/>
      <c r="Q906" s="1004"/>
    </row>
    <row r="907" spans="15:17" s="383" customFormat="1">
      <c r="O907" s="1004"/>
      <c r="P907" s="1004"/>
      <c r="Q907" s="1004"/>
    </row>
    <row r="908" spans="15:17" s="383" customFormat="1">
      <c r="O908" s="1004"/>
      <c r="P908" s="1004"/>
      <c r="Q908" s="1004"/>
    </row>
    <row r="909" spans="15:17" s="383" customFormat="1">
      <c r="O909" s="1004"/>
      <c r="P909" s="1004"/>
      <c r="Q909" s="1004"/>
    </row>
    <row r="910" spans="15:17" s="383" customFormat="1">
      <c r="O910" s="1004"/>
      <c r="P910" s="1004"/>
      <c r="Q910" s="1004"/>
    </row>
    <row r="911" spans="15:17" s="383" customFormat="1">
      <c r="O911" s="1004"/>
      <c r="P911" s="1004"/>
      <c r="Q911" s="1004"/>
    </row>
    <row r="912" spans="15:17" s="383" customFormat="1">
      <c r="O912" s="1004"/>
      <c r="P912" s="1004"/>
      <c r="Q912" s="1004"/>
    </row>
    <row r="913" spans="15:17" s="383" customFormat="1">
      <c r="O913" s="1004"/>
      <c r="P913" s="1004"/>
      <c r="Q913" s="1004"/>
    </row>
    <row r="914" spans="15:17" s="383" customFormat="1">
      <c r="O914" s="1004"/>
      <c r="P914" s="1004"/>
      <c r="Q914" s="1004"/>
    </row>
    <row r="915" spans="15:17" s="383" customFormat="1">
      <c r="O915" s="1004"/>
      <c r="P915" s="1004"/>
      <c r="Q915" s="1004"/>
    </row>
    <row r="916" spans="15:17" s="383" customFormat="1">
      <c r="O916" s="1004"/>
      <c r="P916" s="1004"/>
      <c r="Q916" s="1004"/>
    </row>
    <row r="917" spans="15:17" s="383" customFormat="1">
      <c r="O917" s="1004"/>
      <c r="P917" s="1004"/>
      <c r="Q917" s="1004"/>
    </row>
    <row r="918" spans="15:17" s="383" customFormat="1">
      <c r="O918" s="1004"/>
      <c r="P918" s="1004"/>
      <c r="Q918" s="1004"/>
    </row>
    <row r="919" spans="15:17" s="383" customFormat="1">
      <c r="O919" s="1004"/>
      <c r="P919" s="1004"/>
      <c r="Q919" s="1004"/>
    </row>
    <row r="920" spans="15:17" s="383" customFormat="1">
      <c r="O920" s="1004"/>
      <c r="P920" s="1004"/>
      <c r="Q920" s="1004"/>
    </row>
    <row r="921" spans="15:17" s="383" customFormat="1">
      <c r="O921" s="1004"/>
      <c r="P921" s="1004"/>
      <c r="Q921" s="1004"/>
    </row>
    <row r="922" spans="15:17" s="383" customFormat="1">
      <c r="O922" s="1004"/>
      <c r="P922" s="1004"/>
      <c r="Q922" s="1004"/>
    </row>
    <row r="923" spans="15:17" s="383" customFormat="1">
      <c r="O923" s="1004"/>
      <c r="P923" s="1004"/>
      <c r="Q923" s="1004"/>
    </row>
    <row r="924" spans="15:17" s="383" customFormat="1">
      <c r="O924" s="1004"/>
      <c r="P924" s="1004"/>
      <c r="Q924" s="1004"/>
    </row>
    <row r="925" spans="15:17" s="383" customFormat="1">
      <c r="O925" s="1004"/>
      <c r="P925" s="1004"/>
      <c r="Q925" s="1004"/>
    </row>
    <row r="926" spans="15:17" s="383" customFormat="1">
      <c r="O926" s="1004"/>
      <c r="P926" s="1004"/>
      <c r="Q926" s="1004"/>
    </row>
    <row r="927" spans="15:17" s="383" customFormat="1">
      <c r="O927" s="1004"/>
      <c r="P927" s="1004"/>
      <c r="Q927" s="1004"/>
    </row>
    <row r="928" spans="15:17" s="383" customFormat="1">
      <c r="O928" s="1004"/>
      <c r="P928" s="1004"/>
      <c r="Q928" s="1004"/>
    </row>
    <row r="929" spans="15:17" s="383" customFormat="1">
      <c r="O929" s="1004"/>
      <c r="P929" s="1004"/>
      <c r="Q929" s="1004"/>
    </row>
    <row r="930" spans="15:17" s="383" customFormat="1">
      <c r="O930" s="1004"/>
      <c r="P930" s="1004"/>
      <c r="Q930" s="1004"/>
    </row>
    <row r="931" spans="15:17" s="383" customFormat="1">
      <c r="O931" s="1004"/>
      <c r="P931" s="1004"/>
      <c r="Q931" s="1004"/>
    </row>
    <row r="932" spans="15:17" s="383" customFormat="1">
      <c r="O932" s="1004"/>
      <c r="P932" s="1004"/>
      <c r="Q932" s="1004"/>
    </row>
    <row r="933" spans="15:17" s="383" customFormat="1">
      <c r="O933" s="1004"/>
      <c r="P933" s="1004"/>
      <c r="Q933" s="1004"/>
    </row>
    <row r="934" spans="15:17" s="383" customFormat="1">
      <c r="O934" s="1004"/>
      <c r="P934" s="1004"/>
      <c r="Q934" s="1004"/>
    </row>
    <row r="935" spans="15:17" s="383" customFormat="1">
      <c r="O935" s="1004"/>
      <c r="P935" s="1004"/>
      <c r="Q935" s="1004"/>
    </row>
    <row r="936" spans="15:17" s="383" customFormat="1">
      <c r="O936" s="1004"/>
      <c r="P936" s="1004"/>
      <c r="Q936" s="1004"/>
    </row>
    <row r="937" spans="15:17" s="383" customFormat="1">
      <c r="O937" s="1004"/>
      <c r="P937" s="1004"/>
      <c r="Q937" s="1004"/>
    </row>
    <row r="938" spans="15:17" s="383" customFormat="1">
      <c r="O938" s="1004"/>
      <c r="P938" s="1004"/>
      <c r="Q938" s="1004"/>
    </row>
    <row r="939" spans="15:17" s="383" customFormat="1">
      <c r="O939" s="1004"/>
      <c r="P939" s="1004"/>
      <c r="Q939" s="1004"/>
    </row>
    <row r="940" spans="15:17" s="383" customFormat="1">
      <c r="O940" s="1004"/>
      <c r="P940" s="1004"/>
      <c r="Q940" s="1004"/>
    </row>
    <row r="941" spans="15:17" s="383" customFormat="1">
      <c r="O941" s="1004"/>
      <c r="P941" s="1004"/>
      <c r="Q941" s="1004"/>
    </row>
    <row r="942" spans="15:17" s="383" customFormat="1">
      <c r="O942" s="1004"/>
      <c r="P942" s="1004"/>
      <c r="Q942" s="1004"/>
    </row>
    <row r="943" spans="15:17" s="383" customFormat="1">
      <c r="O943" s="1004"/>
      <c r="P943" s="1004"/>
      <c r="Q943" s="1004"/>
    </row>
    <row r="944" spans="15:17" s="383" customFormat="1">
      <c r="O944" s="1004"/>
      <c r="P944" s="1004"/>
      <c r="Q944" s="1004"/>
    </row>
    <row r="945" spans="15:17" s="383" customFormat="1">
      <c r="O945" s="1004"/>
      <c r="P945" s="1004"/>
      <c r="Q945" s="1004"/>
    </row>
    <row r="946" spans="15:17" s="383" customFormat="1">
      <c r="O946" s="1004"/>
      <c r="P946" s="1004"/>
      <c r="Q946" s="1004"/>
    </row>
    <row r="947" spans="15:17" s="383" customFormat="1">
      <c r="O947" s="1004"/>
      <c r="P947" s="1004"/>
      <c r="Q947" s="1004"/>
    </row>
    <row r="948" spans="15:17" s="383" customFormat="1">
      <c r="O948" s="1004"/>
      <c r="P948" s="1004"/>
      <c r="Q948" s="1004"/>
    </row>
    <row r="949" spans="15:17" s="383" customFormat="1">
      <c r="O949" s="1004"/>
      <c r="P949" s="1004"/>
      <c r="Q949" s="1004"/>
    </row>
    <row r="950" spans="15:17" s="383" customFormat="1">
      <c r="O950" s="1004"/>
      <c r="P950" s="1004"/>
      <c r="Q950" s="1004"/>
    </row>
    <row r="951" spans="15:17" s="383" customFormat="1">
      <c r="O951" s="1004"/>
      <c r="P951" s="1004"/>
      <c r="Q951" s="1004"/>
    </row>
    <row r="952" spans="15:17" s="383" customFormat="1">
      <c r="O952" s="1004"/>
      <c r="P952" s="1004"/>
      <c r="Q952" s="1004"/>
    </row>
    <row r="953" spans="15:17" s="383" customFormat="1">
      <c r="O953" s="1004"/>
      <c r="P953" s="1004"/>
      <c r="Q953" s="1004"/>
    </row>
    <row r="954" spans="15:17" s="383" customFormat="1">
      <c r="O954" s="1004"/>
      <c r="P954" s="1004"/>
      <c r="Q954" s="1004"/>
    </row>
    <row r="955" spans="15:17" s="383" customFormat="1">
      <c r="O955" s="1004"/>
      <c r="P955" s="1004"/>
      <c r="Q955" s="1004"/>
    </row>
    <row r="956" spans="15:17" s="383" customFormat="1">
      <c r="O956" s="1004"/>
      <c r="P956" s="1004"/>
      <c r="Q956" s="1004"/>
    </row>
    <row r="957" spans="15:17" s="383" customFormat="1">
      <c r="O957" s="1004"/>
      <c r="P957" s="1004"/>
      <c r="Q957" s="1004"/>
    </row>
    <row r="958" spans="15:17" s="383" customFormat="1">
      <c r="O958" s="1004"/>
      <c r="P958" s="1004"/>
      <c r="Q958" s="1004"/>
    </row>
    <row r="959" spans="15:17" s="383" customFormat="1">
      <c r="O959" s="1004"/>
      <c r="P959" s="1004"/>
      <c r="Q959" s="1004"/>
    </row>
    <row r="960" spans="15:17" s="383" customFormat="1">
      <c r="O960" s="1004"/>
      <c r="P960" s="1004"/>
      <c r="Q960" s="1004"/>
    </row>
    <row r="961" spans="15:17" s="383" customFormat="1">
      <c r="O961" s="1004"/>
      <c r="P961" s="1004"/>
      <c r="Q961" s="1004"/>
    </row>
    <row r="962" spans="15:17" s="383" customFormat="1">
      <c r="O962" s="1004"/>
      <c r="P962" s="1004"/>
      <c r="Q962" s="1004"/>
    </row>
    <row r="963" spans="15:17" s="383" customFormat="1">
      <c r="O963" s="1004"/>
      <c r="P963" s="1004"/>
      <c r="Q963" s="1004"/>
    </row>
    <row r="964" spans="15:17" s="383" customFormat="1">
      <c r="O964" s="1004"/>
      <c r="P964" s="1004"/>
      <c r="Q964" s="1004"/>
    </row>
    <row r="965" spans="15:17" s="383" customFormat="1">
      <c r="O965" s="1004"/>
      <c r="P965" s="1004"/>
      <c r="Q965" s="1004"/>
    </row>
    <row r="966" spans="15:17" s="383" customFormat="1">
      <c r="O966" s="1004"/>
      <c r="P966" s="1004"/>
      <c r="Q966" s="1004"/>
    </row>
    <row r="967" spans="15:17" s="383" customFormat="1">
      <c r="O967" s="1004"/>
      <c r="P967" s="1004"/>
      <c r="Q967" s="1004"/>
    </row>
    <row r="968" spans="15:17" s="383" customFormat="1">
      <c r="O968" s="1004"/>
      <c r="P968" s="1004"/>
      <c r="Q968" s="1004"/>
    </row>
    <row r="969" spans="15:17" s="383" customFormat="1">
      <c r="O969" s="1004"/>
      <c r="P969" s="1004"/>
      <c r="Q969" s="1004"/>
    </row>
    <row r="970" spans="15:17" s="383" customFormat="1">
      <c r="O970" s="1004"/>
      <c r="P970" s="1004"/>
      <c r="Q970" s="1004"/>
    </row>
    <row r="971" spans="15:17" s="383" customFormat="1">
      <c r="O971" s="1004"/>
      <c r="P971" s="1004"/>
      <c r="Q971" s="1004"/>
    </row>
    <row r="972" spans="15:17" s="383" customFormat="1">
      <c r="O972" s="1004"/>
      <c r="P972" s="1004"/>
      <c r="Q972" s="1004"/>
    </row>
    <row r="973" spans="15:17" s="383" customFormat="1">
      <c r="O973" s="1004"/>
      <c r="P973" s="1004"/>
      <c r="Q973" s="1004"/>
    </row>
    <row r="974" spans="15:17" s="383" customFormat="1">
      <c r="O974" s="1004"/>
      <c r="P974" s="1004"/>
      <c r="Q974" s="1004"/>
    </row>
    <row r="975" spans="15:17" s="383" customFormat="1">
      <c r="O975" s="1004"/>
      <c r="P975" s="1004"/>
      <c r="Q975" s="1004"/>
    </row>
    <row r="976" spans="15:17" s="383" customFormat="1">
      <c r="O976" s="1004"/>
      <c r="P976" s="1004"/>
      <c r="Q976" s="1004"/>
    </row>
    <row r="977" spans="15:17" s="383" customFormat="1">
      <c r="O977" s="1004"/>
      <c r="P977" s="1004"/>
      <c r="Q977" s="1004"/>
    </row>
    <row r="978" spans="15:17" s="383" customFormat="1">
      <c r="O978" s="1004"/>
      <c r="P978" s="1004"/>
      <c r="Q978" s="1004"/>
    </row>
    <row r="979" spans="15:17" s="383" customFormat="1">
      <c r="O979" s="1004"/>
      <c r="P979" s="1004"/>
      <c r="Q979" s="1004"/>
    </row>
    <row r="980" spans="15:17" s="383" customFormat="1">
      <c r="O980" s="1004"/>
      <c r="P980" s="1004"/>
      <c r="Q980" s="1004"/>
    </row>
    <row r="981" spans="15:17" s="383" customFormat="1">
      <c r="O981" s="1004"/>
      <c r="P981" s="1004"/>
      <c r="Q981" s="1004"/>
    </row>
    <row r="982" spans="15:17" s="383" customFormat="1">
      <c r="O982" s="1004"/>
      <c r="P982" s="1004"/>
      <c r="Q982" s="1004"/>
    </row>
    <row r="983" spans="15:17" s="383" customFormat="1">
      <c r="O983" s="1004"/>
      <c r="P983" s="1004"/>
      <c r="Q983" s="1004"/>
    </row>
    <row r="984" spans="15:17" s="383" customFormat="1">
      <c r="O984" s="1004"/>
      <c r="P984" s="1004"/>
      <c r="Q984" s="1004"/>
    </row>
    <row r="985" spans="15:17" s="383" customFormat="1">
      <c r="O985" s="1004"/>
      <c r="P985" s="1004"/>
      <c r="Q985" s="1004"/>
    </row>
    <row r="986" spans="15:17" s="383" customFormat="1">
      <c r="O986" s="1004"/>
      <c r="P986" s="1004"/>
      <c r="Q986" s="1004"/>
    </row>
    <row r="987" spans="15:17" s="383" customFormat="1">
      <c r="O987" s="1004"/>
      <c r="P987" s="1004"/>
      <c r="Q987" s="1004"/>
    </row>
    <row r="988" spans="15:17" s="383" customFormat="1">
      <c r="O988" s="1004"/>
      <c r="P988" s="1004"/>
      <c r="Q988" s="1004"/>
    </row>
    <row r="989" spans="15:17" s="383" customFormat="1">
      <c r="O989" s="1004"/>
      <c r="P989" s="1004"/>
      <c r="Q989" s="1004"/>
    </row>
    <row r="990" spans="15:17" s="383" customFormat="1">
      <c r="O990" s="1004"/>
      <c r="P990" s="1004"/>
      <c r="Q990" s="1004"/>
    </row>
    <row r="991" spans="15:17" s="383" customFormat="1">
      <c r="O991" s="1004"/>
      <c r="P991" s="1004"/>
      <c r="Q991" s="1004"/>
    </row>
    <row r="992" spans="15:17" s="383" customFormat="1">
      <c r="O992" s="1004"/>
      <c r="P992" s="1004"/>
      <c r="Q992" s="1004"/>
    </row>
    <row r="993" spans="15:17" s="383" customFormat="1">
      <c r="O993" s="1004"/>
      <c r="P993" s="1004"/>
      <c r="Q993" s="1004"/>
    </row>
    <row r="994" spans="15:17" s="383" customFormat="1">
      <c r="O994" s="1004"/>
      <c r="P994" s="1004"/>
      <c r="Q994" s="1004"/>
    </row>
    <row r="995" spans="15:17" s="383" customFormat="1">
      <c r="O995" s="1004"/>
      <c r="P995" s="1004"/>
      <c r="Q995" s="1004"/>
    </row>
    <row r="996" spans="15:17" s="383" customFormat="1">
      <c r="O996" s="1004"/>
      <c r="P996" s="1004"/>
      <c r="Q996" s="1004"/>
    </row>
    <row r="997" spans="15:17" s="383" customFormat="1">
      <c r="O997" s="1004"/>
      <c r="P997" s="1004"/>
      <c r="Q997" s="1004"/>
    </row>
    <row r="998" spans="15:17" s="383" customFormat="1">
      <c r="O998" s="1004"/>
      <c r="P998" s="1004"/>
      <c r="Q998" s="1004"/>
    </row>
    <row r="999" spans="15:17" s="383" customFormat="1">
      <c r="O999" s="1004"/>
      <c r="P999" s="1004"/>
      <c r="Q999" s="1004"/>
    </row>
    <row r="1000" spans="15:17" s="383" customFormat="1">
      <c r="O1000" s="1004"/>
      <c r="P1000" s="1004"/>
      <c r="Q1000" s="1004"/>
    </row>
    <row r="1001" spans="15:17" s="383" customFormat="1">
      <c r="O1001" s="1004"/>
      <c r="P1001" s="1004"/>
      <c r="Q1001" s="1004"/>
    </row>
    <row r="1002" spans="15:17" s="383" customFormat="1">
      <c r="O1002" s="1004"/>
      <c r="P1002" s="1004"/>
      <c r="Q1002" s="1004"/>
    </row>
    <row r="1003" spans="15:17" s="383" customFormat="1">
      <c r="O1003" s="1004"/>
      <c r="P1003" s="1004"/>
      <c r="Q1003" s="1004"/>
    </row>
    <row r="1004" spans="15:17" s="383" customFormat="1">
      <c r="O1004" s="1004"/>
      <c r="P1004" s="1004"/>
      <c r="Q1004" s="1004"/>
    </row>
    <row r="1005" spans="15:17" s="383" customFormat="1">
      <c r="O1005" s="1004"/>
      <c r="P1005" s="1004"/>
      <c r="Q1005" s="1004"/>
    </row>
    <row r="1006" spans="15:17" s="383" customFormat="1">
      <c r="O1006" s="1004"/>
      <c r="P1006" s="1004"/>
      <c r="Q1006" s="1004"/>
    </row>
    <row r="1007" spans="15:17" s="383" customFormat="1">
      <c r="O1007" s="1004"/>
      <c r="P1007" s="1004"/>
      <c r="Q1007" s="1004"/>
    </row>
    <row r="1008" spans="15:17" s="383" customFormat="1">
      <c r="O1008" s="1004"/>
      <c r="P1008" s="1004"/>
      <c r="Q1008" s="1004"/>
    </row>
    <row r="1009" spans="15:17" s="383" customFormat="1">
      <c r="O1009" s="1004"/>
      <c r="P1009" s="1004"/>
      <c r="Q1009" s="1004"/>
    </row>
    <row r="1010" spans="15:17" s="383" customFormat="1">
      <c r="O1010" s="1004"/>
      <c r="P1010" s="1004"/>
      <c r="Q1010" s="1004"/>
    </row>
    <row r="1011" spans="15:17" s="383" customFormat="1">
      <c r="O1011" s="1004"/>
      <c r="P1011" s="1004"/>
      <c r="Q1011" s="1004"/>
    </row>
    <row r="1012" spans="15:17" s="383" customFormat="1">
      <c r="O1012" s="1004"/>
      <c r="P1012" s="1004"/>
      <c r="Q1012" s="1004"/>
    </row>
    <row r="1013" spans="15:17" s="383" customFormat="1">
      <c r="O1013" s="1004"/>
      <c r="P1013" s="1004"/>
      <c r="Q1013" s="1004"/>
    </row>
    <row r="1014" spans="15:17" s="383" customFormat="1">
      <c r="O1014" s="1004"/>
      <c r="P1014" s="1004"/>
      <c r="Q1014" s="1004"/>
    </row>
    <row r="1015" spans="15:17" s="383" customFormat="1">
      <c r="O1015" s="1004"/>
      <c r="P1015" s="1004"/>
      <c r="Q1015" s="1004"/>
    </row>
    <row r="1016" spans="15:17" s="383" customFormat="1">
      <c r="O1016" s="1004"/>
      <c r="P1016" s="1004"/>
      <c r="Q1016" s="1004"/>
    </row>
    <row r="1017" spans="15:17" s="383" customFormat="1">
      <c r="O1017" s="1004"/>
      <c r="P1017" s="1004"/>
      <c r="Q1017" s="1004"/>
    </row>
    <row r="1018" spans="15:17" s="383" customFormat="1">
      <c r="O1018" s="1004"/>
      <c r="P1018" s="1004"/>
      <c r="Q1018" s="1004"/>
    </row>
    <row r="1019" spans="15:17" s="383" customFormat="1">
      <c r="O1019" s="1004"/>
      <c r="P1019" s="1004"/>
      <c r="Q1019" s="1004"/>
    </row>
    <row r="1020" spans="15:17" s="383" customFormat="1">
      <c r="O1020" s="1004"/>
      <c r="P1020" s="1004"/>
      <c r="Q1020" s="1004"/>
    </row>
    <row r="1021" spans="15:17" s="383" customFormat="1">
      <c r="O1021" s="1004"/>
      <c r="P1021" s="1004"/>
      <c r="Q1021" s="1004"/>
    </row>
    <row r="1022" spans="15:17" s="383" customFormat="1">
      <c r="O1022" s="1004"/>
      <c r="P1022" s="1004"/>
      <c r="Q1022" s="1004"/>
    </row>
    <row r="1023" spans="15:17" s="383" customFormat="1">
      <c r="O1023" s="1004"/>
      <c r="P1023" s="1004"/>
      <c r="Q1023" s="1004"/>
    </row>
    <row r="1024" spans="15:17" s="383" customFormat="1">
      <c r="O1024" s="1004"/>
      <c r="P1024" s="1004"/>
      <c r="Q1024" s="1004"/>
    </row>
    <row r="1025" spans="15:17" s="383" customFormat="1">
      <c r="O1025" s="1004"/>
      <c r="P1025" s="1004"/>
      <c r="Q1025" s="1004"/>
    </row>
    <row r="1026" spans="15:17" s="383" customFormat="1">
      <c r="O1026" s="1004"/>
      <c r="P1026" s="1004"/>
      <c r="Q1026" s="1004"/>
    </row>
    <row r="1027" spans="15:17" s="383" customFormat="1">
      <c r="O1027" s="1004"/>
      <c r="P1027" s="1004"/>
      <c r="Q1027" s="1004"/>
    </row>
    <row r="1028" spans="15:17" s="383" customFormat="1">
      <c r="O1028" s="1004"/>
      <c r="P1028" s="1004"/>
      <c r="Q1028" s="1004"/>
    </row>
    <row r="1029" spans="15:17" s="383" customFormat="1">
      <c r="O1029" s="1004"/>
      <c r="P1029" s="1004"/>
      <c r="Q1029" s="1004"/>
    </row>
    <row r="1030" spans="15:17" s="383" customFormat="1">
      <c r="O1030" s="1004"/>
      <c r="P1030" s="1004"/>
      <c r="Q1030" s="1004"/>
    </row>
    <row r="1031" spans="15:17" s="383" customFormat="1">
      <c r="O1031" s="1004"/>
      <c r="P1031" s="1004"/>
      <c r="Q1031" s="1004"/>
    </row>
    <row r="1032" spans="15:17" s="383" customFormat="1">
      <c r="O1032" s="1004"/>
      <c r="P1032" s="1004"/>
      <c r="Q1032" s="1004"/>
    </row>
    <row r="1033" spans="15:17" s="383" customFormat="1">
      <c r="O1033" s="1004"/>
      <c r="P1033" s="1004"/>
      <c r="Q1033" s="1004"/>
    </row>
    <row r="1034" spans="15:17" s="383" customFormat="1">
      <c r="O1034" s="1004"/>
      <c r="P1034" s="1004"/>
      <c r="Q1034" s="1004"/>
    </row>
    <row r="1035" spans="15:17" s="383" customFormat="1">
      <c r="O1035" s="1004"/>
      <c r="P1035" s="1004"/>
      <c r="Q1035" s="1004"/>
    </row>
    <row r="1036" spans="15:17" s="383" customFormat="1">
      <c r="O1036" s="1004"/>
      <c r="P1036" s="1004"/>
      <c r="Q1036" s="1004"/>
    </row>
    <row r="1037" spans="15:17" s="383" customFormat="1">
      <c r="O1037" s="1004"/>
      <c r="P1037" s="1004"/>
      <c r="Q1037" s="1004"/>
    </row>
    <row r="1038" spans="15:17" s="383" customFormat="1">
      <c r="O1038" s="1004"/>
      <c r="P1038" s="1004"/>
      <c r="Q1038" s="1004"/>
    </row>
    <row r="1039" spans="15:17" s="383" customFormat="1">
      <c r="O1039" s="1004"/>
      <c r="P1039" s="1004"/>
      <c r="Q1039" s="1004"/>
    </row>
    <row r="1040" spans="15:17" s="383" customFormat="1">
      <c r="O1040" s="1004"/>
      <c r="P1040" s="1004"/>
      <c r="Q1040" s="1004"/>
    </row>
    <row r="1041" spans="15:17" s="383" customFormat="1">
      <c r="O1041" s="1004"/>
      <c r="P1041" s="1004"/>
      <c r="Q1041" s="1004"/>
    </row>
    <row r="1042" spans="15:17" s="383" customFormat="1">
      <c r="O1042" s="1004"/>
      <c r="P1042" s="1004"/>
      <c r="Q1042" s="1004"/>
    </row>
    <row r="1043" spans="15:17" s="383" customFormat="1">
      <c r="O1043" s="1004"/>
      <c r="P1043" s="1004"/>
      <c r="Q1043" s="1004"/>
    </row>
    <row r="1044" spans="15:17" s="383" customFormat="1">
      <c r="O1044" s="1004"/>
      <c r="P1044" s="1004"/>
      <c r="Q1044" s="1004"/>
    </row>
    <row r="1045" spans="15:17" s="383" customFormat="1">
      <c r="O1045" s="1004"/>
      <c r="P1045" s="1004"/>
      <c r="Q1045" s="1004"/>
    </row>
    <row r="1046" spans="15:17" s="383" customFormat="1">
      <c r="O1046" s="1004"/>
      <c r="P1046" s="1004"/>
      <c r="Q1046" s="1004"/>
    </row>
    <row r="1047" spans="15:17" s="383" customFormat="1">
      <c r="O1047" s="1004"/>
      <c r="P1047" s="1004"/>
      <c r="Q1047" s="1004"/>
    </row>
    <row r="1048" spans="15:17" s="383" customFormat="1">
      <c r="O1048" s="1004"/>
      <c r="P1048" s="1004"/>
      <c r="Q1048" s="1004"/>
    </row>
    <row r="1049" spans="15:17" s="383" customFormat="1">
      <c r="O1049" s="1004"/>
      <c r="P1049" s="1004"/>
      <c r="Q1049" s="1004"/>
    </row>
    <row r="1050" spans="15:17" s="383" customFormat="1">
      <c r="O1050" s="1004"/>
      <c r="P1050" s="1004"/>
      <c r="Q1050" s="1004"/>
    </row>
    <row r="1051" spans="15:17" s="383" customFormat="1">
      <c r="O1051" s="1004"/>
      <c r="P1051" s="1004"/>
      <c r="Q1051" s="1004"/>
    </row>
    <row r="1052" spans="15:17" s="383" customFormat="1">
      <c r="O1052" s="1004"/>
      <c r="P1052" s="1004"/>
      <c r="Q1052" s="1004"/>
    </row>
    <row r="1053" spans="15:17" s="383" customFormat="1">
      <c r="O1053" s="1004"/>
      <c r="P1053" s="1004"/>
      <c r="Q1053" s="1004"/>
    </row>
    <row r="1054" spans="15:17" s="383" customFormat="1">
      <c r="O1054" s="1004"/>
      <c r="P1054" s="1004"/>
      <c r="Q1054" s="1004"/>
    </row>
    <row r="1055" spans="15:17" s="383" customFormat="1">
      <c r="O1055" s="1004"/>
      <c r="P1055" s="1004"/>
      <c r="Q1055" s="1004"/>
    </row>
    <row r="1056" spans="15:17" s="383" customFormat="1">
      <c r="O1056" s="1004"/>
      <c r="P1056" s="1004"/>
      <c r="Q1056" s="1004"/>
    </row>
    <row r="1057" spans="15:17" s="383" customFormat="1">
      <c r="O1057" s="1004"/>
      <c r="P1057" s="1004"/>
      <c r="Q1057" s="1004"/>
    </row>
    <row r="1058" spans="15:17" s="383" customFormat="1">
      <c r="O1058" s="1004"/>
      <c r="P1058" s="1004"/>
      <c r="Q1058" s="1004"/>
    </row>
    <row r="1059" spans="15:17" s="383" customFormat="1">
      <c r="O1059" s="1004"/>
      <c r="P1059" s="1004"/>
      <c r="Q1059" s="1004"/>
    </row>
    <row r="1060" spans="15:17" s="383" customFormat="1">
      <c r="O1060" s="1004"/>
      <c r="P1060" s="1004"/>
      <c r="Q1060" s="1004"/>
    </row>
    <row r="1061" spans="15:17" s="383" customFormat="1">
      <c r="O1061" s="1004"/>
      <c r="P1061" s="1004"/>
      <c r="Q1061" s="1004"/>
    </row>
    <row r="1062" spans="15:17" s="383" customFormat="1">
      <c r="O1062" s="1004"/>
      <c r="P1062" s="1004"/>
      <c r="Q1062" s="1004"/>
    </row>
    <row r="1063" spans="15:17" s="383" customFormat="1">
      <c r="O1063" s="1004"/>
      <c r="P1063" s="1004"/>
      <c r="Q1063" s="1004"/>
    </row>
    <row r="1064" spans="15:17" s="383" customFormat="1">
      <c r="O1064" s="1004"/>
      <c r="P1064" s="1004"/>
      <c r="Q1064" s="1004"/>
    </row>
    <row r="1065" spans="15:17" s="383" customFormat="1">
      <c r="O1065" s="1004"/>
      <c r="P1065" s="1004"/>
      <c r="Q1065" s="1004"/>
    </row>
    <row r="1066" spans="15:17" s="383" customFormat="1">
      <c r="O1066" s="1004"/>
      <c r="P1066" s="1004"/>
      <c r="Q1066" s="1004"/>
    </row>
    <row r="1067" spans="15:17" s="383" customFormat="1">
      <c r="O1067" s="1004"/>
      <c r="P1067" s="1004"/>
      <c r="Q1067" s="1004"/>
    </row>
    <row r="1068" spans="15:17" s="383" customFormat="1">
      <c r="O1068" s="1004"/>
      <c r="P1068" s="1004"/>
      <c r="Q1068" s="1004"/>
    </row>
    <row r="1069" spans="15:17" s="383" customFormat="1">
      <c r="O1069" s="1004"/>
      <c r="P1069" s="1004"/>
      <c r="Q1069" s="1004"/>
    </row>
    <row r="1070" spans="15:17" s="383" customFormat="1">
      <c r="O1070" s="1004"/>
      <c r="P1070" s="1004"/>
      <c r="Q1070" s="1004"/>
    </row>
    <row r="1071" spans="15:17" s="383" customFormat="1">
      <c r="O1071" s="1004"/>
      <c r="P1071" s="1004"/>
      <c r="Q1071" s="1004"/>
    </row>
    <row r="1072" spans="15:17" s="383" customFormat="1">
      <c r="O1072" s="1004"/>
      <c r="P1072" s="1004"/>
      <c r="Q1072" s="1004"/>
    </row>
    <row r="1073" spans="15:17" s="383" customFormat="1">
      <c r="O1073" s="1004"/>
      <c r="P1073" s="1004"/>
      <c r="Q1073" s="1004"/>
    </row>
    <row r="1074" spans="15:17" s="383" customFormat="1">
      <c r="O1074" s="1004"/>
      <c r="P1074" s="1004"/>
      <c r="Q1074" s="1004"/>
    </row>
    <row r="1075" spans="15:17" s="383" customFormat="1">
      <c r="O1075" s="1004"/>
      <c r="P1075" s="1004"/>
      <c r="Q1075" s="1004"/>
    </row>
    <row r="1076" spans="15:17" s="383" customFormat="1">
      <c r="O1076" s="1004"/>
      <c r="P1076" s="1004"/>
      <c r="Q1076" s="1004"/>
    </row>
    <row r="1077" spans="15:17" s="383" customFormat="1">
      <c r="O1077" s="1004"/>
      <c r="P1077" s="1004"/>
      <c r="Q1077" s="1004"/>
    </row>
    <row r="1078" spans="15:17" s="383" customFormat="1">
      <c r="O1078" s="1004"/>
      <c r="P1078" s="1004"/>
      <c r="Q1078" s="1004"/>
    </row>
    <row r="1079" spans="15:17" s="383" customFormat="1">
      <c r="O1079" s="1004"/>
      <c r="P1079" s="1004"/>
      <c r="Q1079" s="1004"/>
    </row>
    <row r="1080" spans="15:17" s="383" customFormat="1">
      <c r="O1080" s="1004"/>
      <c r="P1080" s="1004"/>
      <c r="Q1080" s="1004"/>
    </row>
    <row r="1081" spans="15:17" s="383" customFormat="1">
      <c r="O1081" s="1004"/>
      <c r="P1081" s="1004"/>
      <c r="Q1081" s="1004"/>
    </row>
    <row r="1082" spans="15:17" s="383" customFormat="1">
      <c r="O1082" s="1004"/>
      <c r="P1082" s="1004"/>
      <c r="Q1082" s="1004"/>
    </row>
    <row r="1083" spans="15:17" s="383" customFormat="1">
      <c r="O1083" s="1004"/>
      <c r="P1083" s="1004"/>
      <c r="Q1083" s="1004"/>
    </row>
    <row r="1084" spans="15:17" s="383" customFormat="1">
      <c r="O1084" s="1004"/>
      <c r="P1084" s="1004"/>
      <c r="Q1084" s="1004"/>
    </row>
    <row r="1085" spans="15:17" s="383" customFormat="1">
      <c r="O1085" s="1004"/>
      <c r="P1085" s="1004"/>
      <c r="Q1085" s="1004"/>
    </row>
    <row r="1086" spans="15:17" s="383" customFormat="1">
      <c r="O1086" s="1004"/>
      <c r="P1086" s="1004"/>
      <c r="Q1086" s="1004"/>
    </row>
    <row r="1087" spans="15:17" s="383" customFormat="1">
      <c r="O1087" s="1004"/>
      <c r="P1087" s="1004"/>
      <c r="Q1087" s="1004"/>
    </row>
    <row r="1088" spans="15:17" s="383" customFormat="1">
      <c r="O1088" s="1004"/>
      <c r="P1088" s="1004"/>
      <c r="Q1088" s="1004"/>
    </row>
    <row r="1089" spans="15:17" s="383" customFormat="1">
      <c r="O1089" s="1004"/>
      <c r="P1089" s="1004"/>
      <c r="Q1089" s="1004"/>
    </row>
    <row r="1090" spans="15:17" s="383" customFormat="1">
      <c r="O1090" s="1004"/>
      <c r="P1090" s="1004"/>
      <c r="Q1090" s="1004"/>
    </row>
    <row r="1091" spans="15:17" s="383" customFormat="1">
      <c r="O1091" s="1004"/>
      <c r="P1091" s="1004"/>
      <c r="Q1091" s="1004"/>
    </row>
    <row r="1092" spans="15:17" s="383" customFormat="1">
      <c r="O1092" s="1004"/>
      <c r="P1092" s="1004"/>
      <c r="Q1092" s="1004"/>
    </row>
    <row r="1093" spans="15:17" s="383" customFormat="1">
      <c r="O1093" s="1004"/>
      <c r="P1093" s="1004"/>
      <c r="Q1093" s="1004"/>
    </row>
    <row r="1094" spans="15:17" s="383" customFormat="1">
      <c r="O1094" s="1004"/>
      <c r="P1094" s="1004"/>
      <c r="Q1094" s="1004"/>
    </row>
    <row r="1095" spans="15:17" s="383" customFormat="1">
      <c r="O1095" s="1004"/>
      <c r="P1095" s="1004"/>
      <c r="Q1095" s="1004"/>
    </row>
    <row r="1096" spans="15:17" s="383" customFormat="1">
      <c r="O1096" s="1004"/>
      <c r="P1096" s="1004"/>
      <c r="Q1096" s="1004"/>
    </row>
    <row r="1097" spans="15:17" s="383" customFormat="1">
      <c r="O1097" s="1004"/>
      <c r="P1097" s="1004"/>
      <c r="Q1097" s="1004"/>
    </row>
    <row r="1098" spans="15:17" s="383" customFormat="1">
      <c r="O1098" s="1004"/>
      <c r="P1098" s="1004"/>
      <c r="Q1098" s="1004"/>
    </row>
    <row r="1099" spans="15:17" s="383" customFormat="1">
      <c r="O1099" s="1004"/>
      <c r="P1099" s="1004"/>
      <c r="Q1099" s="1004"/>
    </row>
    <row r="1100" spans="15:17" s="383" customFormat="1">
      <c r="O1100" s="1004"/>
      <c r="P1100" s="1004"/>
      <c r="Q1100" s="1004"/>
    </row>
    <row r="1101" spans="15:17" s="383" customFormat="1">
      <c r="O1101" s="1004"/>
      <c r="P1101" s="1004"/>
      <c r="Q1101" s="1004"/>
    </row>
    <row r="1102" spans="15:17" s="383" customFormat="1">
      <c r="O1102" s="1004"/>
      <c r="P1102" s="1004"/>
      <c r="Q1102" s="1004"/>
    </row>
    <row r="1103" spans="15:17" s="383" customFormat="1">
      <c r="O1103" s="1004"/>
      <c r="P1103" s="1004"/>
      <c r="Q1103" s="1004"/>
    </row>
    <row r="1104" spans="15:17" s="383" customFormat="1">
      <c r="O1104" s="1004"/>
      <c r="P1104" s="1004"/>
      <c r="Q1104" s="1004"/>
    </row>
    <row r="1105" spans="15:17" s="383" customFormat="1">
      <c r="O1105" s="1004"/>
      <c r="P1105" s="1004"/>
      <c r="Q1105" s="1004"/>
    </row>
    <row r="1106" spans="15:17" s="383" customFormat="1">
      <c r="O1106" s="1004"/>
      <c r="P1106" s="1004"/>
      <c r="Q1106" s="1004"/>
    </row>
    <row r="1107" spans="15:17" s="383" customFormat="1">
      <c r="O1107" s="1004"/>
      <c r="P1107" s="1004"/>
      <c r="Q1107" s="1004"/>
    </row>
    <row r="1108" spans="15:17" s="383" customFormat="1">
      <c r="O1108" s="1004"/>
      <c r="P1108" s="1004"/>
      <c r="Q1108" s="1004"/>
    </row>
  </sheetData>
  <sheetProtection algorithmName="SHA-512" hashValue="0OEvzfCZTs+Zqqa9Yd/MiTHzZrj8gxP5pyo7PPhzERgOXjAmE6zbgGb8HB8QjYp3pBqFjiL/RTKn4OBRlKV3Fw==" saltValue="mJBLfxeheXXWgmyfwcAKHg==" spinCount="100000" sheet="1" objects="1" scenarios="1"/>
  <mergeCells count="220">
    <mergeCell ref="A3:R3"/>
    <mergeCell ref="R27:R28"/>
    <mergeCell ref="K51:K58"/>
    <mergeCell ref="A51:A52"/>
    <mergeCell ref="K60:K61"/>
    <mergeCell ref="F54:F58"/>
    <mergeCell ref="B53:B58"/>
    <mergeCell ref="C53:C58"/>
    <mergeCell ref="M53:M58"/>
    <mergeCell ref="D54:D58"/>
    <mergeCell ref="G54:G58"/>
    <mergeCell ref="H54:H58"/>
    <mergeCell ref="Q38:Q39"/>
    <mergeCell ref="Q43:Q44"/>
    <mergeCell ref="Q48:Q49"/>
    <mergeCell ref="L60:L61"/>
    <mergeCell ref="M60:M61"/>
    <mergeCell ref="N60:N61"/>
    <mergeCell ref="O60:O61"/>
    <mergeCell ref="P60:P61"/>
    <mergeCell ref="Q60:Q61"/>
    <mergeCell ref="O36:O37"/>
    <mergeCell ref="P36:P37"/>
    <mergeCell ref="P34:P35"/>
    <mergeCell ref="Q34:Q35"/>
    <mergeCell ref="O34:O35"/>
    <mergeCell ref="Q36:Q37"/>
    <mergeCell ref="N32:N33"/>
    <mergeCell ref="R60:R61"/>
    <mergeCell ref="R46:R47"/>
    <mergeCell ref="R48:R49"/>
    <mergeCell ref="R43:R44"/>
    <mergeCell ref="R32:R33"/>
    <mergeCell ref="R34:R35"/>
    <mergeCell ref="R36:R37"/>
    <mergeCell ref="R38:R39"/>
    <mergeCell ref="N48:N49"/>
    <mergeCell ref="O48:O49"/>
    <mergeCell ref="P48:P49"/>
    <mergeCell ref="P46:P47"/>
    <mergeCell ref="Q46:Q47"/>
    <mergeCell ref="Q53:Q54"/>
    <mergeCell ref="R41:R42"/>
    <mergeCell ref="P53:P54"/>
    <mergeCell ref="R51:R58"/>
    <mergeCell ref="O46:O47"/>
    <mergeCell ref="N46:N47"/>
    <mergeCell ref="O41:O42"/>
    <mergeCell ref="P41:P42"/>
    <mergeCell ref="Q41:Q42"/>
    <mergeCell ref="M38:M39"/>
    <mergeCell ref="N38:N39"/>
    <mergeCell ref="O38:O39"/>
    <mergeCell ref="P38:P39"/>
    <mergeCell ref="C43:C44"/>
    <mergeCell ref="L43:L44"/>
    <mergeCell ref="M43:M44"/>
    <mergeCell ref="N43:N44"/>
    <mergeCell ref="O43:O44"/>
    <mergeCell ref="P43:P44"/>
    <mergeCell ref="K43:K44"/>
    <mergeCell ref="N41:N42"/>
    <mergeCell ref="E54:E58"/>
    <mergeCell ref="A41:A42"/>
    <mergeCell ref="B41:B42"/>
    <mergeCell ref="C41:C42"/>
    <mergeCell ref="C38:C39"/>
    <mergeCell ref="L38:L39"/>
    <mergeCell ref="L41:L42"/>
    <mergeCell ref="M41:M42"/>
    <mergeCell ref="B38:B39"/>
    <mergeCell ref="K38:K39"/>
    <mergeCell ref="K41:K42"/>
    <mergeCell ref="I54:I58"/>
    <mergeCell ref="J54:J58"/>
    <mergeCell ref="L53:L58"/>
    <mergeCell ref="B43:B44"/>
    <mergeCell ref="A38:A39"/>
    <mergeCell ref="L48:L49"/>
    <mergeCell ref="K46:K47"/>
    <mergeCell ref="K48:K49"/>
    <mergeCell ref="M48:M49"/>
    <mergeCell ref="L46:L47"/>
    <mergeCell ref="M46:M47"/>
    <mergeCell ref="B66:D66"/>
    <mergeCell ref="B67:D67"/>
    <mergeCell ref="B68:D68"/>
    <mergeCell ref="B69:D69"/>
    <mergeCell ref="B63:D63"/>
    <mergeCell ref="A46:A47"/>
    <mergeCell ref="B46:B47"/>
    <mergeCell ref="C46:C47"/>
    <mergeCell ref="A43:A44"/>
    <mergeCell ref="A62:D62"/>
    <mergeCell ref="A63:A73"/>
    <mergeCell ref="A48:A49"/>
    <mergeCell ref="A60:A61"/>
    <mergeCell ref="B60:B61"/>
    <mergeCell ref="C60:C61"/>
    <mergeCell ref="B48:B49"/>
    <mergeCell ref="C48:C49"/>
    <mergeCell ref="A53:A58"/>
    <mergeCell ref="A36:A37"/>
    <mergeCell ref="B36:B37"/>
    <mergeCell ref="C36:C37"/>
    <mergeCell ref="L36:L37"/>
    <mergeCell ref="B34:B35"/>
    <mergeCell ref="C34:C35"/>
    <mergeCell ref="L34:L35"/>
    <mergeCell ref="M34:M35"/>
    <mergeCell ref="N34:N35"/>
    <mergeCell ref="A34:A35"/>
    <mergeCell ref="K34:K35"/>
    <mergeCell ref="K36:K37"/>
    <mergeCell ref="M36:M37"/>
    <mergeCell ref="N36:N37"/>
    <mergeCell ref="R18:R26"/>
    <mergeCell ref="N20:N22"/>
    <mergeCell ref="O20:O22"/>
    <mergeCell ref="P20:P22"/>
    <mergeCell ref="N15:N16"/>
    <mergeCell ref="C15:C16"/>
    <mergeCell ref="D15:D16"/>
    <mergeCell ref="N27:N28"/>
    <mergeCell ref="O27:O28"/>
    <mergeCell ref="P27:P28"/>
    <mergeCell ref="M15:M16"/>
    <mergeCell ref="K27:K28"/>
    <mergeCell ref="K18:K26"/>
    <mergeCell ref="Q27:Q28"/>
    <mergeCell ref="N23:N24"/>
    <mergeCell ref="O23:O24"/>
    <mergeCell ref="P23:P24"/>
    <mergeCell ref="Q23:Q24"/>
    <mergeCell ref="Q25:Q26"/>
    <mergeCell ref="N25:N26"/>
    <mergeCell ref="O25:O26"/>
    <mergeCell ref="P25:P26"/>
    <mergeCell ref="O15:Q15"/>
    <mergeCell ref="E15:E16"/>
    <mergeCell ref="F15:F16"/>
    <mergeCell ref="G15:G16"/>
    <mergeCell ref="L18:L19"/>
    <mergeCell ref="N18:N19"/>
    <mergeCell ref="O18:O19"/>
    <mergeCell ref="A14:L14"/>
    <mergeCell ref="M18:M19"/>
    <mergeCell ref="L15:L16"/>
    <mergeCell ref="A76:B76"/>
    <mergeCell ref="A20:A22"/>
    <mergeCell ref="L23:L24"/>
    <mergeCell ref="B64:D64"/>
    <mergeCell ref="B65:D65"/>
    <mergeCell ref="P51:P52"/>
    <mergeCell ref="Q51:Q52"/>
    <mergeCell ref="B51:B52"/>
    <mergeCell ref="C51:C52"/>
    <mergeCell ref="L51:L52"/>
    <mergeCell ref="M51:M52"/>
    <mergeCell ref="N51:N52"/>
    <mergeCell ref="O51:O52"/>
    <mergeCell ref="B72:D72"/>
    <mergeCell ref="B73:D73"/>
    <mergeCell ref="B70:D70"/>
    <mergeCell ref="B71:D71"/>
    <mergeCell ref="M32:M33"/>
    <mergeCell ref="A25:A26"/>
    <mergeCell ref="A32:A33"/>
    <mergeCell ref="B32:B33"/>
    <mergeCell ref="C32:C33"/>
    <mergeCell ref="L32:L33"/>
    <mergeCell ref="M20:M22"/>
    <mergeCell ref="O32:O33"/>
    <mergeCell ref="P32:P33"/>
    <mergeCell ref="Q32:Q33"/>
    <mergeCell ref="B23:B24"/>
    <mergeCell ref="K15:K16"/>
    <mergeCell ref="A15:A16"/>
    <mergeCell ref="B15:B16"/>
    <mergeCell ref="B25:B26"/>
    <mergeCell ref="A23:A24"/>
    <mergeCell ref="A27:A28"/>
    <mergeCell ref="B27:B28"/>
    <mergeCell ref="C27:C28"/>
    <mergeCell ref="M23:M24"/>
    <mergeCell ref="C23:C24"/>
    <mergeCell ref="L27:L28"/>
    <mergeCell ref="M27:M28"/>
    <mergeCell ref="C25:C26"/>
    <mergeCell ref="L25:L26"/>
    <mergeCell ref="M25:M26"/>
    <mergeCell ref="K32:K33"/>
    <mergeCell ref="Q20:Q22"/>
    <mergeCell ref="C20:C22"/>
    <mergeCell ref="L20:L22"/>
    <mergeCell ref="A18:A19"/>
    <mergeCell ref="A2:L2"/>
    <mergeCell ref="A12:R12"/>
    <mergeCell ref="Q29:Q30"/>
    <mergeCell ref="R29:R30"/>
    <mergeCell ref="A29:A30"/>
    <mergeCell ref="B29:B30"/>
    <mergeCell ref="C29:C30"/>
    <mergeCell ref="K29:K30"/>
    <mergeCell ref="L29:L30"/>
    <mergeCell ref="M29:M30"/>
    <mergeCell ref="N29:N30"/>
    <mergeCell ref="O29:O30"/>
    <mergeCell ref="P29:P30"/>
    <mergeCell ref="B20:B22"/>
    <mergeCell ref="O2:R2"/>
    <mergeCell ref="A11:E11"/>
    <mergeCell ref="R15:R16"/>
    <mergeCell ref="B18:B19"/>
    <mergeCell ref="C18:C19"/>
    <mergeCell ref="H15:H16"/>
    <mergeCell ref="I15:I16"/>
    <mergeCell ref="J15:J16"/>
    <mergeCell ref="P18:P19"/>
    <mergeCell ref="Q18:Q19"/>
  </mergeCells>
  <conditionalFormatting sqref="G16:J16 E15:L15">
    <cfRule type="dataBar" priority="2">
      <dataBar>
        <cfvo type="min"/>
        <cfvo type="max"/>
        <color rgb="FF638EC6"/>
      </dataBar>
      <extLst>
        <ext xmlns:x14="http://schemas.microsoft.com/office/spreadsheetml/2009/9/main" uri="{B025F937-C7B1-47D3-B67F-A62EFF666E3E}">
          <x14:id>{0521AD24-E4FE-4337-B16A-F2B20FA85FBF}</x14:id>
        </ext>
      </extLst>
    </cfRule>
  </conditionalFormatting>
  <pageMargins left="0.7" right="0.7" top="0.75" bottom="0.75" header="0.3" footer="0.3"/>
  <pageSetup paperSize="8" scale="7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0521AD24-E4FE-4337-B16A-F2B20FA85FBF}">
            <x14:dataBar minLength="0" maxLength="100" border="1" negativeBarBorderColorSameAsPositive="0">
              <x14:cfvo type="autoMin"/>
              <x14:cfvo type="autoMax"/>
              <x14:borderColor rgb="FF638EC6"/>
              <x14:negativeFillColor rgb="FFFF0000"/>
              <x14:negativeBorderColor rgb="FFFF0000"/>
              <x14:axisColor rgb="FF000000"/>
            </x14:dataBar>
          </x14:cfRule>
          <xm:sqref>G16:J16 E15:L15</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CEE27-589B-48F3-82CA-C3BF7E8DD453}">
  <dimension ref="A1:V1250"/>
  <sheetViews>
    <sheetView zoomScale="80" zoomScaleNormal="80" workbookViewId="0">
      <pane xSplit="12" ySplit="14" topLeftCell="M15" activePane="bottomRight" state="frozen"/>
      <selection pane="topRight" activeCell="P1" sqref="P1"/>
      <selection pane="bottomLeft" activeCell="A11" sqref="A11"/>
      <selection pane="bottomRight" activeCell="AB36" sqref="AB36"/>
    </sheetView>
  </sheetViews>
  <sheetFormatPr defaultColWidth="9.109375" defaultRowHeight="13.2"/>
  <cols>
    <col min="1" max="1" width="15.109375" style="383" customWidth="1"/>
    <col min="2" max="2" width="31.44140625" style="383" customWidth="1"/>
    <col min="3" max="3" width="4.33203125" style="383" customWidth="1"/>
    <col min="4" max="4" width="5.5546875" style="383" customWidth="1"/>
    <col min="5" max="6" width="10.6640625" style="386" hidden="1" customWidth="1"/>
    <col min="7" max="7" width="10.6640625" style="383" hidden="1" customWidth="1"/>
    <col min="8" max="8" width="14" style="383" customWidth="1"/>
    <col min="9" max="9" width="14.6640625" style="383" customWidth="1"/>
    <col min="10" max="10" width="13.88671875" style="383" customWidth="1"/>
    <col min="11" max="11" width="13.109375" style="383" customWidth="1"/>
    <col min="12" max="12" width="61" style="383" customWidth="1"/>
    <col min="13" max="13" width="12.33203125" style="383" customWidth="1"/>
    <col min="14" max="14" width="30.5546875" style="383" customWidth="1"/>
    <col min="15" max="17" width="6.33203125" style="1004" customWidth="1"/>
    <col min="18" max="18" width="29.44140625" style="383" customWidth="1"/>
    <col min="19" max="19" width="27" style="383" hidden="1" customWidth="1"/>
    <col min="20" max="20" width="0" style="383" hidden="1" customWidth="1"/>
    <col min="21" max="21" width="8.88671875" hidden="1" customWidth="1"/>
    <col min="22" max="22" width="8.88671875" customWidth="1"/>
    <col min="23" max="16384" width="9.109375" style="383"/>
  </cols>
  <sheetData>
    <row r="1" spans="1:22" ht="25.5" customHeight="1">
      <c r="A1" s="1935" t="s">
        <v>1541</v>
      </c>
      <c r="B1" s="1935"/>
      <c r="C1" s="1935"/>
      <c r="D1" s="1935"/>
      <c r="E1" s="1935"/>
      <c r="F1" s="1935"/>
      <c r="G1" s="1935"/>
      <c r="H1" s="1935"/>
      <c r="I1" s="1935"/>
      <c r="J1" s="1935"/>
      <c r="K1" s="1935"/>
      <c r="L1" s="1935"/>
      <c r="M1" s="1935"/>
      <c r="N1" s="1935"/>
      <c r="O1" s="1935"/>
      <c r="P1" s="1935"/>
      <c r="Q1" s="1935"/>
      <c r="R1" s="1935"/>
      <c r="U1" s="383"/>
      <c r="V1" s="383"/>
    </row>
    <row r="2" spans="1:22" ht="29.25" customHeight="1">
      <c r="A2" s="1936" t="s">
        <v>3613</v>
      </c>
      <c r="B2" s="1936"/>
      <c r="C2" s="1936"/>
      <c r="D2" s="1936"/>
      <c r="E2" s="1936"/>
      <c r="F2" s="1936"/>
      <c r="G2" s="1936"/>
      <c r="H2" s="1936"/>
      <c r="I2" s="1936"/>
      <c r="J2" s="1936"/>
      <c r="K2" s="1936"/>
      <c r="L2" s="1936"/>
      <c r="M2" s="1936"/>
      <c r="N2" s="1936"/>
      <c r="O2" s="1936"/>
      <c r="P2" s="1936"/>
      <c r="Q2" s="1936"/>
      <c r="R2" s="1936"/>
      <c r="U2" s="383"/>
      <c r="V2" s="383"/>
    </row>
    <row r="3" spans="1:22" ht="15.75" customHeight="1">
      <c r="A3" s="550"/>
      <c r="B3" s="550"/>
      <c r="C3" s="550"/>
      <c r="D3" s="550"/>
      <c r="E3" s="550"/>
      <c r="F3" s="550"/>
      <c r="G3" s="550"/>
      <c r="H3" s="550"/>
      <c r="I3" s="550"/>
      <c r="J3" s="550"/>
      <c r="K3" s="550"/>
      <c r="L3" s="382"/>
      <c r="M3" s="387"/>
      <c r="N3" s="387"/>
      <c r="O3" s="550"/>
      <c r="P3" s="550"/>
      <c r="Q3" s="550"/>
      <c r="R3" s="443"/>
      <c r="U3" s="383"/>
      <c r="V3" s="383"/>
    </row>
    <row r="4" spans="1:22" s="390" customFormat="1" ht="11.4">
      <c r="A4" s="390" t="str">
        <f>A15</f>
        <v>06.01.01 (T)</v>
      </c>
      <c r="B4" s="390" t="str">
        <f>B15</f>
        <v>Užtikrinti efektyvią savivaldybės biudžetinių socialinių paslaugų įstaigų veiklą</v>
      </c>
      <c r="C4" s="549"/>
      <c r="D4" s="549"/>
      <c r="E4" s="549"/>
      <c r="F4" s="549"/>
      <c r="G4" s="549"/>
      <c r="H4" s="387"/>
      <c r="I4" s="387"/>
      <c r="J4" s="387"/>
      <c r="K4" s="387"/>
      <c r="L4" s="387"/>
      <c r="M4" s="387"/>
      <c r="N4" s="387"/>
      <c r="O4" s="441"/>
      <c r="P4" s="441"/>
      <c r="Q4" s="441"/>
      <c r="R4" s="387"/>
    </row>
    <row r="5" spans="1:22" s="390" customFormat="1" ht="11.4">
      <c r="A5" s="390" t="str">
        <f>A32</f>
        <v>06.01.02. (T)</v>
      </c>
      <c r="B5" s="390" t="str">
        <f>B32</f>
        <v>Užtikrinti socialinių išmokų ir kompensacijų mokėjimą</v>
      </c>
      <c r="C5" s="549"/>
      <c r="D5" s="549"/>
      <c r="E5" s="549"/>
      <c r="F5" s="549"/>
      <c r="G5" s="549"/>
      <c r="H5" s="387"/>
      <c r="I5" s="387"/>
      <c r="J5" s="387"/>
      <c r="K5" s="387"/>
      <c r="L5" s="387"/>
      <c r="M5" s="387"/>
      <c r="N5" s="387"/>
      <c r="O5" s="441"/>
      <c r="P5" s="441"/>
      <c r="Q5" s="441"/>
      <c r="R5" s="387"/>
    </row>
    <row r="6" spans="1:22" s="390" customFormat="1" ht="10.95" customHeight="1">
      <c r="A6" s="390" t="str">
        <f>A93</f>
        <v>06.01.03. (T)</v>
      </c>
      <c r="B6" s="390" t="str">
        <f>B93</f>
        <v>Pagerinti  ir plėsti socialinių paslaugų kokybę ir prieinamumą, bei sukurti jų plėtrai reikalingą  infrastruktūrą</v>
      </c>
      <c r="C6" s="549"/>
      <c r="D6" s="549"/>
      <c r="E6" s="549"/>
      <c r="F6" s="549"/>
      <c r="G6" s="549"/>
      <c r="H6" s="387"/>
      <c r="I6" s="387"/>
      <c r="J6" s="387"/>
      <c r="K6" s="387"/>
      <c r="L6" s="387"/>
      <c r="M6" s="387"/>
      <c r="N6" s="387"/>
      <c r="O6" s="441"/>
      <c r="P6" s="441"/>
      <c r="Q6" s="441"/>
      <c r="R6" s="387"/>
    </row>
    <row r="7" spans="1:22" s="390" customFormat="1" ht="11.4">
      <c r="A7" s="390" t="str">
        <f>A147</f>
        <v>06.02.01. (T)</v>
      </c>
      <c r="B7" s="390" t="str">
        <f>B147</f>
        <v>Skatinti socialinių paslaugų plėtrą bendruomenėje</v>
      </c>
      <c r="C7" s="549"/>
      <c r="D7" s="549"/>
      <c r="E7" s="549"/>
      <c r="F7" s="549"/>
      <c r="G7" s="549"/>
      <c r="H7" s="387"/>
      <c r="I7" s="387"/>
      <c r="J7" s="387"/>
      <c r="K7" s="387"/>
      <c r="L7" s="387"/>
      <c r="M7" s="387"/>
      <c r="N7" s="387"/>
      <c r="O7" s="441"/>
      <c r="P7" s="441"/>
      <c r="Q7" s="441"/>
      <c r="R7" s="387"/>
    </row>
    <row r="8" spans="1:22" s="390" customFormat="1" ht="11.4">
      <c r="A8" s="387"/>
      <c r="B8" s="387"/>
      <c r="C8" s="387"/>
      <c r="D8" s="387"/>
      <c r="E8" s="387"/>
      <c r="F8" s="387"/>
      <c r="G8" s="387"/>
      <c r="H8" s="387"/>
      <c r="I8" s="387"/>
      <c r="J8" s="387"/>
      <c r="K8" s="387"/>
      <c r="L8" s="387"/>
      <c r="M8" s="387"/>
      <c r="N8" s="387"/>
      <c r="O8" s="441"/>
      <c r="P8" s="441"/>
      <c r="Q8" s="441"/>
      <c r="R8" s="387"/>
    </row>
    <row r="9" spans="1:22" ht="16.2" customHeight="1">
      <c r="A9" s="1880" t="s">
        <v>1463</v>
      </c>
      <c r="B9" s="1880"/>
      <c r="C9" s="1880"/>
      <c r="D9" s="1880"/>
      <c r="E9" s="1880"/>
      <c r="F9" s="443"/>
      <c r="G9" s="443"/>
      <c r="H9" s="443"/>
      <c r="I9" s="382"/>
      <c r="J9" s="382"/>
      <c r="K9" s="382"/>
      <c r="L9" s="382"/>
      <c r="M9" s="387"/>
      <c r="N9" s="387"/>
      <c r="O9" s="550"/>
      <c r="P9" s="550"/>
      <c r="Q9" s="550"/>
      <c r="R9" s="443"/>
      <c r="U9" s="383"/>
      <c r="V9" s="383"/>
    </row>
    <row r="10" spans="1:22" ht="20.25" customHeight="1">
      <c r="A10" s="1880" t="s">
        <v>3865</v>
      </c>
      <c r="B10" s="1880"/>
      <c r="C10" s="1880"/>
      <c r="D10" s="1880"/>
      <c r="E10" s="1880"/>
      <c r="F10" s="1880"/>
      <c r="G10" s="1880"/>
      <c r="H10" s="1880"/>
      <c r="I10" s="1880"/>
      <c r="J10" s="1880"/>
      <c r="K10" s="382"/>
      <c r="L10" s="382"/>
      <c r="M10" s="387"/>
      <c r="N10" s="387"/>
      <c r="O10" s="550"/>
      <c r="P10" s="550"/>
      <c r="Q10" s="550"/>
      <c r="R10" s="443"/>
      <c r="U10" s="383"/>
      <c r="V10" s="383"/>
    </row>
    <row r="11" spans="1:22" s="390" customFormat="1" ht="11.4">
      <c r="A11" s="438"/>
      <c r="B11" s="387"/>
      <c r="C11" s="387"/>
      <c r="D11" s="387"/>
      <c r="E11" s="387"/>
      <c r="F11" s="431"/>
      <c r="G11" s="387"/>
      <c r="H11" s="387"/>
      <c r="I11" s="387"/>
      <c r="J11" s="387"/>
      <c r="K11" s="387"/>
      <c r="L11" s="387"/>
      <c r="M11" s="387"/>
      <c r="N11" s="387"/>
      <c r="O11" s="441"/>
      <c r="P11" s="441"/>
      <c r="Q11" s="441"/>
      <c r="R11" s="387"/>
    </row>
    <row r="12" spans="1:22" ht="19.5" customHeight="1">
      <c r="A12" s="1880" t="s">
        <v>3873</v>
      </c>
      <c r="B12" s="1880"/>
      <c r="C12" s="1880"/>
      <c r="D12" s="1880"/>
      <c r="E12" s="1880"/>
      <c r="F12" s="1880"/>
      <c r="G12" s="1880"/>
      <c r="H12" s="1880"/>
      <c r="I12" s="1880"/>
      <c r="J12" s="1880"/>
      <c r="K12" s="1880"/>
      <c r="L12" s="1880"/>
      <c r="M12" s="1880"/>
      <c r="N12" s="1880"/>
      <c r="O12" s="1880"/>
      <c r="P12" s="1880"/>
      <c r="Q12" s="1880"/>
      <c r="R12" s="1880"/>
      <c r="U12" s="383"/>
      <c r="V12" s="383"/>
    </row>
    <row r="13" spans="1:22" s="1004" customFormat="1" ht="30" customHeight="1">
      <c r="A13" s="1775" t="s">
        <v>999</v>
      </c>
      <c r="B13" s="1775" t="s">
        <v>2550</v>
      </c>
      <c r="C13" s="2031" t="s">
        <v>1368</v>
      </c>
      <c r="D13" s="2031" t="s">
        <v>1369</v>
      </c>
      <c r="E13" s="2040" t="s">
        <v>1388</v>
      </c>
      <c r="F13" s="2041" t="s">
        <v>1499</v>
      </c>
      <c r="G13" s="1996" t="s">
        <v>1385</v>
      </c>
      <c r="H13" s="1775" t="s">
        <v>2568</v>
      </c>
      <c r="I13" s="1775" t="s">
        <v>2567</v>
      </c>
      <c r="J13" s="1775" t="s">
        <v>2569</v>
      </c>
      <c r="K13" s="1775" t="s">
        <v>3630</v>
      </c>
      <c r="L13" s="1775" t="s">
        <v>3909</v>
      </c>
      <c r="M13" s="1780" t="s">
        <v>1000</v>
      </c>
      <c r="N13" s="1780" t="s">
        <v>1390</v>
      </c>
      <c r="O13" s="1780" t="s">
        <v>1001</v>
      </c>
      <c r="P13" s="1780"/>
      <c r="Q13" s="1780"/>
      <c r="R13" s="1780" t="s">
        <v>1002</v>
      </c>
    </row>
    <row r="14" spans="1:22" s="1004" customFormat="1" ht="38.4" customHeight="1">
      <c r="A14" s="1775"/>
      <c r="B14" s="1775"/>
      <c r="C14" s="2031"/>
      <c r="D14" s="2031"/>
      <c r="E14" s="2040"/>
      <c r="F14" s="2041"/>
      <c r="G14" s="1996"/>
      <c r="H14" s="1775"/>
      <c r="I14" s="1775"/>
      <c r="J14" s="1775"/>
      <c r="K14" s="1775"/>
      <c r="L14" s="1775"/>
      <c r="M14" s="1780"/>
      <c r="N14" s="1780"/>
      <c r="O14" s="1007">
        <v>2024</v>
      </c>
      <c r="P14" s="1007">
        <v>2025</v>
      </c>
      <c r="Q14" s="1007">
        <v>2026</v>
      </c>
      <c r="R14" s="1780"/>
    </row>
    <row r="15" spans="1:22" ht="39" customHeight="1">
      <c r="A15" s="664" t="s">
        <v>2658</v>
      </c>
      <c r="B15" s="664" t="s">
        <v>1542</v>
      </c>
      <c r="C15" s="664"/>
      <c r="D15" s="664"/>
      <c r="E15" s="761">
        <f>SUM(E20,)</f>
        <v>1555.0619999999999</v>
      </c>
      <c r="F15" s="760">
        <f>H15/E15-1</f>
        <v>-2.8699177267530129E-2</v>
      </c>
      <c r="G15" s="761">
        <f t="shared" ref="G15" si="0">SUM(G20,)</f>
        <v>1736.1569999999999</v>
      </c>
      <c r="H15" s="761">
        <f>SUM(H20,)</f>
        <v>1510.433</v>
      </c>
      <c r="I15" s="761">
        <f>SUM(I20,)</f>
        <v>1514</v>
      </c>
      <c r="J15" s="761">
        <f t="shared" ref="J15" si="1">SUM(J20,)</f>
        <v>1519</v>
      </c>
      <c r="K15" s="762" t="s">
        <v>2929</v>
      </c>
      <c r="L15" s="738"/>
      <c r="M15" s="759" t="s">
        <v>1868</v>
      </c>
      <c r="N15" s="759" t="s">
        <v>1223</v>
      </c>
      <c r="O15" s="1146" t="s">
        <v>1727</v>
      </c>
      <c r="P15" s="1146" t="s">
        <v>2248</v>
      </c>
      <c r="Q15" s="1146" t="s">
        <v>2248</v>
      </c>
      <c r="R15" s="759" t="s">
        <v>1223</v>
      </c>
      <c r="U15" s="383"/>
      <c r="V15" s="383"/>
    </row>
    <row r="16" spans="1:22" ht="20.100000000000001" customHeight="1">
      <c r="A16" s="2032" t="s">
        <v>2657</v>
      </c>
      <c r="B16" s="2035" t="s">
        <v>1543</v>
      </c>
      <c r="C16" s="2044" t="s">
        <v>1376</v>
      </c>
      <c r="D16" s="1147" t="s">
        <v>668</v>
      </c>
      <c r="E16" s="688">
        <f>SUM(E21,E26)</f>
        <v>1101.68</v>
      </c>
      <c r="F16" s="1148">
        <f>H16/E16-1</f>
        <v>-1.9724420884467353E-2</v>
      </c>
      <c r="G16" s="688">
        <f t="shared" ref="G16" si="2">SUM(G21,G26)</f>
        <v>1344.4929999999999</v>
      </c>
      <c r="H16" s="688">
        <f>SUM(H21,H26,H31)</f>
        <v>1079.95</v>
      </c>
      <c r="I16" s="688">
        <f t="shared" ref="I16:J16" si="3">SUM(I21,I26,I31)</f>
        <v>1081</v>
      </c>
      <c r="J16" s="688">
        <f t="shared" si="3"/>
        <v>1083</v>
      </c>
      <c r="K16" s="1654" t="s">
        <v>1226</v>
      </c>
      <c r="L16" s="1665" t="s">
        <v>2269</v>
      </c>
      <c r="M16" s="1657" t="s">
        <v>1869</v>
      </c>
      <c r="N16" s="1649" t="s">
        <v>2309</v>
      </c>
      <c r="O16" s="1866" t="s">
        <v>1768</v>
      </c>
      <c r="P16" s="1866" t="s">
        <v>2306</v>
      </c>
      <c r="Q16" s="1866" t="s">
        <v>3910</v>
      </c>
      <c r="R16" s="1863" t="s">
        <v>2309</v>
      </c>
      <c r="U16" s="383"/>
      <c r="V16" s="383"/>
    </row>
    <row r="17" spans="1:22" ht="21" customHeight="1">
      <c r="A17" s="1798"/>
      <c r="B17" s="2036"/>
      <c r="C17" s="2045"/>
      <c r="D17" s="666" t="s">
        <v>1754</v>
      </c>
      <c r="E17" s="688">
        <f t="shared" ref="E17:J19" si="4">SUM(E22,E27)</f>
        <v>371.255</v>
      </c>
      <c r="F17" s="1148">
        <f t="shared" ref="F17:F18" si="5">H17/E17-1</f>
        <v>5.717902789188023E-2</v>
      </c>
      <c r="G17" s="688">
        <f t="shared" si="4"/>
        <v>373.464</v>
      </c>
      <c r="H17" s="688">
        <f t="shared" si="4"/>
        <v>392.483</v>
      </c>
      <c r="I17" s="688">
        <f t="shared" si="4"/>
        <v>394</v>
      </c>
      <c r="J17" s="688">
        <f t="shared" si="4"/>
        <v>396</v>
      </c>
      <c r="K17" s="1886"/>
      <c r="L17" s="1667"/>
      <c r="M17" s="1657"/>
      <c r="N17" s="1649"/>
      <c r="O17" s="1866"/>
      <c r="P17" s="1866"/>
      <c r="Q17" s="1866"/>
      <c r="R17" s="1864"/>
      <c r="U17" s="383"/>
      <c r="V17" s="383"/>
    </row>
    <row r="18" spans="1:22" ht="20.100000000000001" customHeight="1">
      <c r="A18" s="1798"/>
      <c r="B18" s="2036"/>
      <c r="C18" s="2045"/>
      <c r="D18" s="666" t="s">
        <v>1422</v>
      </c>
      <c r="E18" s="688">
        <f t="shared" si="4"/>
        <v>82.12700000000001</v>
      </c>
      <c r="F18" s="1148">
        <f t="shared" si="5"/>
        <v>-0.53730198351333913</v>
      </c>
      <c r="G18" s="688">
        <f t="shared" si="4"/>
        <v>0</v>
      </c>
      <c r="H18" s="688">
        <f t="shared" si="4"/>
        <v>38</v>
      </c>
      <c r="I18" s="688">
        <f>SUM(I23,I28)</f>
        <v>39</v>
      </c>
      <c r="J18" s="688">
        <f t="shared" si="4"/>
        <v>40</v>
      </c>
      <c r="K18" s="1886"/>
      <c r="L18" s="1667"/>
      <c r="M18" s="1657"/>
      <c r="N18" s="1649"/>
      <c r="O18" s="1866"/>
      <c r="P18" s="1866"/>
      <c r="Q18" s="1866"/>
      <c r="R18" s="1864"/>
      <c r="U18" s="383"/>
      <c r="V18" s="383"/>
    </row>
    <row r="19" spans="1:22" ht="24" customHeight="1">
      <c r="A19" s="1798"/>
      <c r="B19" s="2036"/>
      <c r="C19" s="2045"/>
      <c r="D19" s="666" t="s">
        <v>1753</v>
      </c>
      <c r="E19" s="688">
        <f t="shared" si="4"/>
        <v>0</v>
      </c>
      <c r="F19" s="1148"/>
      <c r="G19" s="688">
        <f t="shared" si="4"/>
        <v>18.2</v>
      </c>
      <c r="H19" s="688">
        <f t="shared" si="4"/>
        <v>0</v>
      </c>
      <c r="I19" s="688">
        <f t="shared" si="4"/>
        <v>0</v>
      </c>
      <c r="J19" s="688">
        <f t="shared" si="4"/>
        <v>0</v>
      </c>
      <c r="K19" s="1886"/>
      <c r="L19" s="1667"/>
      <c r="M19" s="1657"/>
      <c r="N19" s="1649"/>
      <c r="O19" s="1866"/>
      <c r="P19" s="1866"/>
      <c r="Q19" s="1866"/>
      <c r="R19" s="1864"/>
      <c r="U19" s="383"/>
      <c r="V19" s="383"/>
    </row>
    <row r="20" spans="1:22" ht="20.100000000000001" customHeight="1">
      <c r="A20" s="1799"/>
      <c r="B20" s="2037"/>
      <c r="C20" s="2046"/>
      <c r="D20" s="670" t="s">
        <v>1372</v>
      </c>
      <c r="E20" s="671">
        <f>SUM(E16:E19)</f>
        <v>1555.0619999999999</v>
      </c>
      <c r="F20" s="876">
        <f>H20/E20-1</f>
        <v>-2.8699177267530129E-2</v>
      </c>
      <c r="G20" s="671">
        <f t="shared" ref="G20:J20" si="6">SUM(G16:G19)</f>
        <v>1736.1569999999999</v>
      </c>
      <c r="H20" s="671">
        <f t="shared" si="6"/>
        <v>1510.433</v>
      </c>
      <c r="I20" s="671">
        <f t="shared" si="6"/>
        <v>1514</v>
      </c>
      <c r="J20" s="671">
        <f t="shared" si="6"/>
        <v>1519</v>
      </c>
      <c r="K20" s="1655"/>
      <c r="L20" s="1666"/>
      <c r="M20" s="1658"/>
      <c r="N20" s="1650"/>
      <c r="O20" s="1680"/>
      <c r="P20" s="1866"/>
      <c r="Q20" s="1866"/>
      <c r="R20" s="1864"/>
      <c r="U20" s="383"/>
      <c r="V20" s="383"/>
    </row>
    <row r="21" spans="1:22" ht="20.100000000000001" hidden="1" customHeight="1">
      <c r="A21" s="2049"/>
      <c r="B21" s="2038" t="s">
        <v>1544</v>
      </c>
      <c r="C21" s="2042" t="s">
        <v>1803</v>
      </c>
      <c r="D21" s="1185" t="s">
        <v>668</v>
      </c>
      <c r="E21" s="772">
        <v>550.19000000000005</v>
      </c>
      <c r="F21" s="1149">
        <f t="shared" ref="F21:F30" si="7">H21/E21-1</f>
        <v>-0.18808048128828236</v>
      </c>
      <c r="G21" s="772">
        <v>745.46799999999996</v>
      </c>
      <c r="H21" s="772">
        <v>446.71</v>
      </c>
      <c r="I21" s="772">
        <v>447</v>
      </c>
      <c r="J21" s="772">
        <v>448</v>
      </c>
      <c r="K21" s="772"/>
      <c r="L21" s="1781" t="s">
        <v>2307</v>
      </c>
      <c r="M21" s="2038" t="s">
        <v>1870</v>
      </c>
      <c r="N21" s="2038"/>
      <c r="O21" s="2034"/>
      <c r="P21" s="2033"/>
      <c r="Q21" s="2033"/>
      <c r="R21" s="2073"/>
      <c r="U21" s="383"/>
      <c r="V21" s="383"/>
    </row>
    <row r="22" spans="1:22" ht="20.100000000000001" hidden="1" customHeight="1">
      <c r="A22" s="2050"/>
      <c r="B22" s="2039"/>
      <c r="C22" s="2043"/>
      <c r="D22" s="1188" t="s">
        <v>1754</v>
      </c>
      <c r="E22" s="779">
        <v>349.9</v>
      </c>
      <c r="F22" s="1149">
        <f t="shared" si="7"/>
        <v>4.7393541011717666E-2</v>
      </c>
      <c r="G22" s="779">
        <v>349.36399999999998</v>
      </c>
      <c r="H22" s="779">
        <f>366.18+0.303</f>
        <v>366.483</v>
      </c>
      <c r="I22" s="779">
        <v>367</v>
      </c>
      <c r="J22" s="892">
        <v>368</v>
      </c>
      <c r="K22" s="892"/>
      <c r="L22" s="1782"/>
      <c r="M22" s="2039"/>
      <c r="N22" s="2039"/>
      <c r="O22" s="2033"/>
      <c r="P22" s="2033"/>
      <c r="Q22" s="2033"/>
      <c r="R22" s="2074"/>
      <c r="U22" s="383"/>
      <c r="V22" s="383"/>
    </row>
    <row r="23" spans="1:22" ht="20.100000000000001" hidden="1" customHeight="1">
      <c r="A23" s="2050"/>
      <c r="B23" s="2039"/>
      <c r="C23" s="2043"/>
      <c r="D23" s="1188" t="s">
        <v>1422</v>
      </c>
      <c r="E23" s="779">
        <v>69.102000000000004</v>
      </c>
      <c r="F23" s="1149">
        <f t="shared" si="7"/>
        <v>-0.61274637492402539</v>
      </c>
      <c r="G23" s="779">
        <v>0</v>
      </c>
      <c r="H23" s="779">
        <v>26.76</v>
      </c>
      <c r="I23" s="779">
        <v>27</v>
      </c>
      <c r="J23" s="892">
        <v>28</v>
      </c>
      <c r="K23" s="892"/>
      <c r="L23" s="1782"/>
      <c r="M23" s="2039"/>
      <c r="N23" s="2039"/>
      <c r="O23" s="2033"/>
      <c r="P23" s="2033"/>
      <c r="Q23" s="2033"/>
      <c r="R23" s="2074"/>
      <c r="U23" s="383"/>
      <c r="V23" s="383"/>
    </row>
    <row r="24" spans="1:22" ht="20.100000000000001" hidden="1" customHeight="1">
      <c r="A24" s="2050"/>
      <c r="B24" s="2039"/>
      <c r="C24" s="2043"/>
      <c r="D24" s="1188" t="s">
        <v>1753</v>
      </c>
      <c r="E24" s="779"/>
      <c r="F24" s="1149"/>
      <c r="G24" s="779">
        <v>18.2</v>
      </c>
      <c r="H24" s="779">
        <v>0</v>
      </c>
      <c r="I24" s="779">
        <v>0</v>
      </c>
      <c r="J24" s="892">
        <v>0</v>
      </c>
      <c r="K24" s="892"/>
      <c r="L24" s="1782"/>
      <c r="M24" s="2039"/>
      <c r="N24" s="2039"/>
      <c r="O24" s="2033"/>
      <c r="P24" s="2033"/>
      <c r="Q24" s="2033"/>
      <c r="R24" s="2074"/>
      <c r="U24" s="383"/>
      <c r="V24" s="383"/>
    </row>
    <row r="25" spans="1:22" ht="20.100000000000001" hidden="1" customHeight="1">
      <c r="A25" s="2050"/>
      <c r="B25" s="2039"/>
      <c r="C25" s="2043"/>
      <c r="D25" s="833" t="s">
        <v>3629</v>
      </c>
      <c r="E25" s="704">
        <f>SUM(E21:E24)</f>
        <v>969.19200000000001</v>
      </c>
      <c r="F25" s="1149">
        <f t="shared" si="7"/>
        <v>-0.13334715928319674</v>
      </c>
      <c r="G25" s="704">
        <f t="shared" ref="G25:J25" si="8">SUM(G21:G24)</f>
        <v>1113.0319999999999</v>
      </c>
      <c r="H25" s="704">
        <f t="shared" si="8"/>
        <v>839.95299999999997</v>
      </c>
      <c r="I25" s="704">
        <f t="shared" si="8"/>
        <v>841</v>
      </c>
      <c r="J25" s="704">
        <f t="shared" si="8"/>
        <v>844</v>
      </c>
      <c r="K25" s="704"/>
      <c r="L25" s="1782"/>
      <c r="M25" s="2039"/>
      <c r="N25" s="2039"/>
      <c r="O25" s="2033"/>
      <c r="P25" s="2033"/>
      <c r="Q25" s="2033"/>
      <c r="R25" s="2075"/>
      <c r="U25" s="383"/>
      <c r="V25" s="383"/>
    </row>
    <row r="26" spans="1:22" ht="20.100000000000001" hidden="1" customHeight="1">
      <c r="A26" s="2049"/>
      <c r="B26" s="2038" t="s">
        <v>1545</v>
      </c>
      <c r="C26" s="2042" t="s">
        <v>1804</v>
      </c>
      <c r="D26" s="1185" t="s">
        <v>668</v>
      </c>
      <c r="E26" s="772">
        <v>551.49</v>
      </c>
      <c r="F26" s="1149">
        <f t="shared" si="7"/>
        <v>9.5649966454514068E-2</v>
      </c>
      <c r="G26" s="772">
        <v>599.02499999999998</v>
      </c>
      <c r="H26" s="772">
        <v>604.24</v>
      </c>
      <c r="I26" s="772">
        <v>605</v>
      </c>
      <c r="J26" s="772">
        <v>606</v>
      </c>
      <c r="K26" s="772"/>
      <c r="L26" s="1781" t="s">
        <v>2308</v>
      </c>
      <c r="M26" s="2038" t="s">
        <v>1870</v>
      </c>
      <c r="N26" s="2047"/>
      <c r="O26" s="2034" t="s">
        <v>612</v>
      </c>
      <c r="P26" s="2033"/>
      <c r="Q26" s="2033"/>
      <c r="R26" s="2073"/>
      <c r="U26" s="383"/>
      <c r="V26" s="383"/>
    </row>
    <row r="27" spans="1:22" ht="20.100000000000001" hidden="1" customHeight="1">
      <c r="A27" s="2049"/>
      <c r="B27" s="2038"/>
      <c r="C27" s="2042"/>
      <c r="D27" s="1188" t="s">
        <v>1754</v>
      </c>
      <c r="E27" s="772">
        <v>21.355</v>
      </c>
      <c r="F27" s="1149">
        <f t="shared" si="7"/>
        <v>0.217513462889253</v>
      </c>
      <c r="G27" s="772">
        <v>24.1</v>
      </c>
      <c r="H27" s="779">
        <v>26</v>
      </c>
      <c r="I27" s="779">
        <v>27</v>
      </c>
      <c r="J27" s="821">
        <v>28</v>
      </c>
      <c r="K27" s="821"/>
      <c r="L27" s="1781"/>
      <c r="M27" s="2038"/>
      <c r="N27" s="2047"/>
      <c r="O27" s="2034"/>
      <c r="P27" s="2033"/>
      <c r="Q27" s="2033"/>
      <c r="R27" s="2074"/>
      <c r="U27" s="383"/>
      <c r="V27" s="383"/>
    </row>
    <row r="28" spans="1:22" ht="20.100000000000001" hidden="1" customHeight="1">
      <c r="A28" s="2049"/>
      <c r="B28" s="2038"/>
      <c r="C28" s="2042"/>
      <c r="D28" s="1188" t="s">
        <v>1422</v>
      </c>
      <c r="E28" s="772">
        <v>13.025</v>
      </c>
      <c r="F28" s="1149">
        <f t="shared" si="7"/>
        <v>-0.13704414587332059</v>
      </c>
      <c r="G28" s="772">
        <v>0</v>
      </c>
      <c r="H28" s="779">
        <v>11.24</v>
      </c>
      <c r="I28" s="779">
        <v>12</v>
      </c>
      <c r="J28" s="821">
        <v>12</v>
      </c>
      <c r="K28" s="821"/>
      <c r="L28" s="1781"/>
      <c r="M28" s="2038"/>
      <c r="N28" s="2047"/>
      <c r="O28" s="2034"/>
      <c r="P28" s="2033"/>
      <c r="Q28" s="2033"/>
      <c r="R28" s="2074"/>
      <c r="U28" s="383"/>
      <c r="V28" s="383"/>
    </row>
    <row r="29" spans="1:22" ht="20.100000000000001" hidden="1" customHeight="1">
      <c r="A29" s="2050"/>
      <c r="B29" s="2039"/>
      <c r="C29" s="2043"/>
      <c r="D29" s="1188" t="s">
        <v>1753</v>
      </c>
      <c r="E29" s="704"/>
      <c r="F29" s="1150"/>
      <c r="G29" s="779">
        <v>0</v>
      </c>
      <c r="H29" s="779">
        <v>0</v>
      </c>
      <c r="I29" s="779">
        <v>0</v>
      </c>
      <c r="J29" s="892">
        <v>0</v>
      </c>
      <c r="K29" s="892"/>
      <c r="L29" s="1782"/>
      <c r="M29" s="2039"/>
      <c r="N29" s="2048"/>
      <c r="O29" s="2033"/>
      <c r="P29" s="2033"/>
      <c r="Q29" s="2033"/>
      <c r="R29" s="2074"/>
      <c r="U29" s="383"/>
      <c r="V29" s="383"/>
    </row>
    <row r="30" spans="1:22" ht="20.100000000000001" hidden="1" customHeight="1">
      <c r="A30" s="2050"/>
      <c r="B30" s="2039"/>
      <c r="C30" s="2043"/>
      <c r="D30" s="833" t="s">
        <v>3629</v>
      </c>
      <c r="E30" s="704">
        <f>SUM(E26:E29)</f>
        <v>585.87</v>
      </c>
      <c r="F30" s="1149">
        <f t="shared" si="7"/>
        <v>9.4918667963882708E-2</v>
      </c>
      <c r="G30" s="704">
        <f t="shared" ref="G30:J30" si="9">SUM(G26:G29)</f>
        <v>623.125</v>
      </c>
      <c r="H30" s="704">
        <f t="shared" si="9"/>
        <v>641.48</v>
      </c>
      <c r="I30" s="704">
        <f t="shared" si="9"/>
        <v>644</v>
      </c>
      <c r="J30" s="704">
        <f t="shared" si="9"/>
        <v>646</v>
      </c>
      <c r="K30" s="779"/>
      <c r="L30" s="1782"/>
      <c r="M30" s="2039"/>
      <c r="N30" s="2048"/>
      <c r="O30" s="2033"/>
      <c r="P30" s="2033"/>
      <c r="Q30" s="2033"/>
      <c r="R30" s="2075"/>
      <c r="U30" s="383"/>
      <c r="V30" s="383"/>
    </row>
    <row r="31" spans="1:22" ht="20.100000000000001" hidden="1" customHeight="1">
      <c r="A31" s="1189"/>
      <c r="B31" s="791" t="s">
        <v>3524</v>
      </c>
      <c r="C31" s="1187"/>
      <c r="D31" s="1188"/>
      <c r="E31" s="779"/>
      <c r="F31" s="1190"/>
      <c r="G31" s="779"/>
      <c r="H31" s="704">
        <v>29</v>
      </c>
      <c r="I31" s="704">
        <v>29</v>
      </c>
      <c r="J31" s="704">
        <v>29</v>
      </c>
      <c r="K31" s="779"/>
      <c r="L31" s="779" t="s">
        <v>3525</v>
      </c>
      <c r="M31" s="791"/>
      <c r="N31" s="799"/>
      <c r="O31" s="1222"/>
      <c r="P31" s="1222"/>
      <c r="Q31" s="1222"/>
      <c r="R31" s="1064"/>
      <c r="U31" s="383"/>
      <c r="V31" s="383"/>
    </row>
    <row r="32" spans="1:22" ht="26.4" customHeight="1">
      <c r="A32" s="664" t="s">
        <v>2659</v>
      </c>
      <c r="B32" s="664" t="s">
        <v>1546</v>
      </c>
      <c r="C32" s="1191"/>
      <c r="D32" s="1191"/>
      <c r="E32" s="761">
        <f>SUM(E35,E38,E42,E44,E46,E57,E60,E74,E87,E92,)</f>
        <v>9154.57</v>
      </c>
      <c r="F32" s="760">
        <f>H32/E32-1</f>
        <v>0.20229207925658965</v>
      </c>
      <c r="G32" s="761">
        <f t="shared" ref="G32" si="10">SUM(G35,G38,G42,G44,G46,G57,G60,G74,G87,G92,)</f>
        <v>10712.397999999999</v>
      </c>
      <c r="H32" s="761">
        <f>SUM(H35,H38,H42,H44,H46,H57,H60,H74,H87,H92,)</f>
        <v>11006.466999999997</v>
      </c>
      <c r="I32" s="761">
        <f t="shared" ref="I32:J32" si="11">SUM(I35,I38,I42,I44,I46,I57,I60,I74,I87,I92,)</f>
        <v>11142.514999999999</v>
      </c>
      <c r="J32" s="761">
        <f t="shared" si="11"/>
        <v>11157.56</v>
      </c>
      <c r="K32" s="762" t="s">
        <v>2986</v>
      </c>
      <c r="L32" s="738"/>
      <c r="M32" s="759" t="s">
        <v>1411</v>
      </c>
      <c r="N32" s="759" t="s">
        <v>2310</v>
      </c>
      <c r="O32" s="1146" t="s">
        <v>845</v>
      </c>
      <c r="P32" s="1146" t="s">
        <v>845</v>
      </c>
      <c r="Q32" s="1146" t="s">
        <v>845</v>
      </c>
      <c r="R32" s="759"/>
      <c r="U32" s="383"/>
      <c r="V32" s="383"/>
    </row>
    <row r="33" spans="1:22" ht="20.100000000000001" customHeight="1">
      <c r="A33" s="1799" t="s">
        <v>2660</v>
      </c>
      <c r="B33" s="1825" t="s">
        <v>1547</v>
      </c>
      <c r="C33" s="1827">
        <v>188711925</v>
      </c>
      <c r="D33" s="687" t="s">
        <v>587</v>
      </c>
      <c r="E33" s="688">
        <v>4708.1000000000004</v>
      </c>
      <c r="F33" s="1151">
        <f>H33/E33-1</f>
        <v>9.702427730931773E-2</v>
      </c>
      <c r="G33" s="688">
        <v>4872.9549999999999</v>
      </c>
      <c r="H33" s="688">
        <v>5164.8999999999996</v>
      </c>
      <c r="I33" s="708">
        <v>5165</v>
      </c>
      <c r="J33" s="699">
        <v>5165</v>
      </c>
      <c r="K33" s="1701" t="s">
        <v>2930</v>
      </c>
      <c r="L33" s="1666" t="s">
        <v>2270</v>
      </c>
      <c r="M33" s="1657" t="s">
        <v>1871</v>
      </c>
      <c r="N33" s="1657" t="s">
        <v>803</v>
      </c>
      <c r="O33" s="1866" t="s">
        <v>2271</v>
      </c>
      <c r="P33" s="1866" t="s">
        <v>2272</v>
      </c>
      <c r="Q33" s="1866" t="s">
        <v>2273</v>
      </c>
      <c r="R33" s="1863" t="s">
        <v>2931</v>
      </c>
      <c r="U33" s="383"/>
      <c r="V33" s="383"/>
    </row>
    <row r="34" spans="1:22" ht="20.100000000000001" customHeight="1">
      <c r="A34" s="1807"/>
      <c r="B34" s="1789"/>
      <c r="C34" s="1810"/>
      <c r="D34" s="678" t="s">
        <v>668</v>
      </c>
      <c r="E34" s="667"/>
      <c r="F34" s="667"/>
      <c r="G34" s="667"/>
      <c r="H34" s="667"/>
      <c r="I34" s="679"/>
      <c r="J34" s="680"/>
      <c r="K34" s="1701"/>
      <c r="L34" s="1698"/>
      <c r="M34" s="1657"/>
      <c r="N34" s="1657"/>
      <c r="O34" s="1866"/>
      <c r="P34" s="1866"/>
      <c r="Q34" s="1866"/>
      <c r="R34" s="1864"/>
      <c r="U34" s="383"/>
      <c r="V34" s="383"/>
    </row>
    <row r="35" spans="1:22" ht="20.100000000000001" customHeight="1">
      <c r="A35" s="1807"/>
      <c r="B35" s="1789"/>
      <c r="C35" s="1810"/>
      <c r="D35" s="682" t="s">
        <v>1372</v>
      </c>
      <c r="E35" s="671">
        <f>SUM(E33:E34)</f>
        <v>4708.1000000000004</v>
      </c>
      <c r="F35" s="1152">
        <f>H35/E35-1</f>
        <v>9.702427730931773E-2</v>
      </c>
      <c r="G35" s="671">
        <f t="shared" ref="G35:J35" si="12">SUM(G33:G34)</f>
        <v>4872.9549999999999</v>
      </c>
      <c r="H35" s="671">
        <f t="shared" si="12"/>
        <v>5164.8999999999996</v>
      </c>
      <c r="I35" s="671">
        <f t="shared" si="12"/>
        <v>5165</v>
      </c>
      <c r="J35" s="683">
        <f t="shared" si="12"/>
        <v>5165</v>
      </c>
      <c r="K35" s="1701"/>
      <c r="L35" s="1698"/>
      <c r="M35" s="1658"/>
      <c r="N35" s="1658"/>
      <c r="O35" s="1680"/>
      <c r="P35" s="1680"/>
      <c r="Q35" s="1680"/>
      <c r="R35" s="1864"/>
      <c r="U35" s="383"/>
      <c r="V35" s="383"/>
    </row>
    <row r="36" spans="1:22" ht="22.5" customHeight="1">
      <c r="A36" s="1807" t="s">
        <v>2661</v>
      </c>
      <c r="B36" s="1789" t="s">
        <v>1548</v>
      </c>
      <c r="C36" s="1810">
        <v>188711925</v>
      </c>
      <c r="D36" s="687" t="s">
        <v>587</v>
      </c>
      <c r="E36" s="667">
        <v>541.5</v>
      </c>
      <c r="F36" s="1153">
        <f>H36/E36-1</f>
        <v>1.4855032317636194</v>
      </c>
      <c r="G36" s="667">
        <v>1226.4000000000001</v>
      </c>
      <c r="H36" s="667">
        <f>1281.8+64.1</f>
        <v>1345.8999999999999</v>
      </c>
      <c r="I36" s="667">
        <v>1346</v>
      </c>
      <c r="J36" s="680">
        <v>1347</v>
      </c>
      <c r="K36" s="1701"/>
      <c r="L36" s="1697" t="s">
        <v>2274</v>
      </c>
      <c r="M36" s="1656" t="s">
        <v>1872</v>
      </c>
      <c r="N36" s="1656" t="s">
        <v>1830</v>
      </c>
      <c r="O36" s="1679" t="s">
        <v>2275</v>
      </c>
      <c r="P36" s="1679" t="s">
        <v>2275</v>
      </c>
      <c r="Q36" s="1679" t="s">
        <v>2275</v>
      </c>
      <c r="R36" s="1864"/>
      <c r="U36" s="383"/>
      <c r="V36" s="383"/>
    </row>
    <row r="37" spans="1:22" ht="20.100000000000001" customHeight="1">
      <c r="A37" s="1807"/>
      <c r="B37" s="1789"/>
      <c r="C37" s="1810"/>
      <c r="D37" s="678" t="s">
        <v>668</v>
      </c>
      <c r="E37" s="667"/>
      <c r="F37" s="667"/>
      <c r="G37" s="667"/>
      <c r="H37" s="667"/>
      <c r="I37" s="679"/>
      <c r="J37" s="680"/>
      <c r="K37" s="1701"/>
      <c r="L37" s="1698"/>
      <c r="M37" s="1657"/>
      <c r="N37" s="1657"/>
      <c r="O37" s="1866"/>
      <c r="P37" s="1866"/>
      <c r="Q37" s="1866"/>
      <c r="R37" s="1864"/>
      <c r="U37" s="383"/>
      <c r="V37" s="383"/>
    </row>
    <row r="38" spans="1:22" ht="29.25" customHeight="1">
      <c r="A38" s="1807"/>
      <c r="B38" s="1789"/>
      <c r="C38" s="1810"/>
      <c r="D38" s="682" t="s">
        <v>1372</v>
      </c>
      <c r="E38" s="671">
        <f>SUM(E36:E37)</f>
        <v>541.5</v>
      </c>
      <c r="F38" s="1152">
        <f t="shared" ref="F38" si="13">SUM(F36:F37)</f>
        <v>1.4855032317636194</v>
      </c>
      <c r="G38" s="671">
        <f t="shared" ref="G38:J38" si="14">SUM(G36:G37)</f>
        <v>1226.4000000000001</v>
      </c>
      <c r="H38" s="671">
        <f t="shared" si="14"/>
        <v>1345.8999999999999</v>
      </c>
      <c r="I38" s="671">
        <f t="shared" si="14"/>
        <v>1346</v>
      </c>
      <c r="J38" s="683">
        <f t="shared" si="14"/>
        <v>1347</v>
      </c>
      <c r="K38" s="1701"/>
      <c r="L38" s="1698"/>
      <c r="M38" s="1658"/>
      <c r="N38" s="1657"/>
      <c r="O38" s="1866"/>
      <c r="P38" s="1866"/>
      <c r="Q38" s="1866"/>
      <c r="R38" s="1864"/>
      <c r="U38" s="383"/>
      <c r="V38" s="383"/>
    </row>
    <row r="39" spans="1:22" ht="49.2" customHeight="1">
      <c r="A39" s="1807" t="s">
        <v>2662</v>
      </c>
      <c r="B39" s="1789" t="s">
        <v>2301</v>
      </c>
      <c r="C39" s="1810">
        <v>188711925</v>
      </c>
      <c r="D39" s="678" t="s">
        <v>1817</v>
      </c>
      <c r="E39" s="667">
        <v>147.38</v>
      </c>
      <c r="F39" s="1154">
        <f>H39/E39-1</f>
        <v>0.1166711901207762</v>
      </c>
      <c r="G39" s="667">
        <v>148.17599999999999</v>
      </c>
      <c r="H39" s="667">
        <v>164.57499999999999</v>
      </c>
      <c r="I39" s="679">
        <v>165</v>
      </c>
      <c r="J39" s="679">
        <v>166</v>
      </c>
      <c r="K39" s="1701"/>
      <c r="L39" s="1697" t="s">
        <v>2276</v>
      </c>
      <c r="M39" s="1656" t="s">
        <v>1873</v>
      </c>
      <c r="N39" s="764" t="s">
        <v>2300</v>
      </c>
      <c r="O39" s="1223" t="s">
        <v>3911</v>
      </c>
      <c r="P39" s="1223" t="s">
        <v>3911</v>
      </c>
      <c r="Q39" s="1223" t="s">
        <v>3911</v>
      </c>
      <c r="R39" s="1864"/>
      <c r="U39" s="383"/>
      <c r="V39" s="383"/>
    </row>
    <row r="40" spans="1:22" ht="30.75" customHeight="1">
      <c r="A40" s="1807"/>
      <c r="B40" s="1789"/>
      <c r="C40" s="1810"/>
      <c r="D40" s="678" t="s">
        <v>668</v>
      </c>
      <c r="E40" s="667">
        <v>2176.9299999999998</v>
      </c>
      <c r="F40" s="1154">
        <f t="shared" ref="F40:F42" si="15">H40/E40-1</f>
        <v>0</v>
      </c>
      <c r="G40" s="667">
        <v>2176.9299999999998</v>
      </c>
      <c r="H40" s="667">
        <v>2176.9299999999998</v>
      </c>
      <c r="I40" s="679">
        <v>2300</v>
      </c>
      <c r="J40" s="679">
        <v>2300</v>
      </c>
      <c r="K40" s="1701"/>
      <c r="L40" s="1698"/>
      <c r="M40" s="1657"/>
      <c r="N40" s="1678" t="s">
        <v>2296</v>
      </c>
      <c r="O40" s="1766" t="s">
        <v>3912</v>
      </c>
      <c r="P40" s="1766" t="s">
        <v>3912</v>
      </c>
      <c r="Q40" s="1766" t="s">
        <v>3912</v>
      </c>
      <c r="R40" s="1864"/>
      <c r="U40" s="383"/>
      <c r="V40" s="383"/>
    </row>
    <row r="41" spans="1:22" ht="27" customHeight="1">
      <c r="A41" s="1807"/>
      <c r="B41" s="1789"/>
      <c r="C41" s="1810"/>
      <c r="D41" s="678" t="s">
        <v>1422</v>
      </c>
      <c r="E41" s="667"/>
      <c r="F41" s="1154"/>
      <c r="G41" s="667">
        <v>380</v>
      </c>
      <c r="H41" s="667">
        <v>0</v>
      </c>
      <c r="I41" s="679"/>
      <c r="J41" s="680"/>
      <c r="K41" s="1701"/>
      <c r="L41" s="1698"/>
      <c r="M41" s="1657"/>
      <c r="N41" s="1678"/>
      <c r="O41" s="1766"/>
      <c r="P41" s="1766"/>
      <c r="Q41" s="1766"/>
      <c r="R41" s="1864"/>
      <c r="U41" s="383"/>
      <c r="V41" s="383"/>
    </row>
    <row r="42" spans="1:22" ht="30" customHeight="1">
      <c r="A42" s="1807"/>
      <c r="B42" s="1789"/>
      <c r="C42" s="1810"/>
      <c r="D42" s="682" t="s">
        <v>1372</v>
      </c>
      <c r="E42" s="671">
        <f>SUM(E39:E40)</f>
        <v>2324.31</v>
      </c>
      <c r="F42" s="1152">
        <f t="shared" si="15"/>
        <v>7.3978944288841664E-3</v>
      </c>
      <c r="G42" s="671">
        <f>SUM(G39:G41)</f>
        <v>2705.1059999999998</v>
      </c>
      <c r="H42" s="671">
        <f>SUM(H39:H41)</f>
        <v>2341.5049999999997</v>
      </c>
      <c r="I42" s="671">
        <f t="shared" ref="I42:J42" si="16">SUM(I39:I41)</f>
        <v>2465</v>
      </c>
      <c r="J42" s="683">
        <f t="shared" si="16"/>
        <v>2466</v>
      </c>
      <c r="K42" s="1701"/>
      <c r="L42" s="1698"/>
      <c r="M42" s="1657"/>
      <c r="N42" s="1678"/>
      <c r="O42" s="1766"/>
      <c r="P42" s="1766"/>
      <c r="Q42" s="1766"/>
      <c r="R42" s="1864"/>
      <c r="U42" s="383"/>
      <c r="V42" s="383"/>
    </row>
    <row r="43" spans="1:22" ht="38.4" customHeight="1">
      <c r="A43" s="1807" t="s">
        <v>2663</v>
      </c>
      <c r="B43" s="1789" t="s">
        <v>1549</v>
      </c>
      <c r="C43" s="1810">
        <v>188711925</v>
      </c>
      <c r="D43" s="678" t="s">
        <v>587</v>
      </c>
      <c r="E43" s="667"/>
      <c r="F43" s="667"/>
      <c r="G43" s="667"/>
      <c r="H43" s="667"/>
      <c r="I43" s="679"/>
      <c r="J43" s="680"/>
      <c r="K43" s="1701"/>
      <c r="L43" s="1697" t="s">
        <v>2277</v>
      </c>
      <c r="M43" s="1656" t="s">
        <v>1874</v>
      </c>
      <c r="N43" s="1656" t="s">
        <v>1831</v>
      </c>
      <c r="O43" s="1679" t="s">
        <v>469</v>
      </c>
      <c r="P43" s="1679" t="s">
        <v>469</v>
      </c>
      <c r="Q43" s="1679" t="s">
        <v>469</v>
      </c>
      <c r="R43" s="1864"/>
      <c r="U43" s="383"/>
      <c r="V43" s="383"/>
    </row>
    <row r="44" spans="1:22" ht="69.599999999999994" customHeight="1">
      <c r="A44" s="1807"/>
      <c r="B44" s="1789"/>
      <c r="C44" s="1810"/>
      <c r="D44" s="682" t="s">
        <v>1372</v>
      </c>
      <c r="E44" s="671">
        <f>E43</f>
        <v>0</v>
      </c>
      <c r="F44" s="671">
        <f t="shared" ref="F44:J44" si="17">F43</f>
        <v>0</v>
      </c>
      <c r="G44" s="671">
        <f t="shared" si="17"/>
        <v>0</v>
      </c>
      <c r="H44" s="671">
        <f t="shared" si="17"/>
        <v>0</v>
      </c>
      <c r="I44" s="671">
        <f t="shared" si="17"/>
        <v>0</v>
      </c>
      <c r="J44" s="683">
        <f t="shared" si="17"/>
        <v>0</v>
      </c>
      <c r="K44" s="1701"/>
      <c r="L44" s="1698"/>
      <c r="M44" s="1657"/>
      <c r="N44" s="1657"/>
      <c r="O44" s="1866"/>
      <c r="P44" s="1866"/>
      <c r="Q44" s="1866"/>
      <c r="R44" s="1864"/>
      <c r="U44" s="383"/>
      <c r="V44" s="383"/>
    </row>
    <row r="45" spans="1:22" ht="20.100000000000001" customHeight="1">
      <c r="A45" s="1807" t="s">
        <v>2664</v>
      </c>
      <c r="B45" s="1789" t="s">
        <v>1550</v>
      </c>
      <c r="C45" s="1810">
        <v>188711925</v>
      </c>
      <c r="D45" s="678" t="s">
        <v>668</v>
      </c>
      <c r="E45" s="667">
        <v>150.85</v>
      </c>
      <c r="F45" s="1154">
        <f t="shared" ref="F45:F46" si="18">H45/E45-1</f>
        <v>4.1962214119986907E-2</v>
      </c>
      <c r="G45" s="667"/>
      <c r="H45" s="667">
        <f>SUM(H47,H48,H49,H50,H51,H52,H53,H54,H55,)</f>
        <v>157.18</v>
      </c>
      <c r="I45" s="667">
        <v>156</v>
      </c>
      <c r="J45" s="667">
        <v>157</v>
      </c>
      <c r="K45" s="1701"/>
      <c r="L45" s="1697" t="s">
        <v>1820</v>
      </c>
      <c r="M45" s="1656" t="s">
        <v>1875</v>
      </c>
      <c r="N45" s="1656" t="s">
        <v>1832</v>
      </c>
      <c r="O45" s="1679" t="s">
        <v>449</v>
      </c>
      <c r="P45" s="1679" t="s">
        <v>449</v>
      </c>
      <c r="Q45" s="1679" t="s">
        <v>449</v>
      </c>
      <c r="R45" s="1864"/>
      <c r="U45" s="383"/>
      <c r="V45" s="383"/>
    </row>
    <row r="46" spans="1:22" ht="79.2" customHeight="1">
      <c r="A46" s="1807"/>
      <c r="B46" s="1789"/>
      <c r="C46" s="1810"/>
      <c r="D46" s="682" t="s">
        <v>1372</v>
      </c>
      <c r="E46" s="671">
        <f>E45</f>
        <v>150.85</v>
      </c>
      <c r="F46" s="1152">
        <f t="shared" si="18"/>
        <v>4.1962214119986907E-2</v>
      </c>
      <c r="G46" s="671"/>
      <c r="H46" s="671">
        <f>H45</f>
        <v>157.18</v>
      </c>
      <c r="I46" s="671">
        <f t="shared" ref="I46:J46" si="19">I45</f>
        <v>156</v>
      </c>
      <c r="J46" s="671">
        <f t="shared" si="19"/>
        <v>157</v>
      </c>
      <c r="K46" s="1701"/>
      <c r="L46" s="1705"/>
      <c r="M46" s="1657"/>
      <c r="N46" s="1657"/>
      <c r="O46" s="1866"/>
      <c r="P46" s="1866"/>
      <c r="Q46" s="1866"/>
      <c r="R46" s="1865"/>
      <c r="U46" s="383"/>
      <c r="V46" s="383"/>
    </row>
    <row r="47" spans="1:22" ht="19.5" hidden="1" customHeight="1">
      <c r="A47" s="1192"/>
      <c r="B47" s="1193" t="s">
        <v>1414</v>
      </c>
      <c r="C47" s="1194"/>
      <c r="D47" s="1195"/>
      <c r="E47" s="1196"/>
      <c r="F47" s="1196"/>
      <c r="G47" s="1196">
        <v>22.8</v>
      </c>
      <c r="H47" s="1196">
        <v>26</v>
      </c>
      <c r="I47" s="1197">
        <v>22.8</v>
      </c>
      <c r="J47" s="1198">
        <v>22.8</v>
      </c>
      <c r="K47" s="1198"/>
      <c r="L47" s="1196"/>
      <c r="M47" s="1196"/>
      <c r="N47" s="1196"/>
      <c r="O47" s="1224"/>
      <c r="P47" s="1224"/>
      <c r="Q47" s="1224"/>
      <c r="R47" s="1155"/>
      <c r="U47" s="383"/>
      <c r="V47" s="383"/>
    </row>
    <row r="48" spans="1:22" ht="17.25" hidden="1" customHeight="1">
      <c r="A48" s="1192"/>
      <c r="B48" s="1193" t="s">
        <v>1415</v>
      </c>
      <c r="C48" s="1194"/>
      <c r="D48" s="1195"/>
      <c r="E48" s="1196"/>
      <c r="F48" s="1196"/>
      <c r="G48" s="1196">
        <v>28.5</v>
      </c>
      <c r="H48" s="1196">
        <v>32.450000000000003</v>
      </c>
      <c r="I48" s="1197">
        <v>28.5</v>
      </c>
      <c r="J48" s="1198">
        <v>28.5</v>
      </c>
      <c r="K48" s="1198"/>
      <c r="L48" s="1196"/>
      <c r="M48" s="1196"/>
      <c r="N48" s="1196"/>
      <c r="O48" s="1224"/>
      <c r="P48" s="1224"/>
      <c r="Q48" s="1224"/>
      <c r="R48" s="1155"/>
      <c r="U48" s="383"/>
      <c r="V48" s="383"/>
    </row>
    <row r="49" spans="1:22" ht="17.25" hidden="1" customHeight="1">
      <c r="A49" s="1192"/>
      <c r="B49" s="1193" t="s">
        <v>1416</v>
      </c>
      <c r="C49" s="1194"/>
      <c r="D49" s="1195"/>
      <c r="E49" s="1196"/>
      <c r="F49" s="1196"/>
      <c r="G49" s="1196">
        <v>18.260000000000002</v>
      </c>
      <c r="H49" s="1196">
        <v>22.5</v>
      </c>
      <c r="I49" s="1197">
        <v>18.260000000000002</v>
      </c>
      <c r="J49" s="1198">
        <v>18.260000000000002</v>
      </c>
      <c r="K49" s="1198"/>
      <c r="L49" s="1196"/>
      <c r="M49" s="1196"/>
      <c r="N49" s="1196"/>
      <c r="O49" s="1224"/>
      <c r="P49" s="1224"/>
      <c r="Q49" s="1224"/>
      <c r="R49" s="1155"/>
      <c r="U49" s="383"/>
      <c r="V49" s="383"/>
    </row>
    <row r="50" spans="1:22" ht="17.25" hidden="1" customHeight="1">
      <c r="A50" s="1192"/>
      <c r="B50" s="1199" t="s">
        <v>1381</v>
      </c>
      <c r="C50" s="1194"/>
      <c r="D50" s="1195"/>
      <c r="E50" s="1196"/>
      <c r="F50" s="1196"/>
      <c r="G50" s="1196">
        <v>21.4</v>
      </c>
      <c r="H50" s="1196">
        <v>18.600000000000001</v>
      </c>
      <c r="I50" s="1196">
        <v>21.4</v>
      </c>
      <c r="J50" s="1196">
        <v>21.4</v>
      </c>
      <c r="K50" s="1196"/>
      <c r="L50" s="1196"/>
      <c r="M50" s="1196"/>
      <c r="N50" s="1196"/>
      <c r="O50" s="1224"/>
      <c r="P50" s="1224"/>
      <c r="Q50" s="1224"/>
      <c r="R50" s="1155"/>
      <c r="U50" s="383"/>
      <c r="V50" s="383"/>
    </row>
    <row r="51" spans="1:22" ht="17.25" hidden="1" customHeight="1">
      <c r="A51" s="1200"/>
      <c r="B51" s="1201" t="s">
        <v>1417</v>
      </c>
      <c r="C51" s="1202"/>
      <c r="D51" s="1195"/>
      <c r="E51" s="1196"/>
      <c r="F51" s="1196"/>
      <c r="G51" s="1196">
        <v>15</v>
      </c>
      <c r="H51" s="1196">
        <v>15.5</v>
      </c>
      <c r="I51" s="1203">
        <v>15</v>
      </c>
      <c r="J51" s="1198">
        <v>15</v>
      </c>
      <c r="K51" s="1198"/>
      <c r="L51" s="1196"/>
      <c r="M51" s="1196"/>
      <c r="N51" s="1196"/>
      <c r="O51" s="1224"/>
      <c r="P51" s="1224"/>
      <c r="Q51" s="1224"/>
      <c r="R51" s="1155"/>
      <c r="U51" s="383"/>
      <c r="V51" s="383"/>
    </row>
    <row r="52" spans="1:22" ht="19.5" hidden="1" customHeight="1">
      <c r="A52" s="1192"/>
      <c r="B52" s="1204" t="s">
        <v>2313</v>
      </c>
      <c r="C52" s="1194"/>
      <c r="D52" s="1195"/>
      <c r="E52" s="1205">
        <v>700</v>
      </c>
      <c r="F52" s="1196"/>
      <c r="G52" s="1196"/>
      <c r="H52" s="1196">
        <v>0.63</v>
      </c>
      <c r="I52" s="1197"/>
      <c r="J52" s="1198"/>
      <c r="K52" s="1198"/>
      <c r="L52" s="1196"/>
      <c r="M52" s="1196"/>
      <c r="N52" s="1196"/>
      <c r="O52" s="1224"/>
      <c r="P52" s="1224"/>
      <c r="Q52" s="1224"/>
      <c r="R52" s="1155"/>
      <c r="U52" s="383"/>
      <c r="V52" s="383"/>
    </row>
    <row r="53" spans="1:22" ht="19.5" hidden="1" customHeight="1">
      <c r="A53" s="1192"/>
      <c r="B53" s="1193" t="s">
        <v>3526</v>
      </c>
      <c r="C53" s="1194"/>
      <c r="D53" s="1195"/>
      <c r="E53" s="1205">
        <v>107400</v>
      </c>
      <c r="F53" s="1196"/>
      <c r="G53" s="1196"/>
      <c r="H53" s="1196">
        <v>1.5</v>
      </c>
      <c r="I53" s="1197"/>
      <c r="J53" s="1198"/>
      <c r="K53" s="1156"/>
      <c r="L53" s="1156"/>
      <c r="M53" s="1206"/>
      <c r="N53" s="1206"/>
      <c r="O53" s="1225"/>
      <c r="P53" s="1225"/>
      <c r="Q53" s="1225"/>
      <c r="R53" s="782"/>
      <c r="U53" s="383"/>
      <c r="V53" s="383"/>
    </row>
    <row r="54" spans="1:22" ht="26.25" hidden="1" customHeight="1">
      <c r="A54" s="1207"/>
      <c r="B54" s="1199" t="s">
        <v>2314</v>
      </c>
      <c r="C54" s="1208"/>
      <c r="D54" s="1209"/>
      <c r="E54" s="1205">
        <v>30000</v>
      </c>
      <c r="F54" s="1196"/>
      <c r="G54" s="1210"/>
      <c r="H54" s="1196">
        <v>31.06</v>
      </c>
      <c r="I54" s="1197"/>
      <c r="J54" s="1198"/>
      <c r="K54" s="1198"/>
      <c r="L54" s="1196"/>
      <c r="M54" s="1206"/>
      <c r="N54" s="1206"/>
      <c r="O54" s="1225"/>
      <c r="P54" s="1225"/>
      <c r="Q54" s="1225"/>
      <c r="R54" s="782"/>
      <c r="U54" s="383"/>
      <c r="V54" s="383"/>
    </row>
    <row r="55" spans="1:22" ht="26.25" hidden="1" customHeight="1">
      <c r="A55" s="1211"/>
      <c r="B55" s="1201" t="s">
        <v>2315</v>
      </c>
      <c r="C55" s="1212"/>
      <c r="D55" s="1213"/>
      <c r="E55" s="1205">
        <v>12750</v>
      </c>
      <c r="F55" s="1196"/>
      <c r="G55" s="1196"/>
      <c r="H55" s="1196">
        <v>8.94</v>
      </c>
      <c r="I55" s="1197"/>
      <c r="J55" s="1198"/>
      <c r="K55" s="1198"/>
      <c r="L55" s="1196"/>
      <c r="M55" s="1214"/>
      <c r="N55" s="1214"/>
      <c r="O55" s="1226"/>
      <c r="P55" s="1226"/>
      <c r="Q55" s="1226"/>
      <c r="R55" s="782"/>
      <c r="U55" s="383"/>
      <c r="V55" s="383"/>
    </row>
    <row r="56" spans="1:22" ht="20.100000000000001" customHeight="1">
      <c r="A56" s="1799" t="s">
        <v>2665</v>
      </c>
      <c r="B56" s="1825" t="s">
        <v>1551</v>
      </c>
      <c r="C56" s="1827">
        <v>300079075</v>
      </c>
      <c r="D56" s="687" t="s">
        <v>1817</v>
      </c>
      <c r="E56" s="688">
        <v>555.20000000000005</v>
      </c>
      <c r="F56" s="1151">
        <f t="shared" ref="F56:F57" si="20">H56/E56-1</f>
        <v>2.6296829971181435E-2</v>
      </c>
      <c r="G56" s="688">
        <v>583.53800000000001</v>
      </c>
      <c r="H56" s="667">
        <f>497.4+72.4</f>
        <v>569.79999999999995</v>
      </c>
      <c r="I56" s="679">
        <v>570</v>
      </c>
      <c r="J56" s="680">
        <v>571</v>
      </c>
      <c r="K56" s="1701" t="s">
        <v>2987</v>
      </c>
      <c r="L56" s="1697" t="s">
        <v>2278</v>
      </c>
      <c r="M56" s="1656" t="s">
        <v>1876</v>
      </c>
      <c r="N56" s="1656" t="s">
        <v>1833</v>
      </c>
      <c r="O56" s="1679" t="s">
        <v>11</v>
      </c>
      <c r="P56" s="1679" t="s">
        <v>11</v>
      </c>
      <c r="Q56" s="1679" t="s">
        <v>11</v>
      </c>
      <c r="R56" s="1679" t="s">
        <v>2932</v>
      </c>
      <c r="U56" s="383"/>
      <c r="V56" s="383"/>
    </row>
    <row r="57" spans="1:22" ht="43.8" customHeight="1">
      <c r="A57" s="1807"/>
      <c r="B57" s="1789"/>
      <c r="C57" s="1810"/>
      <c r="D57" s="682" t="s">
        <v>1372</v>
      </c>
      <c r="E57" s="671">
        <f>E56</f>
        <v>555.20000000000005</v>
      </c>
      <c r="F57" s="1152">
        <f t="shared" si="20"/>
        <v>2.6296829971181435E-2</v>
      </c>
      <c r="G57" s="671">
        <f t="shared" ref="G57:J57" si="21">G56</f>
        <v>583.53800000000001</v>
      </c>
      <c r="H57" s="671">
        <f t="shared" si="21"/>
        <v>569.79999999999995</v>
      </c>
      <c r="I57" s="671">
        <f t="shared" si="21"/>
        <v>570</v>
      </c>
      <c r="J57" s="671">
        <f t="shared" si="21"/>
        <v>571</v>
      </c>
      <c r="K57" s="1701"/>
      <c r="L57" s="1698"/>
      <c r="M57" s="1657"/>
      <c r="N57" s="1657"/>
      <c r="O57" s="1866"/>
      <c r="P57" s="1866"/>
      <c r="Q57" s="1866"/>
      <c r="R57" s="1866"/>
      <c r="U57" s="383"/>
      <c r="V57" s="383"/>
    </row>
    <row r="58" spans="1:22" ht="26.25" customHeight="1">
      <c r="A58" s="1807" t="s">
        <v>2666</v>
      </c>
      <c r="B58" s="1789" t="s">
        <v>1552</v>
      </c>
      <c r="C58" s="1810" t="s">
        <v>1376</v>
      </c>
      <c r="D58" s="678" t="s">
        <v>1817</v>
      </c>
      <c r="E58" s="667">
        <f>SUM(E61:E71)</f>
        <v>354.83</v>
      </c>
      <c r="F58" s="1154">
        <f>H58/E58-1</f>
        <v>7.2513598061043405E-2</v>
      </c>
      <c r="G58" s="667">
        <f t="shared" ref="G58:J58" si="22">SUM(G61:G71)</f>
        <v>359.41899999999998</v>
      </c>
      <c r="H58" s="667">
        <f>H61+H62+H63+H64+H65+H66+H67+H69+H70+H71</f>
        <v>380.56</v>
      </c>
      <c r="I58" s="667">
        <f t="shared" si="22"/>
        <v>380.56</v>
      </c>
      <c r="J58" s="667">
        <f t="shared" si="22"/>
        <v>380.56</v>
      </c>
      <c r="K58" s="1886" t="s">
        <v>2930</v>
      </c>
      <c r="L58" s="1697" t="s">
        <v>2279</v>
      </c>
      <c r="M58" s="1656" t="s">
        <v>1877</v>
      </c>
      <c r="N58" s="1656" t="s">
        <v>1834</v>
      </c>
      <c r="O58" s="1679" t="s">
        <v>3913</v>
      </c>
      <c r="P58" s="1679" t="s">
        <v>3913</v>
      </c>
      <c r="Q58" s="1679" t="s">
        <v>3913</v>
      </c>
      <c r="R58" s="1866"/>
      <c r="U58" s="383"/>
      <c r="V58" s="383"/>
    </row>
    <row r="59" spans="1:22" ht="26.25" customHeight="1">
      <c r="A59" s="1807"/>
      <c r="B59" s="1789"/>
      <c r="C59" s="1810"/>
      <c r="D59" s="678" t="s">
        <v>1422</v>
      </c>
      <c r="E59" s="667"/>
      <c r="F59" s="1154"/>
      <c r="G59" s="667"/>
      <c r="H59" s="667">
        <f>H68</f>
        <v>0.55200000000000005</v>
      </c>
      <c r="I59" s="667">
        <v>0.55500000000000005</v>
      </c>
      <c r="J59" s="667">
        <v>0.6</v>
      </c>
      <c r="K59" s="1886"/>
      <c r="L59" s="1697"/>
      <c r="M59" s="1657"/>
      <c r="N59" s="1657"/>
      <c r="O59" s="1866"/>
      <c r="P59" s="1866"/>
      <c r="Q59" s="1866"/>
      <c r="R59" s="1866"/>
      <c r="U59" s="383"/>
      <c r="V59" s="383"/>
    </row>
    <row r="60" spans="1:22" ht="56.4" customHeight="1">
      <c r="A60" s="1807"/>
      <c r="B60" s="1789"/>
      <c r="C60" s="1810"/>
      <c r="D60" s="682" t="s">
        <v>1372</v>
      </c>
      <c r="E60" s="671">
        <f>E58</f>
        <v>354.83</v>
      </c>
      <c r="F60" s="1152">
        <f>F58</f>
        <v>7.2513598061043405E-2</v>
      </c>
      <c r="G60" s="671">
        <f t="shared" ref="G60" si="23">G58</f>
        <v>359.41899999999998</v>
      </c>
      <c r="H60" s="671">
        <f>H58+H59</f>
        <v>381.11200000000002</v>
      </c>
      <c r="I60" s="671">
        <f t="shared" ref="I60:J60" si="24">I58+I59</f>
        <v>381.11500000000001</v>
      </c>
      <c r="J60" s="671">
        <f t="shared" si="24"/>
        <v>381.16</v>
      </c>
      <c r="K60" s="1655"/>
      <c r="L60" s="1698"/>
      <c r="M60" s="1657"/>
      <c r="N60" s="1657"/>
      <c r="O60" s="1866"/>
      <c r="P60" s="1866"/>
      <c r="Q60" s="1866"/>
      <c r="R60" s="1866"/>
      <c r="U60" s="383"/>
      <c r="V60" s="383"/>
    </row>
    <row r="61" spans="1:22" s="388" customFormat="1" ht="20.100000000000001" hidden="1" customHeight="1">
      <c r="A61" s="1159"/>
      <c r="B61" s="1216" t="s">
        <v>1805</v>
      </c>
      <c r="C61" s="1160"/>
      <c r="D61" s="1161"/>
      <c r="E61" s="1157">
        <v>20</v>
      </c>
      <c r="F61" s="1157"/>
      <c r="G61" s="1157">
        <v>27.19</v>
      </c>
      <c r="H61" s="1157">
        <v>25.86</v>
      </c>
      <c r="I61" s="1157">
        <v>25.86</v>
      </c>
      <c r="J61" s="1157">
        <v>25.86</v>
      </c>
      <c r="K61" s="1157"/>
      <c r="L61" s="1158"/>
      <c r="M61" s="1157"/>
      <c r="N61" s="1157"/>
      <c r="O61" s="1227"/>
      <c r="P61" s="1227"/>
      <c r="Q61" s="1227"/>
      <c r="R61" s="1866"/>
    </row>
    <row r="62" spans="1:22" s="388" customFormat="1" ht="20.100000000000001" hidden="1" customHeight="1">
      <c r="A62" s="1159"/>
      <c r="B62" s="1216" t="s">
        <v>1806</v>
      </c>
      <c r="C62" s="1160"/>
      <c r="D62" s="1161"/>
      <c r="E62" s="1157">
        <v>67</v>
      </c>
      <c r="F62" s="1157"/>
      <c r="G62" s="1157">
        <v>79.613</v>
      </c>
      <c r="H62" s="1157">
        <v>66</v>
      </c>
      <c r="I62" s="1157">
        <v>66</v>
      </c>
      <c r="J62" s="1157">
        <v>66</v>
      </c>
      <c r="K62" s="1157"/>
      <c r="L62" s="1158"/>
      <c r="M62" s="1157"/>
      <c r="N62" s="1157"/>
      <c r="O62" s="1227"/>
      <c r="P62" s="1227"/>
      <c r="Q62" s="1227"/>
      <c r="R62" s="1866"/>
    </row>
    <row r="63" spans="1:22" s="388" customFormat="1" ht="20.100000000000001" hidden="1" customHeight="1">
      <c r="A63" s="1159"/>
      <c r="B63" s="1216" t="s">
        <v>1807</v>
      </c>
      <c r="C63" s="1160"/>
      <c r="D63" s="1161"/>
      <c r="E63" s="1157">
        <v>108.83</v>
      </c>
      <c r="F63" s="1157"/>
      <c r="G63" s="1157">
        <v>86.5</v>
      </c>
      <c r="H63" s="1157">
        <v>106</v>
      </c>
      <c r="I63" s="1157">
        <v>106</v>
      </c>
      <c r="J63" s="1157">
        <v>106</v>
      </c>
      <c r="K63" s="1157"/>
      <c r="L63" s="1158"/>
      <c r="M63" s="1157"/>
      <c r="N63" s="1157"/>
      <c r="O63" s="1227"/>
      <c r="P63" s="1227"/>
      <c r="Q63" s="1227"/>
      <c r="R63" s="1866"/>
    </row>
    <row r="64" spans="1:22" s="388" customFormat="1" ht="20.100000000000001" hidden="1" customHeight="1">
      <c r="A64" s="1159"/>
      <c r="B64" s="1216" t="s">
        <v>1808</v>
      </c>
      <c r="C64" s="1160"/>
      <c r="D64" s="1161"/>
      <c r="E64" s="1157">
        <v>65</v>
      </c>
      <c r="F64" s="1157"/>
      <c r="G64" s="1157">
        <v>65</v>
      </c>
      <c r="H64" s="1157">
        <v>75</v>
      </c>
      <c r="I64" s="1157">
        <v>75</v>
      </c>
      <c r="J64" s="1157">
        <v>75</v>
      </c>
      <c r="K64" s="1157"/>
      <c r="L64" s="1158"/>
      <c r="M64" s="1157"/>
      <c r="N64" s="1157"/>
      <c r="O64" s="1227"/>
      <c r="P64" s="1227"/>
      <c r="Q64" s="1227"/>
      <c r="R64" s="1866"/>
    </row>
    <row r="65" spans="1:22" s="388" customFormat="1" ht="20.100000000000001" hidden="1" customHeight="1">
      <c r="A65" s="1159"/>
      <c r="B65" s="1216" t="s">
        <v>1809</v>
      </c>
      <c r="C65" s="1160"/>
      <c r="D65" s="1161"/>
      <c r="E65" s="1157">
        <v>42</v>
      </c>
      <c r="F65" s="1157"/>
      <c r="G65" s="1157">
        <v>42</v>
      </c>
      <c r="H65" s="1157">
        <v>49</v>
      </c>
      <c r="I65" s="1157">
        <v>49</v>
      </c>
      <c r="J65" s="1157">
        <v>49</v>
      </c>
      <c r="K65" s="1157"/>
      <c r="L65" s="1158"/>
      <c r="M65" s="1157"/>
      <c r="N65" s="1157"/>
      <c r="O65" s="1227"/>
      <c r="P65" s="1227"/>
      <c r="Q65" s="1227"/>
      <c r="R65" s="1866"/>
    </row>
    <row r="66" spans="1:22" s="388" customFormat="1" ht="20.100000000000001" hidden="1" customHeight="1">
      <c r="A66" s="1159"/>
      <c r="B66" s="1216" t="s">
        <v>1810</v>
      </c>
      <c r="C66" s="1160"/>
      <c r="D66" s="1161"/>
      <c r="E66" s="1158">
        <v>13</v>
      </c>
      <c r="F66" s="1157"/>
      <c r="G66" s="1157">
        <v>13</v>
      </c>
      <c r="H66" s="1157">
        <v>16</v>
      </c>
      <c r="I66" s="1157">
        <v>16</v>
      </c>
      <c r="J66" s="1157">
        <v>16</v>
      </c>
      <c r="K66" s="1157"/>
      <c r="L66" s="1158"/>
      <c r="M66" s="1158"/>
      <c r="N66" s="1158"/>
      <c r="O66" s="1227"/>
      <c r="P66" s="1227"/>
      <c r="Q66" s="1227"/>
      <c r="R66" s="1866"/>
    </row>
    <row r="67" spans="1:22" s="388" customFormat="1" ht="20.100000000000001" hidden="1" customHeight="1">
      <c r="A67" s="1159"/>
      <c r="B67" s="2071" t="s">
        <v>1811</v>
      </c>
      <c r="C67" s="1160"/>
      <c r="D67" s="1161" t="s">
        <v>1817</v>
      </c>
      <c r="E67" s="1157">
        <v>5</v>
      </c>
      <c r="F67" s="1157"/>
      <c r="G67" s="1157">
        <v>11.5</v>
      </c>
      <c r="H67" s="1157">
        <v>6.7</v>
      </c>
      <c r="I67" s="1157">
        <v>6.7</v>
      </c>
      <c r="J67" s="1157">
        <v>6.7</v>
      </c>
      <c r="K67" s="1157"/>
      <c r="L67" s="1158"/>
      <c r="M67" s="1157"/>
      <c r="N67" s="1157"/>
      <c r="O67" s="1227"/>
      <c r="P67" s="1227"/>
      <c r="Q67" s="1227"/>
      <c r="R67" s="1866"/>
    </row>
    <row r="68" spans="1:22" s="388" customFormat="1" ht="20.100000000000001" hidden="1" customHeight="1">
      <c r="A68" s="1159"/>
      <c r="B68" s="2072"/>
      <c r="C68" s="1160"/>
      <c r="D68" s="1161" t="s">
        <v>1422</v>
      </c>
      <c r="E68" s="1157"/>
      <c r="F68" s="1157"/>
      <c r="G68" s="1157"/>
      <c r="H68" s="1157">
        <v>0.55200000000000005</v>
      </c>
      <c r="I68" s="1157"/>
      <c r="J68" s="1157"/>
      <c r="K68" s="1157"/>
      <c r="L68" s="1158"/>
      <c r="M68" s="1157"/>
      <c r="N68" s="1157"/>
      <c r="O68" s="1227"/>
      <c r="P68" s="1227"/>
      <c r="Q68" s="1227"/>
      <c r="R68" s="1866"/>
    </row>
    <row r="69" spans="1:22" s="388" customFormat="1" ht="20.100000000000001" hidden="1" customHeight="1">
      <c r="A69" s="1159"/>
      <c r="B69" s="1216" t="s">
        <v>1812</v>
      </c>
      <c r="C69" s="1160"/>
      <c r="D69" s="1161"/>
      <c r="E69" s="1157">
        <v>11</v>
      </c>
      <c r="F69" s="1157"/>
      <c r="G69" s="1157">
        <v>10.5</v>
      </c>
      <c r="H69" s="1157">
        <v>12</v>
      </c>
      <c r="I69" s="1157">
        <v>12</v>
      </c>
      <c r="J69" s="1157">
        <v>12</v>
      </c>
      <c r="K69" s="1157"/>
      <c r="L69" s="1158"/>
      <c r="M69" s="1157"/>
      <c r="N69" s="1157"/>
      <c r="O69" s="1227"/>
      <c r="P69" s="1227"/>
      <c r="Q69" s="1227"/>
      <c r="R69" s="1866"/>
    </row>
    <row r="70" spans="1:22" s="388" customFormat="1" ht="20.100000000000001" hidden="1" customHeight="1">
      <c r="A70" s="1159"/>
      <c r="B70" s="1216" t="s">
        <v>1813</v>
      </c>
      <c r="C70" s="1160"/>
      <c r="D70" s="1161"/>
      <c r="E70" s="1157">
        <v>11</v>
      </c>
      <c r="F70" s="1157"/>
      <c r="G70" s="1157">
        <v>11.7</v>
      </c>
      <c r="H70" s="1157">
        <v>12</v>
      </c>
      <c r="I70" s="1157">
        <v>12</v>
      </c>
      <c r="J70" s="1157">
        <v>12</v>
      </c>
      <c r="K70" s="1157"/>
      <c r="L70" s="1158"/>
      <c r="M70" s="1157"/>
      <c r="N70" s="1157"/>
      <c r="O70" s="1227"/>
      <c r="P70" s="1227"/>
      <c r="Q70" s="1227"/>
      <c r="R70" s="1866"/>
    </row>
    <row r="71" spans="1:22" s="388" customFormat="1" ht="20.100000000000001" hidden="1" customHeight="1">
      <c r="A71" s="1159"/>
      <c r="B71" s="1217" t="s">
        <v>1814</v>
      </c>
      <c r="C71" s="1160"/>
      <c r="D71" s="1161"/>
      <c r="E71" s="1157">
        <v>12</v>
      </c>
      <c r="F71" s="1157"/>
      <c r="G71" s="1157">
        <v>12.416</v>
      </c>
      <c r="H71" s="1157">
        <v>12</v>
      </c>
      <c r="I71" s="1157">
        <v>12</v>
      </c>
      <c r="J71" s="1157">
        <v>12</v>
      </c>
      <c r="K71" s="1157"/>
      <c r="L71" s="1158"/>
      <c r="M71" s="1157"/>
      <c r="N71" s="1157"/>
      <c r="O71" s="1227"/>
      <c r="P71" s="1227"/>
      <c r="Q71" s="1227"/>
      <c r="R71" s="1866"/>
    </row>
    <row r="72" spans="1:22" ht="20.100000000000001" customHeight="1">
      <c r="A72" s="1807" t="s">
        <v>2667</v>
      </c>
      <c r="B72" s="1789" t="s">
        <v>1553</v>
      </c>
      <c r="C72" s="1810" t="s">
        <v>1376</v>
      </c>
      <c r="D72" s="678" t="s">
        <v>1817</v>
      </c>
      <c r="E72" s="667">
        <f>SUM(E75:E85)</f>
        <v>54.879999999999995</v>
      </c>
      <c r="F72" s="1154">
        <f>H72/E72-1</f>
        <v>0.1024052478134112</v>
      </c>
      <c r="G72" s="667">
        <f t="shared" ref="G72:J72" si="25">SUM(G75:G85)</f>
        <v>4.5939999999999994</v>
      </c>
      <c r="H72" s="667">
        <f t="shared" si="25"/>
        <v>60.5</v>
      </c>
      <c r="I72" s="667">
        <f t="shared" si="25"/>
        <v>60.5</v>
      </c>
      <c r="J72" s="667">
        <f t="shared" si="25"/>
        <v>60.5</v>
      </c>
      <c r="K72" s="1654" t="s">
        <v>2930</v>
      </c>
      <c r="L72" s="1697" t="s">
        <v>2280</v>
      </c>
      <c r="M72" s="1656" t="s">
        <v>1878</v>
      </c>
      <c r="N72" s="1656" t="s">
        <v>1835</v>
      </c>
      <c r="O72" s="1679" t="s">
        <v>1836</v>
      </c>
      <c r="P72" s="1679" t="s">
        <v>1836</v>
      </c>
      <c r="Q72" s="1679" t="s">
        <v>1836</v>
      </c>
      <c r="R72" s="1866"/>
      <c r="U72" s="383"/>
      <c r="V72" s="383"/>
    </row>
    <row r="73" spans="1:22" ht="20.100000000000001" customHeight="1">
      <c r="A73" s="1818"/>
      <c r="B73" s="2030"/>
      <c r="C73" s="1820"/>
      <c r="D73" s="678" t="s">
        <v>668</v>
      </c>
      <c r="E73" s="692"/>
      <c r="F73" s="1154"/>
      <c r="G73" s="692"/>
      <c r="H73" s="667"/>
      <c r="I73" s="679"/>
      <c r="J73" s="680"/>
      <c r="K73" s="1886"/>
      <c r="L73" s="1698"/>
      <c r="M73" s="1657"/>
      <c r="N73" s="1657"/>
      <c r="O73" s="1866"/>
      <c r="P73" s="1866"/>
      <c r="Q73" s="1866"/>
      <c r="R73" s="1866"/>
      <c r="U73" s="383"/>
      <c r="V73" s="383"/>
    </row>
    <row r="74" spans="1:22" ht="20.100000000000001" customHeight="1">
      <c r="A74" s="1818"/>
      <c r="B74" s="2030"/>
      <c r="C74" s="1820"/>
      <c r="D74" s="682" t="s">
        <v>1372</v>
      </c>
      <c r="E74" s="671">
        <f>E72</f>
        <v>54.879999999999995</v>
      </c>
      <c r="F74" s="1152">
        <f t="shared" ref="F74" si="26">H74/E74-1</f>
        <v>0.1024052478134112</v>
      </c>
      <c r="G74" s="671">
        <f t="shared" ref="G74:J74" si="27">G72</f>
        <v>4.5939999999999994</v>
      </c>
      <c r="H74" s="671">
        <f t="shared" si="27"/>
        <v>60.5</v>
      </c>
      <c r="I74" s="671">
        <f t="shared" si="27"/>
        <v>60.5</v>
      </c>
      <c r="J74" s="671">
        <f t="shared" si="27"/>
        <v>60.5</v>
      </c>
      <c r="K74" s="1655"/>
      <c r="L74" s="1698"/>
      <c r="M74" s="1658"/>
      <c r="N74" s="1657"/>
      <c r="O74" s="1866"/>
      <c r="P74" s="1866"/>
      <c r="Q74" s="1866"/>
      <c r="R74" s="1866"/>
      <c r="U74" s="383"/>
      <c r="V74" s="383"/>
    </row>
    <row r="75" spans="1:22" s="388" customFormat="1" ht="20.100000000000001" hidden="1" customHeight="1">
      <c r="A75" s="1159"/>
      <c r="B75" s="1216" t="s">
        <v>1805</v>
      </c>
      <c r="C75" s="1160"/>
      <c r="D75" s="1161"/>
      <c r="E75" s="1218">
        <v>0.39200000000000002</v>
      </c>
      <c r="F75" s="1218"/>
      <c r="G75" s="1218"/>
      <c r="H75" s="1218">
        <v>0.22</v>
      </c>
      <c r="I75" s="1218">
        <v>0.22</v>
      </c>
      <c r="J75" s="1218">
        <v>0.22</v>
      </c>
      <c r="K75" s="1157"/>
      <c r="L75" s="1158"/>
      <c r="M75" s="1157"/>
      <c r="N75" s="1157"/>
      <c r="O75" s="1227"/>
      <c r="P75" s="1227"/>
      <c r="Q75" s="1227"/>
      <c r="R75" s="1866"/>
    </row>
    <row r="76" spans="1:22" s="388" customFormat="1" ht="20.100000000000001" hidden="1" customHeight="1">
      <c r="A76" s="1159"/>
      <c r="B76" s="1216" t="s">
        <v>1806</v>
      </c>
      <c r="C76" s="1160"/>
      <c r="D76" s="1161"/>
      <c r="E76" s="1218">
        <v>0.88200000000000001</v>
      </c>
      <c r="F76" s="1218"/>
      <c r="G76" s="1218">
        <v>0.78400000000000003</v>
      </c>
      <c r="H76" s="1218">
        <v>0.33</v>
      </c>
      <c r="I76" s="1218">
        <v>0.33</v>
      </c>
      <c r="J76" s="1218">
        <v>0.33</v>
      </c>
      <c r="K76" s="1157"/>
      <c r="L76" s="1158"/>
      <c r="M76" s="1157"/>
      <c r="N76" s="1157"/>
      <c r="O76" s="1227"/>
      <c r="P76" s="1227"/>
      <c r="Q76" s="1227"/>
      <c r="R76" s="1866"/>
    </row>
    <row r="77" spans="1:22" s="388" customFormat="1" ht="20.100000000000001" hidden="1" customHeight="1">
      <c r="A77" s="1159"/>
      <c r="B77" s="1216" t="s">
        <v>1807</v>
      </c>
      <c r="C77" s="1160"/>
      <c r="D77" s="1161"/>
      <c r="E77" s="1218">
        <v>1.47</v>
      </c>
      <c r="F77" s="1218"/>
      <c r="G77" s="1218">
        <v>1.47</v>
      </c>
      <c r="H77" s="1218">
        <v>0.55000000000000004</v>
      </c>
      <c r="I77" s="1218">
        <v>0.55000000000000004</v>
      </c>
      <c r="J77" s="1218">
        <v>0.55000000000000004</v>
      </c>
      <c r="K77" s="1157"/>
      <c r="L77" s="1158"/>
      <c r="M77" s="1157"/>
      <c r="N77" s="1157"/>
      <c r="O77" s="1227"/>
      <c r="P77" s="1227"/>
      <c r="Q77" s="1227"/>
      <c r="R77" s="1866"/>
    </row>
    <row r="78" spans="1:22" s="388" customFormat="1" ht="20.100000000000001" hidden="1" customHeight="1">
      <c r="A78" s="1159"/>
      <c r="B78" s="1216" t="s">
        <v>1808</v>
      </c>
      <c r="C78" s="1160"/>
      <c r="D78" s="1161"/>
      <c r="E78" s="1218">
        <v>0.68600000000000005</v>
      </c>
      <c r="F78" s="1218"/>
      <c r="G78" s="1218">
        <v>0.68600000000000005</v>
      </c>
      <c r="H78" s="1218">
        <v>0.55000000000000004</v>
      </c>
      <c r="I78" s="1218">
        <v>0.55000000000000004</v>
      </c>
      <c r="J78" s="1218">
        <v>0.55000000000000004</v>
      </c>
      <c r="K78" s="1157"/>
      <c r="L78" s="1158"/>
      <c r="M78" s="1157"/>
      <c r="N78" s="1157"/>
      <c r="O78" s="1227"/>
      <c r="P78" s="1227"/>
      <c r="Q78" s="1227"/>
      <c r="R78" s="1866"/>
    </row>
    <row r="79" spans="1:22" s="388" customFormat="1" ht="20.100000000000001" hidden="1" customHeight="1">
      <c r="A79" s="1159"/>
      <c r="B79" s="1216" t="s">
        <v>1809</v>
      </c>
      <c r="C79" s="1160"/>
      <c r="D79" s="1161"/>
      <c r="E79" s="1218">
        <v>0.49</v>
      </c>
      <c r="F79" s="1218"/>
      <c r="G79" s="1218">
        <v>0.49</v>
      </c>
      <c r="H79" s="1218">
        <v>0.33</v>
      </c>
      <c r="I79" s="1218">
        <v>0.33</v>
      </c>
      <c r="J79" s="1218">
        <v>0.33</v>
      </c>
      <c r="K79" s="1157"/>
      <c r="L79" s="1158"/>
      <c r="M79" s="1157"/>
      <c r="N79" s="1157"/>
      <c r="O79" s="1227"/>
      <c r="P79" s="1227"/>
      <c r="Q79" s="1227"/>
      <c r="R79" s="1866"/>
    </row>
    <row r="80" spans="1:22" s="388" customFormat="1" ht="20.100000000000001" hidden="1" customHeight="1">
      <c r="A80" s="1159"/>
      <c r="B80" s="1216" t="s">
        <v>1810</v>
      </c>
      <c r="C80" s="1160"/>
      <c r="D80" s="1161"/>
      <c r="E80" s="1219">
        <v>0.19600000000000001</v>
      </c>
      <c r="F80" s="1218"/>
      <c r="G80" s="1219">
        <v>0.19600000000000001</v>
      </c>
      <c r="H80" s="1218">
        <v>0.22</v>
      </c>
      <c r="I80" s="1218">
        <v>0.22</v>
      </c>
      <c r="J80" s="1218">
        <v>0.22</v>
      </c>
      <c r="K80" s="1158"/>
      <c r="L80" s="1158"/>
      <c r="M80" s="1158"/>
      <c r="N80" s="1158"/>
      <c r="O80" s="1227"/>
      <c r="P80" s="1227"/>
      <c r="Q80" s="1227"/>
      <c r="R80" s="1866"/>
    </row>
    <row r="81" spans="1:22" s="388" customFormat="1" ht="20.100000000000001" hidden="1" customHeight="1">
      <c r="A81" s="1159"/>
      <c r="B81" s="1216" t="s">
        <v>1811</v>
      </c>
      <c r="C81" s="1160"/>
      <c r="D81" s="1161"/>
      <c r="E81" s="1218">
        <v>0.19600000000000001</v>
      </c>
      <c r="F81" s="1218"/>
      <c r="G81" s="1218">
        <v>0.39200000000000002</v>
      </c>
      <c r="H81" s="1218">
        <v>0.22</v>
      </c>
      <c r="I81" s="1218">
        <v>0.22</v>
      </c>
      <c r="J81" s="1218">
        <v>0.22</v>
      </c>
      <c r="K81" s="1157"/>
      <c r="L81" s="1158"/>
      <c r="M81" s="1157"/>
      <c r="N81" s="1157"/>
      <c r="O81" s="1227"/>
      <c r="P81" s="1227"/>
      <c r="Q81" s="1227"/>
      <c r="R81" s="1866"/>
    </row>
    <row r="82" spans="1:22" s="388" customFormat="1" ht="20.100000000000001" hidden="1" customHeight="1">
      <c r="A82" s="1159"/>
      <c r="B82" s="1216" t="s">
        <v>1812</v>
      </c>
      <c r="C82" s="1160"/>
      <c r="D82" s="1161"/>
      <c r="E82" s="1218">
        <v>0.19600000000000001</v>
      </c>
      <c r="F82" s="1218"/>
      <c r="G82" s="1218">
        <v>0.19600000000000001</v>
      </c>
      <c r="H82" s="1218">
        <v>0.22</v>
      </c>
      <c r="I82" s="1218">
        <v>0.22</v>
      </c>
      <c r="J82" s="1218">
        <v>0.22</v>
      </c>
      <c r="K82" s="1157"/>
      <c r="L82" s="1158"/>
      <c r="M82" s="1157"/>
      <c r="N82" s="1157"/>
      <c r="O82" s="1227"/>
      <c r="P82" s="1227"/>
      <c r="Q82" s="1227"/>
      <c r="R82" s="1866"/>
    </row>
    <row r="83" spans="1:22" s="388" customFormat="1" ht="20.100000000000001" hidden="1" customHeight="1">
      <c r="A83" s="1159"/>
      <c r="B83" s="1216" t="s">
        <v>1813</v>
      </c>
      <c r="C83" s="1160"/>
      <c r="D83" s="1161"/>
      <c r="E83" s="1218">
        <v>0.19600000000000001</v>
      </c>
      <c r="F83" s="1218"/>
      <c r="G83" s="1218">
        <v>0.184</v>
      </c>
      <c r="H83" s="1218">
        <v>0.22</v>
      </c>
      <c r="I83" s="1218">
        <v>0.22</v>
      </c>
      <c r="J83" s="1218">
        <v>0.22</v>
      </c>
      <c r="K83" s="1157"/>
      <c r="L83" s="1158"/>
      <c r="M83" s="1157"/>
      <c r="N83" s="1157"/>
      <c r="O83" s="1227"/>
      <c r="P83" s="1227"/>
      <c r="Q83" s="1227"/>
      <c r="R83" s="1866"/>
    </row>
    <row r="84" spans="1:22" s="388" customFormat="1" ht="20.100000000000001" hidden="1" customHeight="1">
      <c r="A84" s="1159"/>
      <c r="B84" s="1217" t="s">
        <v>1814</v>
      </c>
      <c r="C84" s="1160"/>
      <c r="D84" s="1161"/>
      <c r="E84" s="1218">
        <v>0.19600000000000001</v>
      </c>
      <c r="F84" s="1218"/>
      <c r="G84" s="1218">
        <v>0.19600000000000001</v>
      </c>
      <c r="H84" s="1218">
        <v>0.22</v>
      </c>
      <c r="I84" s="1218">
        <v>0.22</v>
      </c>
      <c r="J84" s="1218">
        <v>0.22</v>
      </c>
      <c r="K84" s="1157"/>
      <c r="L84" s="1158"/>
      <c r="M84" s="1157"/>
      <c r="N84" s="1157"/>
      <c r="O84" s="1227"/>
      <c r="P84" s="1227"/>
      <c r="Q84" s="1227"/>
      <c r="R84" s="1866"/>
    </row>
    <row r="85" spans="1:22" s="388" customFormat="1" ht="20.100000000000001" hidden="1" customHeight="1">
      <c r="A85" s="1159"/>
      <c r="B85" s="1217" t="s">
        <v>1755</v>
      </c>
      <c r="C85" s="1159"/>
      <c r="D85" s="1159"/>
      <c r="E85" s="1218">
        <v>49.98</v>
      </c>
      <c r="F85" s="1218"/>
      <c r="G85" s="1218"/>
      <c r="H85" s="1218">
        <v>57.42</v>
      </c>
      <c r="I85" s="1218">
        <v>57.42</v>
      </c>
      <c r="J85" s="1218">
        <v>57.42</v>
      </c>
      <c r="K85" s="1162"/>
      <c r="L85" s="1158"/>
      <c r="M85" s="1163"/>
      <c r="N85" s="1163"/>
      <c r="O85" s="1228"/>
      <c r="P85" s="1228"/>
      <c r="Q85" s="1228"/>
      <c r="R85" s="1866"/>
    </row>
    <row r="86" spans="1:22" ht="26.25" customHeight="1">
      <c r="A86" s="1799" t="s">
        <v>2668</v>
      </c>
      <c r="B86" s="1825" t="s">
        <v>1554</v>
      </c>
      <c r="C86" s="1827" t="s">
        <v>1376</v>
      </c>
      <c r="D86" s="687" t="s">
        <v>1817</v>
      </c>
      <c r="E86" s="688">
        <f>SUM(E88:E90)</f>
        <v>436.90000000000003</v>
      </c>
      <c r="F86" s="1151">
        <f>H86/E86-1</f>
        <v>1.1688487067978941</v>
      </c>
      <c r="G86" s="688">
        <f t="shared" ref="G86:H86" si="28">SUM(G88:G90)</f>
        <v>921.48599999999999</v>
      </c>
      <c r="H86" s="688">
        <f t="shared" si="28"/>
        <v>947.56999999999994</v>
      </c>
      <c r="I86" s="688">
        <v>950</v>
      </c>
      <c r="J86" s="688">
        <v>951</v>
      </c>
      <c r="K86" s="1701" t="s">
        <v>2987</v>
      </c>
      <c r="L86" s="1697" t="s">
        <v>2281</v>
      </c>
      <c r="M86" s="1656" t="s">
        <v>1879</v>
      </c>
      <c r="N86" s="1656" t="s">
        <v>1837</v>
      </c>
      <c r="O86" s="1679" t="s">
        <v>2282</v>
      </c>
      <c r="P86" s="1679" t="s">
        <v>1843</v>
      </c>
      <c r="Q86" s="1679" t="s">
        <v>2283</v>
      </c>
      <c r="R86" s="1866"/>
      <c r="U86" s="383"/>
      <c r="V86" s="383"/>
    </row>
    <row r="87" spans="1:22" ht="27.75" customHeight="1">
      <c r="A87" s="1807"/>
      <c r="B87" s="1789"/>
      <c r="C87" s="1810"/>
      <c r="D87" s="682" t="s">
        <v>1372</v>
      </c>
      <c r="E87" s="671">
        <f>E86</f>
        <v>436.90000000000003</v>
      </c>
      <c r="F87" s="1152">
        <f t="shared" ref="F87:J87" si="29">F86</f>
        <v>1.1688487067978941</v>
      </c>
      <c r="G87" s="671">
        <f t="shared" si="29"/>
        <v>921.48599999999999</v>
      </c>
      <c r="H87" s="671">
        <f t="shared" si="29"/>
        <v>947.56999999999994</v>
      </c>
      <c r="I87" s="671">
        <f t="shared" si="29"/>
        <v>950</v>
      </c>
      <c r="J87" s="671">
        <f t="shared" si="29"/>
        <v>951</v>
      </c>
      <c r="K87" s="1701"/>
      <c r="L87" s="1698"/>
      <c r="M87" s="1657"/>
      <c r="N87" s="1657"/>
      <c r="O87" s="1866"/>
      <c r="P87" s="1866"/>
      <c r="Q87" s="1866"/>
      <c r="R87" s="1680"/>
      <c r="U87" s="383"/>
      <c r="V87" s="383"/>
    </row>
    <row r="88" spans="1:22" ht="20.100000000000001" hidden="1" customHeight="1">
      <c r="A88" s="852"/>
      <c r="B88" s="1220" t="s">
        <v>485</v>
      </c>
      <c r="C88" s="862"/>
      <c r="D88" s="703"/>
      <c r="E88" s="779">
        <v>357</v>
      </c>
      <c r="F88" s="779"/>
      <c r="G88" s="779">
        <v>815.83600000000001</v>
      </c>
      <c r="H88" s="779">
        <v>763</v>
      </c>
      <c r="I88" s="780">
        <v>820</v>
      </c>
      <c r="J88" s="892">
        <v>825</v>
      </c>
      <c r="K88" s="705"/>
      <c r="L88" s="779"/>
      <c r="M88" s="782"/>
      <c r="N88" s="782"/>
      <c r="O88" s="1229" t="s">
        <v>205</v>
      </c>
      <c r="P88" s="1229" t="s">
        <v>205</v>
      </c>
      <c r="Q88" s="1229" t="s">
        <v>205</v>
      </c>
      <c r="R88" s="782"/>
      <c r="U88" s="383"/>
      <c r="V88" s="383"/>
    </row>
    <row r="89" spans="1:22" ht="20.100000000000001" hidden="1" customHeight="1">
      <c r="A89" s="852"/>
      <c r="B89" s="1220" t="s">
        <v>1815</v>
      </c>
      <c r="C89" s="862"/>
      <c r="D89" s="703"/>
      <c r="E89" s="779">
        <v>40.6</v>
      </c>
      <c r="F89" s="779"/>
      <c r="G89" s="779"/>
      <c r="H89" s="779">
        <v>78.92</v>
      </c>
      <c r="I89" s="780"/>
      <c r="J89" s="892"/>
      <c r="K89" s="705"/>
      <c r="L89" s="779"/>
      <c r="M89" s="782"/>
      <c r="N89" s="782"/>
      <c r="O89" s="1229"/>
      <c r="P89" s="1229"/>
      <c r="Q89" s="1229"/>
      <c r="R89" s="782"/>
      <c r="U89" s="383"/>
      <c r="V89" s="383"/>
    </row>
    <row r="90" spans="1:22" ht="20.100000000000001" hidden="1" customHeight="1">
      <c r="A90" s="852"/>
      <c r="B90" s="1220" t="s">
        <v>1816</v>
      </c>
      <c r="C90" s="862"/>
      <c r="D90" s="703"/>
      <c r="E90" s="779">
        <v>39.299999999999997</v>
      </c>
      <c r="F90" s="779"/>
      <c r="G90" s="779">
        <v>105.65</v>
      </c>
      <c r="H90" s="779">
        <v>105.65</v>
      </c>
      <c r="I90" s="780"/>
      <c r="J90" s="892"/>
      <c r="K90" s="705"/>
      <c r="L90" s="779"/>
      <c r="M90" s="782"/>
      <c r="N90" s="782"/>
      <c r="O90" s="1229"/>
      <c r="P90" s="1229"/>
      <c r="Q90" s="1229"/>
      <c r="R90" s="782"/>
      <c r="U90" s="383"/>
      <c r="V90" s="383"/>
    </row>
    <row r="91" spans="1:22" ht="22.5" customHeight="1">
      <c r="A91" s="1807" t="s">
        <v>2669</v>
      </c>
      <c r="B91" s="1789" t="s">
        <v>1555</v>
      </c>
      <c r="C91" s="1810">
        <v>188711925</v>
      </c>
      <c r="D91" s="678" t="s">
        <v>668</v>
      </c>
      <c r="E91" s="667">
        <v>28</v>
      </c>
      <c r="F91" s="1154">
        <f t="shared" ref="F91:F97" si="30">H91/E91-1</f>
        <v>0.35714285714285721</v>
      </c>
      <c r="G91" s="667">
        <v>38.9</v>
      </c>
      <c r="H91" s="667">
        <v>38</v>
      </c>
      <c r="I91" s="667">
        <v>48.9</v>
      </c>
      <c r="J91" s="679">
        <v>58.9</v>
      </c>
      <c r="K91" s="1701" t="s">
        <v>2987</v>
      </c>
      <c r="L91" s="1697" t="s">
        <v>2284</v>
      </c>
      <c r="M91" s="1656" t="s">
        <v>1880</v>
      </c>
      <c r="N91" s="1656" t="s">
        <v>1838</v>
      </c>
      <c r="O91" s="1679" t="s">
        <v>551</v>
      </c>
      <c r="P91" s="1679" t="s">
        <v>1707</v>
      </c>
      <c r="Q91" s="1679" t="s">
        <v>1839</v>
      </c>
      <c r="R91" s="1679" t="s">
        <v>2932</v>
      </c>
      <c r="U91" s="383"/>
      <c r="V91" s="383"/>
    </row>
    <row r="92" spans="1:22" ht="24.75" customHeight="1">
      <c r="A92" s="1807"/>
      <c r="B92" s="1789"/>
      <c r="C92" s="1810"/>
      <c r="D92" s="682" t="s">
        <v>1372</v>
      </c>
      <c r="E92" s="671">
        <f>SUM(E91:E91)</f>
        <v>28</v>
      </c>
      <c r="F92" s="1152">
        <f t="shared" si="30"/>
        <v>0.35714285714285721</v>
      </c>
      <c r="G92" s="671">
        <f t="shared" ref="G92:J92" si="31">SUM(G91:G91)</f>
        <v>38.9</v>
      </c>
      <c r="H92" s="671">
        <f t="shared" si="31"/>
        <v>38</v>
      </c>
      <c r="I92" s="671">
        <f t="shared" si="31"/>
        <v>48.9</v>
      </c>
      <c r="J92" s="683">
        <f t="shared" si="31"/>
        <v>58.9</v>
      </c>
      <c r="K92" s="1701"/>
      <c r="L92" s="1698"/>
      <c r="M92" s="1657"/>
      <c r="N92" s="1657"/>
      <c r="O92" s="1866"/>
      <c r="P92" s="1866"/>
      <c r="Q92" s="1866"/>
      <c r="R92" s="1680"/>
      <c r="U92" s="383"/>
      <c r="V92" s="383"/>
    </row>
    <row r="93" spans="1:22" ht="38.25" customHeight="1">
      <c r="A93" s="664" t="s">
        <v>2670</v>
      </c>
      <c r="B93" s="664" t="s">
        <v>2311</v>
      </c>
      <c r="C93" s="1191"/>
      <c r="D93" s="1191"/>
      <c r="E93" s="761">
        <f>SUM(E96,E98,E100,E103,E106,E111,E113,E115,E117,E120,E123,E127,E129,E134,E136,E138,E142,E146,)</f>
        <v>713.99700000000007</v>
      </c>
      <c r="F93" s="760">
        <f t="shared" si="30"/>
        <v>0.19921232162039892</v>
      </c>
      <c r="G93" s="761">
        <f>SUM(G96,G98,G100,G103,G106,G111,G113,G115,G117,G120,G123,G127,G129,G134,G136,G138,G142,G146,)</f>
        <v>785.47</v>
      </c>
      <c r="H93" s="761">
        <f>SUM(H96,H98,H100,H103,H106,H111,H113,H115,H117,H120,H123,H127,H129,H134,H136,H138,H142,H146,)</f>
        <v>856.23400000000004</v>
      </c>
      <c r="I93" s="761">
        <f>SUM(I96,I98,I100,I103,I106,I111,I113,I115,I117,I120,I123,I127,I129,I134,I136,I138,I142,I146,)</f>
        <v>1417.6289999999999</v>
      </c>
      <c r="J93" s="761">
        <f>SUM(J96,J98,J100,J103,J106,J111,J113,J115,J117,J120,J123,J127,J129,J134,J136,J138,J142,J146,)</f>
        <v>713.28000000000009</v>
      </c>
      <c r="K93" s="762" t="s">
        <v>1226</v>
      </c>
      <c r="L93" s="738"/>
      <c r="M93" s="738"/>
      <c r="N93" s="664" t="s">
        <v>2309</v>
      </c>
      <c r="O93" s="762">
        <v>25</v>
      </c>
      <c r="P93" s="762">
        <v>26</v>
      </c>
      <c r="Q93" s="762">
        <v>27</v>
      </c>
      <c r="R93" s="1141" t="s">
        <v>2309</v>
      </c>
      <c r="U93" s="383"/>
      <c r="V93" s="383"/>
    </row>
    <row r="94" spans="1:22" ht="20.100000000000001" customHeight="1">
      <c r="A94" s="1799" t="s">
        <v>2671</v>
      </c>
      <c r="B94" s="1825" t="s">
        <v>1556</v>
      </c>
      <c r="C94" s="1827">
        <v>188711925</v>
      </c>
      <c r="D94" s="687" t="s">
        <v>668</v>
      </c>
      <c r="E94" s="688">
        <v>42</v>
      </c>
      <c r="F94" s="1151">
        <f t="shared" si="30"/>
        <v>-0.2857142857142857</v>
      </c>
      <c r="G94" s="688">
        <v>42.5</v>
      </c>
      <c r="H94" s="688">
        <v>30</v>
      </c>
      <c r="I94" s="688">
        <v>40</v>
      </c>
      <c r="J94" s="688">
        <v>40</v>
      </c>
      <c r="K94" s="1654" t="s">
        <v>2988</v>
      </c>
      <c r="L94" s="1667" t="s">
        <v>2285</v>
      </c>
      <c r="M94" s="1657" t="s">
        <v>1881</v>
      </c>
      <c r="N94" s="1657" t="s">
        <v>804</v>
      </c>
      <c r="O94" s="1866" t="s">
        <v>1840</v>
      </c>
      <c r="P94" s="1866" t="s">
        <v>1840</v>
      </c>
      <c r="Q94" s="1866" t="s">
        <v>1840</v>
      </c>
      <c r="R94" s="1679" t="s">
        <v>2924</v>
      </c>
      <c r="U94" s="383"/>
      <c r="V94" s="383"/>
    </row>
    <row r="95" spans="1:22" ht="20.100000000000001" customHeight="1">
      <c r="A95" s="1807"/>
      <c r="B95" s="1789"/>
      <c r="C95" s="1810"/>
      <c r="D95" s="678" t="s">
        <v>1422</v>
      </c>
      <c r="E95" s="667">
        <v>29.369</v>
      </c>
      <c r="F95" s="1151">
        <f t="shared" si="30"/>
        <v>-1</v>
      </c>
      <c r="G95" s="667">
        <v>57.1</v>
      </c>
      <c r="H95" s="667">
        <v>0</v>
      </c>
      <c r="I95" s="667">
        <v>57.1</v>
      </c>
      <c r="J95" s="667">
        <v>57.1</v>
      </c>
      <c r="K95" s="1886"/>
      <c r="L95" s="1707"/>
      <c r="M95" s="1657"/>
      <c r="N95" s="1657"/>
      <c r="O95" s="1866"/>
      <c r="P95" s="1866"/>
      <c r="Q95" s="1866"/>
      <c r="R95" s="1866"/>
      <c r="U95" s="383"/>
      <c r="V95" s="383"/>
    </row>
    <row r="96" spans="1:22" ht="24.75" customHeight="1">
      <c r="A96" s="1807"/>
      <c r="B96" s="1789"/>
      <c r="C96" s="1810"/>
      <c r="D96" s="682" t="s">
        <v>1372</v>
      </c>
      <c r="E96" s="671">
        <f>SUM(E94:E95)</f>
        <v>71.369</v>
      </c>
      <c r="F96" s="1152">
        <f t="shared" si="30"/>
        <v>-0.57964942762263727</v>
      </c>
      <c r="G96" s="671">
        <f t="shared" ref="G96:J96" si="32">SUM(G94:G95)</f>
        <v>99.6</v>
      </c>
      <c r="H96" s="671">
        <f t="shared" si="32"/>
        <v>30</v>
      </c>
      <c r="I96" s="671">
        <f t="shared" si="32"/>
        <v>97.1</v>
      </c>
      <c r="J96" s="671">
        <f t="shared" si="32"/>
        <v>97.1</v>
      </c>
      <c r="K96" s="1655"/>
      <c r="L96" s="1706"/>
      <c r="M96" s="1657"/>
      <c r="N96" s="1657"/>
      <c r="O96" s="1866"/>
      <c r="P96" s="1866"/>
      <c r="Q96" s="1866"/>
      <c r="R96" s="1680"/>
      <c r="U96" s="383"/>
      <c r="V96" s="383"/>
    </row>
    <row r="97" spans="1:22" ht="20.100000000000001" customHeight="1">
      <c r="A97" s="1807" t="s">
        <v>2672</v>
      </c>
      <c r="B97" s="1789" t="s">
        <v>1557</v>
      </c>
      <c r="C97" s="1810">
        <v>188711925</v>
      </c>
      <c r="D97" s="678" t="s">
        <v>668</v>
      </c>
      <c r="E97" s="667">
        <v>60</v>
      </c>
      <c r="F97" s="1154">
        <f t="shared" si="30"/>
        <v>-0.13933333333333331</v>
      </c>
      <c r="G97" s="667">
        <v>70</v>
      </c>
      <c r="H97" s="667">
        <v>51.64</v>
      </c>
      <c r="I97" s="679"/>
      <c r="J97" s="680"/>
      <c r="K97" s="1654" t="s">
        <v>2934</v>
      </c>
      <c r="L97" s="1665" t="s">
        <v>2302</v>
      </c>
      <c r="M97" s="1656" t="s">
        <v>1882</v>
      </c>
      <c r="N97" s="1656" t="s">
        <v>1841</v>
      </c>
      <c r="O97" s="1679" t="s">
        <v>469</v>
      </c>
      <c r="P97" s="1679" t="s">
        <v>613</v>
      </c>
      <c r="Q97" s="1679" t="s">
        <v>613</v>
      </c>
      <c r="R97" s="1679" t="s">
        <v>2935</v>
      </c>
      <c r="S97" s="383">
        <v>49140</v>
      </c>
      <c r="T97" s="383" t="s">
        <v>3527</v>
      </c>
      <c r="U97" s="383"/>
      <c r="V97" s="383"/>
    </row>
    <row r="98" spans="1:22" ht="30.6" customHeight="1">
      <c r="A98" s="1807"/>
      <c r="B98" s="1789"/>
      <c r="C98" s="1810"/>
      <c r="D98" s="682" t="s">
        <v>1372</v>
      </c>
      <c r="E98" s="671">
        <f>E97</f>
        <v>60</v>
      </c>
      <c r="F98" s="1152">
        <f t="shared" ref="F98:J98" si="33">F97</f>
        <v>-0.13933333333333331</v>
      </c>
      <c r="G98" s="671">
        <f t="shared" si="33"/>
        <v>70</v>
      </c>
      <c r="H98" s="671">
        <f t="shared" si="33"/>
        <v>51.64</v>
      </c>
      <c r="I98" s="671">
        <f t="shared" si="33"/>
        <v>0</v>
      </c>
      <c r="J98" s="671">
        <f t="shared" si="33"/>
        <v>0</v>
      </c>
      <c r="K98" s="1655"/>
      <c r="L98" s="1706"/>
      <c r="M98" s="1657"/>
      <c r="N98" s="1657"/>
      <c r="O98" s="1866"/>
      <c r="P98" s="1866"/>
      <c r="Q98" s="1866"/>
      <c r="R98" s="1680"/>
      <c r="S98" s="383">
        <v>2500</v>
      </c>
      <c r="T98" s="383" t="s">
        <v>3528</v>
      </c>
      <c r="U98" s="383"/>
      <c r="V98" s="383"/>
    </row>
    <row r="99" spans="1:22" ht="61.2" customHeight="1">
      <c r="A99" s="1807" t="s">
        <v>2673</v>
      </c>
      <c r="B99" s="1789" t="s">
        <v>1558</v>
      </c>
      <c r="C99" s="1810">
        <v>188711925</v>
      </c>
      <c r="D99" s="678" t="s">
        <v>668</v>
      </c>
      <c r="E99" s="667">
        <v>3</v>
      </c>
      <c r="F99" s="1154">
        <f>H99/E99-1</f>
        <v>0</v>
      </c>
      <c r="G99" s="667">
        <v>3</v>
      </c>
      <c r="H99" s="667">
        <v>3</v>
      </c>
      <c r="I99" s="667">
        <v>3</v>
      </c>
      <c r="J99" s="680">
        <v>3</v>
      </c>
      <c r="K99" s="1701" t="s">
        <v>2936</v>
      </c>
      <c r="L99" s="1665" t="s">
        <v>1821</v>
      </c>
      <c r="M99" s="1656" t="s">
        <v>1883</v>
      </c>
      <c r="N99" s="1656" t="s">
        <v>1842</v>
      </c>
      <c r="O99" s="1679" t="s">
        <v>1843</v>
      </c>
      <c r="P99" s="1679" t="s">
        <v>1843</v>
      </c>
      <c r="Q99" s="1679" t="s">
        <v>1843</v>
      </c>
      <c r="R99" s="1679" t="s">
        <v>2937</v>
      </c>
      <c r="U99" s="383"/>
      <c r="V99" s="383"/>
    </row>
    <row r="100" spans="1:22" ht="40.200000000000003" customHeight="1">
      <c r="A100" s="1818"/>
      <c r="B100" s="1789"/>
      <c r="C100" s="1820"/>
      <c r="D100" s="682" t="s">
        <v>1372</v>
      </c>
      <c r="E100" s="671">
        <f>E99</f>
        <v>3</v>
      </c>
      <c r="F100" s="671">
        <f t="shared" ref="F100:I100" si="34">F99</f>
        <v>0</v>
      </c>
      <c r="G100" s="671">
        <f t="shared" si="34"/>
        <v>3</v>
      </c>
      <c r="H100" s="671">
        <f t="shared" si="34"/>
        <v>3</v>
      </c>
      <c r="I100" s="671">
        <f t="shared" si="34"/>
        <v>3</v>
      </c>
      <c r="J100" s="683"/>
      <c r="K100" s="1701"/>
      <c r="L100" s="1706"/>
      <c r="M100" s="1657"/>
      <c r="N100" s="1657"/>
      <c r="O100" s="1866"/>
      <c r="P100" s="1866"/>
      <c r="Q100" s="1866"/>
      <c r="R100" s="1866"/>
      <c r="U100" s="383"/>
      <c r="V100" s="383"/>
    </row>
    <row r="101" spans="1:22" ht="44.4" customHeight="1">
      <c r="A101" s="1807" t="s">
        <v>2674</v>
      </c>
      <c r="B101" s="2028" t="s">
        <v>1559</v>
      </c>
      <c r="C101" s="1810">
        <v>188711925</v>
      </c>
      <c r="D101" s="678" t="s">
        <v>668</v>
      </c>
      <c r="E101" s="667">
        <v>28</v>
      </c>
      <c r="F101" s="1154">
        <f>H101/E101-1</f>
        <v>0.34285714285714297</v>
      </c>
      <c r="G101" s="667">
        <f>34.6+3</f>
        <v>37.6</v>
      </c>
      <c r="H101" s="667">
        <f>34.6+3</f>
        <v>37.6</v>
      </c>
      <c r="I101" s="679">
        <v>38</v>
      </c>
      <c r="J101" s="679">
        <v>39</v>
      </c>
      <c r="K101" s="1701"/>
      <c r="L101" s="1665" t="s">
        <v>3898</v>
      </c>
      <c r="M101" s="1679" t="s">
        <v>1884</v>
      </c>
      <c r="N101" s="1679" t="s">
        <v>1844</v>
      </c>
      <c r="O101" s="1679" t="s">
        <v>1845</v>
      </c>
      <c r="P101" s="1679" t="s">
        <v>1845</v>
      </c>
      <c r="Q101" s="1679" t="s">
        <v>1845</v>
      </c>
      <c r="R101" s="1866"/>
      <c r="S101" s="543" t="s">
        <v>3614</v>
      </c>
      <c r="U101" s="383"/>
      <c r="V101" s="383"/>
    </row>
    <row r="102" spans="1:22" ht="34.799999999999997" customHeight="1">
      <c r="A102" s="1807"/>
      <c r="B102" s="2029"/>
      <c r="C102" s="1831"/>
      <c r="D102" s="1164" t="s">
        <v>1422</v>
      </c>
      <c r="E102" s="839">
        <v>0.44900000000000001</v>
      </c>
      <c r="F102" s="1165">
        <f>H102/E102-1</f>
        <v>0.42761692650334071</v>
      </c>
      <c r="G102" s="839"/>
      <c r="H102" s="839">
        <f>H104</f>
        <v>0.64100000000000001</v>
      </c>
      <c r="I102" s="877"/>
      <c r="J102" s="840"/>
      <c r="K102" s="1701"/>
      <c r="L102" s="1667"/>
      <c r="M102" s="1866"/>
      <c r="N102" s="1866"/>
      <c r="O102" s="1866"/>
      <c r="P102" s="1866"/>
      <c r="Q102" s="1866"/>
      <c r="R102" s="1866"/>
      <c r="U102" s="383"/>
      <c r="V102" s="383"/>
    </row>
    <row r="103" spans="1:22" ht="46.2" customHeight="1">
      <c r="A103" s="1818"/>
      <c r="B103" s="2029"/>
      <c r="C103" s="1821"/>
      <c r="D103" s="685" t="s">
        <v>1372</v>
      </c>
      <c r="E103" s="686">
        <f>SUM(E101:E102)</f>
        <v>28.449000000000002</v>
      </c>
      <c r="F103" s="875">
        <f>H103/E103-1</f>
        <v>0.34419487503954427</v>
      </c>
      <c r="G103" s="686">
        <f t="shared" ref="G103:J103" si="35">SUM(G101:G102)</f>
        <v>37.6</v>
      </c>
      <c r="H103" s="686">
        <f t="shared" si="35"/>
        <v>38.241</v>
      </c>
      <c r="I103" s="686">
        <f t="shared" si="35"/>
        <v>38</v>
      </c>
      <c r="J103" s="869">
        <f t="shared" si="35"/>
        <v>39</v>
      </c>
      <c r="K103" s="1701"/>
      <c r="L103" s="1667"/>
      <c r="M103" s="1866"/>
      <c r="N103" s="1866"/>
      <c r="O103" s="1866"/>
      <c r="P103" s="1866"/>
      <c r="Q103" s="1866"/>
      <c r="R103" s="1866"/>
      <c r="U103" s="383"/>
      <c r="V103" s="383"/>
    </row>
    <row r="104" spans="1:22" s="388" customFormat="1" ht="115.2" customHeight="1">
      <c r="A104" s="1166"/>
      <c r="B104" s="350" t="s">
        <v>1560</v>
      </c>
      <c r="C104" s="1167"/>
      <c r="D104" s="1168"/>
      <c r="E104" s="1221"/>
      <c r="F104" s="1221"/>
      <c r="G104" s="1221"/>
      <c r="H104" s="1221">
        <v>0.64100000000000001</v>
      </c>
      <c r="I104" s="1169"/>
      <c r="J104" s="1170"/>
      <c r="K104" s="1701"/>
      <c r="L104" s="1666"/>
      <c r="M104" s="1680"/>
      <c r="N104" s="1680"/>
      <c r="O104" s="1680"/>
      <c r="P104" s="1680"/>
      <c r="Q104" s="1680"/>
      <c r="R104" s="1680"/>
    </row>
    <row r="105" spans="1:22" ht="20.100000000000001" customHeight="1">
      <c r="A105" s="1807" t="s">
        <v>2675</v>
      </c>
      <c r="B105" s="1789" t="s">
        <v>1561</v>
      </c>
      <c r="C105" s="1810" t="s">
        <v>1376</v>
      </c>
      <c r="D105" s="678" t="s">
        <v>668</v>
      </c>
      <c r="E105" s="667">
        <v>3.5</v>
      </c>
      <c r="F105" s="1154">
        <f>H105/E105-1</f>
        <v>0</v>
      </c>
      <c r="G105" s="667">
        <f>G107+G108</f>
        <v>3.5</v>
      </c>
      <c r="H105" s="667">
        <v>3.5</v>
      </c>
      <c r="I105" s="667">
        <v>3.5</v>
      </c>
      <c r="J105" s="667">
        <v>3.5</v>
      </c>
      <c r="K105" s="1654" t="s">
        <v>2944</v>
      </c>
      <c r="L105" s="1665" t="s">
        <v>2286</v>
      </c>
      <c r="M105" s="1656" t="s">
        <v>1885</v>
      </c>
      <c r="N105" s="1656" t="s">
        <v>3529</v>
      </c>
      <c r="O105" s="1679" t="s">
        <v>3914</v>
      </c>
      <c r="P105" s="1679" t="s">
        <v>3914</v>
      </c>
      <c r="Q105" s="1679" t="s">
        <v>3914</v>
      </c>
      <c r="R105" s="1679" t="s">
        <v>2938</v>
      </c>
      <c r="U105" s="383"/>
      <c r="V105" s="383"/>
    </row>
    <row r="106" spans="1:22" ht="20.100000000000001" customHeight="1">
      <c r="A106" s="1807"/>
      <c r="B106" s="1789"/>
      <c r="C106" s="1810"/>
      <c r="D106" s="682" t="s">
        <v>1372</v>
      </c>
      <c r="E106" s="671">
        <f>E105</f>
        <v>3.5</v>
      </c>
      <c r="F106" s="1152">
        <f t="shared" ref="F106:J106" si="36">F105</f>
        <v>0</v>
      </c>
      <c r="G106" s="671">
        <f t="shared" si="36"/>
        <v>3.5</v>
      </c>
      <c r="H106" s="671">
        <f t="shared" si="36"/>
        <v>3.5</v>
      </c>
      <c r="I106" s="671">
        <f t="shared" si="36"/>
        <v>3.5</v>
      </c>
      <c r="J106" s="671">
        <f t="shared" si="36"/>
        <v>3.5</v>
      </c>
      <c r="K106" s="1886"/>
      <c r="L106" s="1706"/>
      <c r="M106" s="1657"/>
      <c r="N106" s="1657"/>
      <c r="O106" s="1866"/>
      <c r="P106" s="1866"/>
      <c r="Q106" s="1866"/>
      <c r="R106" s="1866"/>
      <c r="U106" s="383"/>
      <c r="V106" s="383"/>
    </row>
    <row r="107" spans="1:22" ht="20.100000000000001" hidden="1" customHeight="1">
      <c r="A107" s="852"/>
      <c r="B107" s="907" t="s">
        <v>485</v>
      </c>
      <c r="C107" s="862"/>
      <c r="D107" s="703"/>
      <c r="E107" s="779">
        <v>2</v>
      </c>
      <c r="F107" s="779"/>
      <c r="G107" s="779">
        <v>2</v>
      </c>
      <c r="H107" s="779"/>
      <c r="I107" s="779">
        <v>2.7</v>
      </c>
      <c r="J107" s="779">
        <v>2.8</v>
      </c>
      <c r="K107" s="1886"/>
      <c r="L107" s="1171"/>
      <c r="M107" s="782"/>
      <c r="N107" s="893"/>
      <c r="O107" s="1225"/>
      <c r="P107" s="1225"/>
      <c r="Q107" s="1225"/>
      <c r="R107" s="1866"/>
      <c r="U107" s="383"/>
      <c r="V107" s="383"/>
    </row>
    <row r="108" spans="1:22" ht="20.100000000000001" hidden="1" customHeight="1">
      <c r="A108" s="852"/>
      <c r="B108" s="907" t="s">
        <v>3524</v>
      </c>
      <c r="C108" s="862"/>
      <c r="D108" s="703"/>
      <c r="E108" s="779"/>
      <c r="F108" s="779"/>
      <c r="G108" s="779">
        <v>1.5</v>
      </c>
      <c r="H108" s="779"/>
      <c r="I108" s="779"/>
      <c r="J108" s="779"/>
      <c r="K108" s="1886"/>
      <c r="L108" s="1171"/>
      <c r="M108" s="801"/>
      <c r="N108" s="1215"/>
      <c r="O108" s="1226"/>
      <c r="P108" s="1226"/>
      <c r="Q108" s="1226"/>
      <c r="R108" s="1866"/>
      <c r="U108" s="383"/>
      <c r="V108" s="383"/>
    </row>
    <row r="109" spans="1:22" ht="20.100000000000001" customHeight="1">
      <c r="A109" s="1807" t="s">
        <v>2676</v>
      </c>
      <c r="B109" s="1789" t="s">
        <v>1562</v>
      </c>
      <c r="C109" s="1810">
        <v>300079075</v>
      </c>
      <c r="D109" s="678" t="s">
        <v>668</v>
      </c>
      <c r="E109" s="667">
        <v>0.7</v>
      </c>
      <c r="F109" s="1154">
        <f t="shared" ref="F109" si="37">(G109-E109)/E109</f>
        <v>0</v>
      </c>
      <c r="G109" s="667">
        <v>0.7</v>
      </c>
      <c r="H109" s="667">
        <v>0.7</v>
      </c>
      <c r="I109" s="667">
        <v>2.2999999999999998</v>
      </c>
      <c r="J109" s="667">
        <v>2.5</v>
      </c>
      <c r="K109" s="1886"/>
      <c r="L109" s="1665" t="s">
        <v>2287</v>
      </c>
      <c r="M109" s="1656" t="s">
        <v>1886</v>
      </c>
      <c r="N109" s="1656" t="s">
        <v>1846</v>
      </c>
      <c r="O109" s="1679" t="s">
        <v>2303</v>
      </c>
      <c r="P109" s="1679" t="s">
        <v>2303</v>
      </c>
      <c r="Q109" s="1679" t="s">
        <v>2303</v>
      </c>
      <c r="R109" s="1866"/>
      <c r="U109" s="383"/>
      <c r="V109" s="383"/>
    </row>
    <row r="110" spans="1:22" ht="20.100000000000001" customHeight="1">
      <c r="A110" s="1807"/>
      <c r="B110" s="1789"/>
      <c r="C110" s="1810"/>
      <c r="D110" s="678" t="s">
        <v>1375</v>
      </c>
      <c r="E110" s="693">
        <v>1.9</v>
      </c>
      <c r="F110" s="1154">
        <f t="shared" ref="F110:F116" si="38">H110/E110-1</f>
        <v>0.45789473684210535</v>
      </c>
      <c r="G110" s="693">
        <v>2.77</v>
      </c>
      <c r="H110" s="693">
        <v>2.77</v>
      </c>
      <c r="I110" s="693">
        <v>0</v>
      </c>
      <c r="J110" s="693">
        <v>0</v>
      </c>
      <c r="K110" s="1886"/>
      <c r="L110" s="1707"/>
      <c r="M110" s="1657"/>
      <c r="N110" s="1657"/>
      <c r="O110" s="1866"/>
      <c r="P110" s="1866"/>
      <c r="Q110" s="1866"/>
      <c r="R110" s="1866"/>
      <c r="U110" s="383"/>
      <c r="V110" s="383"/>
    </row>
    <row r="111" spans="1:22" ht="20.100000000000001" customHeight="1">
      <c r="A111" s="1807"/>
      <c r="B111" s="1789"/>
      <c r="C111" s="1810"/>
      <c r="D111" s="682" t="s">
        <v>1372</v>
      </c>
      <c r="E111" s="671">
        <f>SUM(E109:E110)</f>
        <v>2.5999999999999996</v>
      </c>
      <c r="F111" s="1152">
        <f t="shared" si="38"/>
        <v>0.33461538461538476</v>
      </c>
      <c r="G111" s="671">
        <f t="shared" ref="G111:J111" si="39">SUM(G109:G110)</f>
        <v>3.4699999999999998</v>
      </c>
      <c r="H111" s="671">
        <f t="shared" si="39"/>
        <v>3.4699999999999998</v>
      </c>
      <c r="I111" s="671">
        <f t="shared" si="39"/>
        <v>2.2999999999999998</v>
      </c>
      <c r="J111" s="671">
        <f t="shared" si="39"/>
        <v>2.5</v>
      </c>
      <c r="K111" s="1655"/>
      <c r="L111" s="1706"/>
      <c r="M111" s="1657"/>
      <c r="N111" s="1657"/>
      <c r="O111" s="1866"/>
      <c r="P111" s="1866"/>
      <c r="Q111" s="1866"/>
      <c r="R111" s="1680"/>
      <c r="U111" s="383"/>
      <c r="V111" s="383"/>
    </row>
    <row r="112" spans="1:22" ht="20.100000000000001" customHeight="1">
      <c r="A112" s="1807" t="s">
        <v>2677</v>
      </c>
      <c r="B112" s="1789" t="s">
        <v>1563</v>
      </c>
      <c r="C112" s="1810">
        <v>188711925</v>
      </c>
      <c r="D112" s="678" t="s">
        <v>668</v>
      </c>
      <c r="E112" s="667">
        <v>106</v>
      </c>
      <c r="F112" s="1153">
        <f t="shared" si="38"/>
        <v>0</v>
      </c>
      <c r="G112" s="667">
        <v>150</v>
      </c>
      <c r="H112" s="667">
        <v>106</v>
      </c>
      <c r="I112" s="667">
        <v>200</v>
      </c>
      <c r="J112" s="680">
        <v>200</v>
      </c>
      <c r="K112" s="1654" t="s">
        <v>2933</v>
      </c>
      <c r="L112" s="1665" t="s">
        <v>3575</v>
      </c>
      <c r="M112" s="1656" t="s">
        <v>1887</v>
      </c>
      <c r="N112" s="1656" t="s">
        <v>1848</v>
      </c>
      <c r="O112" s="1679" t="s">
        <v>1694</v>
      </c>
      <c r="P112" s="1679" t="s">
        <v>1694</v>
      </c>
      <c r="Q112" s="1679" t="s">
        <v>1694</v>
      </c>
      <c r="R112" s="1679" t="s">
        <v>2939</v>
      </c>
      <c r="U112" s="383"/>
      <c r="V112" s="383"/>
    </row>
    <row r="113" spans="1:22" ht="25.5" customHeight="1">
      <c r="A113" s="1818"/>
      <c r="B113" s="1789"/>
      <c r="C113" s="1820"/>
      <c r="D113" s="682" t="s">
        <v>1372</v>
      </c>
      <c r="E113" s="671">
        <f>E112</f>
        <v>106</v>
      </c>
      <c r="F113" s="1152">
        <f t="shared" si="38"/>
        <v>0</v>
      </c>
      <c r="G113" s="671">
        <f t="shared" ref="G113:J113" si="40">G112</f>
        <v>150</v>
      </c>
      <c r="H113" s="671">
        <f t="shared" si="40"/>
        <v>106</v>
      </c>
      <c r="I113" s="671">
        <f t="shared" si="40"/>
        <v>200</v>
      </c>
      <c r="J113" s="671">
        <f t="shared" si="40"/>
        <v>200</v>
      </c>
      <c r="K113" s="1655"/>
      <c r="L113" s="1706"/>
      <c r="M113" s="1657"/>
      <c r="N113" s="1657"/>
      <c r="O113" s="1866"/>
      <c r="P113" s="1866"/>
      <c r="Q113" s="1866"/>
      <c r="R113" s="1680"/>
      <c r="U113" s="383"/>
      <c r="V113" s="383"/>
    </row>
    <row r="114" spans="1:22" ht="37.799999999999997" customHeight="1">
      <c r="A114" s="1807" t="s">
        <v>2678</v>
      </c>
      <c r="B114" s="2028" t="s">
        <v>1564</v>
      </c>
      <c r="C114" s="1810">
        <v>300079075</v>
      </c>
      <c r="D114" s="678" t="s">
        <v>668</v>
      </c>
      <c r="E114" s="667">
        <v>0.7</v>
      </c>
      <c r="F114" s="1154">
        <f t="shared" si="38"/>
        <v>0</v>
      </c>
      <c r="G114" s="667">
        <v>1.1000000000000001</v>
      </c>
      <c r="H114" s="667">
        <v>0.7</v>
      </c>
      <c r="I114" s="667">
        <v>1.2</v>
      </c>
      <c r="J114" s="680">
        <v>1.3</v>
      </c>
      <c r="K114" s="1701" t="s">
        <v>2942</v>
      </c>
      <c r="L114" s="1665" t="s">
        <v>2288</v>
      </c>
      <c r="M114" s="1656" t="s">
        <v>1888</v>
      </c>
      <c r="N114" s="1656" t="s">
        <v>1849</v>
      </c>
      <c r="O114" s="1679" t="s">
        <v>1940</v>
      </c>
      <c r="P114" s="1679" t="s">
        <v>1940</v>
      </c>
      <c r="Q114" s="1679" t="s">
        <v>1940</v>
      </c>
      <c r="R114" s="1679" t="s">
        <v>2940</v>
      </c>
      <c r="U114" s="383"/>
      <c r="V114" s="383"/>
    </row>
    <row r="115" spans="1:22" ht="39.6" customHeight="1">
      <c r="A115" s="1818"/>
      <c r="B115" s="2029"/>
      <c r="C115" s="1821"/>
      <c r="D115" s="685" t="s">
        <v>1372</v>
      </c>
      <c r="E115" s="686">
        <f>E114</f>
        <v>0.7</v>
      </c>
      <c r="F115" s="1152">
        <f t="shared" si="38"/>
        <v>0</v>
      </c>
      <c r="G115" s="686">
        <f>G114</f>
        <v>1.1000000000000001</v>
      </c>
      <c r="H115" s="686">
        <f>H114</f>
        <v>0.7</v>
      </c>
      <c r="I115" s="686">
        <f>I114</f>
        <v>1.2</v>
      </c>
      <c r="J115" s="869">
        <f>J114</f>
        <v>1.3</v>
      </c>
      <c r="K115" s="1701"/>
      <c r="L115" s="1706"/>
      <c r="M115" s="1657"/>
      <c r="N115" s="1657"/>
      <c r="O115" s="1866"/>
      <c r="P115" s="1866"/>
      <c r="Q115" s="1866"/>
      <c r="R115" s="1866"/>
      <c r="U115" s="383"/>
      <c r="V115" s="383"/>
    </row>
    <row r="116" spans="1:22" ht="44.4" customHeight="1">
      <c r="A116" s="1807" t="s">
        <v>2679</v>
      </c>
      <c r="B116" s="1789" t="s">
        <v>1565</v>
      </c>
      <c r="C116" s="1810">
        <v>190230824</v>
      </c>
      <c r="D116" s="678" t="s">
        <v>668</v>
      </c>
      <c r="E116" s="667">
        <v>45</v>
      </c>
      <c r="F116" s="1154">
        <f t="shared" si="38"/>
        <v>1.2666666666666666</v>
      </c>
      <c r="G116" s="667"/>
      <c r="H116" s="667">
        <v>102</v>
      </c>
      <c r="I116" s="667">
        <v>103</v>
      </c>
      <c r="J116" s="680">
        <v>104</v>
      </c>
      <c r="K116" s="1701"/>
      <c r="L116" s="1665" t="s">
        <v>2289</v>
      </c>
      <c r="M116" s="1656" t="s">
        <v>1889</v>
      </c>
      <c r="N116" s="1656" t="s">
        <v>2290</v>
      </c>
      <c r="O116" s="1679" t="s">
        <v>1727</v>
      </c>
      <c r="P116" s="1679" t="s">
        <v>1727</v>
      </c>
      <c r="Q116" s="1679" t="s">
        <v>1727</v>
      </c>
      <c r="R116" s="1866"/>
      <c r="U116" s="383"/>
      <c r="V116" s="383"/>
    </row>
    <row r="117" spans="1:22" ht="33" customHeight="1">
      <c r="A117" s="1807"/>
      <c r="B117" s="1789"/>
      <c r="C117" s="1810"/>
      <c r="D117" s="682" t="s">
        <v>1372</v>
      </c>
      <c r="E117" s="671">
        <f>E116</f>
        <v>45</v>
      </c>
      <c r="F117" s="1152">
        <f t="shared" ref="F117:J117" si="41">F116</f>
        <v>1.2666666666666666</v>
      </c>
      <c r="G117" s="671">
        <f t="shared" si="41"/>
        <v>0</v>
      </c>
      <c r="H117" s="671">
        <f t="shared" si="41"/>
        <v>102</v>
      </c>
      <c r="I117" s="671">
        <f t="shared" si="41"/>
        <v>103</v>
      </c>
      <c r="J117" s="683">
        <f t="shared" si="41"/>
        <v>104</v>
      </c>
      <c r="K117" s="1701"/>
      <c r="L117" s="1706"/>
      <c r="M117" s="1657"/>
      <c r="N117" s="1657"/>
      <c r="O117" s="1866"/>
      <c r="P117" s="1866"/>
      <c r="Q117" s="1866"/>
      <c r="R117" s="1866"/>
      <c r="U117" s="383"/>
      <c r="V117" s="383"/>
    </row>
    <row r="118" spans="1:22" ht="20.100000000000001" hidden="1" customHeight="1">
      <c r="A118" s="1807" t="s">
        <v>2680</v>
      </c>
      <c r="B118" s="1789" t="s">
        <v>1566</v>
      </c>
      <c r="C118" s="1810">
        <v>300079075</v>
      </c>
      <c r="D118" s="678" t="s">
        <v>668</v>
      </c>
      <c r="E118" s="667"/>
      <c r="F118" s="667"/>
      <c r="G118" s="667">
        <v>0</v>
      </c>
      <c r="H118" s="667">
        <v>0</v>
      </c>
      <c r="I118" s="679">
        <v>0</v>
      </c>
      <c r="J118" s="679">
        <v>0</v>
      </c>
      <c r="K118" s="1701"/>
      <c r="L118" s="2025" t="s">
        <v>2320</v>
      </c>
      <c r="M118" s="1656" t="s">
        <v>1890</v>
      </c>
      <c r="N118" s="1656"/>
      <c r="O118" s="1679"/>
      <c r="P118" s="1679"/>
      <c r="Q118" s="1679"/>
      <c r="R118" s="1866"/>
      <c r="U118" s="383"/>
      <c r="V118" s="383"/>
    </row>
    <row r="119" spans="1:22" ht="20.100000000000001" hidden="1" customHeight="1">
      <c r="A119" s="1807"/>
      <c r="B119" s="1789"/>
      <c r="C119" s="1810"/>
      <c r="D119" s="678" t="s">
        <v>1375</v>
      </c>
      <c r="E119" s="693"/>
      <c r="F119" s="693"/>
      <c r="G119" s="693"/>
      <c r="H119" s="693"/>
      <c r="I119" s="679"/>
      <c r="J119" s="680"/>
      <c r="K119" s="1701"/>
      <c r="L119" s="2026"/>
      <c r="M119" s="1657"/>
      <c r="N119" s="1657"/>
      <c r="O119" s="1866"/>
      <c r="P119" s="1866"/>
      <c r="Q119" s="1866"/>
      <c r="R119" s="1866"/>
      <c r="U119" s="383"/>
      <c r="V119" s="383"/>
    </row>
    <row r="120" spans="1:22" ht="20.100000000000001" hidden="1" customHeight="1">
      <c r="A120" s="1807"/>
      <c r="B120" s="1789"/>
      <c r="C120" s="1810"/>
      <c r="D120" s="682" t="s">
        <v>1372</v>
      </c>
      <c r="E120" s="671">
        <f>E118</f>
        <v>0</v>
      </c>
      <c r="F120" s="671">
        <f t="shared" ref="F120:J120" si="42">F118</f>
        <v>0</v>
      </c>
      <c r="G120" s="671">
        <f t="shared" si="42"/>
        <v>0</v>
      </c>
      <c r="H120" s="671">
        <f t="shared" si="42"/>
        <v>0</v>
      </c>
      <c r="I120" s="671">
        <f t="shared" si="42"/>
        <v>0</v>
      </c>
      <c r="J120" s="683">
        <f t="shared" si="42"/>
        <v>0</v>
      </c>
      <c r="K120" s="1701"/>
      <c r="L120" s="2027"/>
      <c r="M120" s="1657"/>
      <c r="N120" s="1657"/>
      <c r="O120" s="1866"/>
      <c r="P120" s="1866"/>
      <c r="Q120" s="1866"/>
      <c r="R120" s="1680"/>
      <c r="U120" s="383"/>
      <c r="V120" s="383"/>
    </row>
    <row r="121" spans="1:22" ht="20.100000000000001" customHeight="1">
      <c r="A121" s="1807" t="s">
        <v>2681</v>
      </c>
      <c r="B121" s="1789" t="s">
        <v>1567</v>
      </c>
      <c r="C121" s="1810">
        <v>188711925</v>
      </c>
      <c r="D121" s="678" t="s">
        <v>668</v>
      </c>
      <c r="E121" s="667">
        <v>41.5</v>
      </c>
      <c r="F121" s="1154">
        <f>H121/E121-1</f>
        <v>0.21084337349397586</v>
      </c>
      <c r="G121" s="667">
        <v>49.3</v>
      </c>
      <c r="H121" s="667">
        <v>50.25</v>
      </c>
      <c r="I121" s="667">
        <v>51</v>
      </c>
      <c r="J121" s="680">
        <v>52</v>
      </c>
      <c r="K121" s="1654" t="s">
        <v>2933</v>
      </c>
      <c r="L121" s="1665" t="s">
        <v>1822</v>
      </c>
      <c r="M121" s="1656" t="s">
        <v>1891</v>
      </c>
      <c r="N121" s="1656" t="s">
        <v>1851</v>
      </c>
      <c r="O121" s="1679" t="s">
        <v>469</v>
      </c>
      <c r="P121" s="1679" t="s">
        <v>469</v>
      </c>
      <c r="Q121" s="1679" t="s">
        <v>469</v>
      </c>
      <c r="R121" s="1679" t="s">
        <v>2924</v>
      </c>
      <c r="U121" s="383"/>
      <c r="V121" s="383"/>
    </row>
    <row r="122" spans="1:22" ht="20.100000000000001" customHeight="1">
      <c r="A122" s="1818"/>
      <c r="B122" s="1789"/>
      <c r="C122" s="1820"/>
      <c r="D122" s="678" t="s">
        <v>1754</v>
      </c>
      <c r="E122" s="667">
        <v>91.7</v>
      </c>
      <c r="F122" s="1154">
        <f>H122/E122-1</f>
        <v>8.2878953107960784E-2</v>
      </c>
      <c r="G122" s="667">
        <v>95.9</v>
      </c>
      <c r="H122" s="667">
        <v>99.3</v>
      </c>
      <c r="I122" s="679">
        <v>99.5</v>
      </c>
      <c r="J122" s="680">
        <v>99.5</v>
      </c>
      <c r="K122" s="1886"/>
      <c r="L122" s="1707"/>
      <c r="M122" s="1657"/>
      <c r="N122" s="1657"/>
      <c r="O122" s="1866"/>
      <c r="P122" s="1866"/>
      <c r="Q122" s="1866"/>
      <c r="R122" s="1866"/>
      <c r="U122" s="383"/>
      <c r="V122" s="383"/>
    </row>
    <row r="123" spans="1:22" ht="20.100000000000001" customHeight="1">
      <c r="A123" s="1818"/>
      <c r="B123" s="1789"/>
      <c r="C123" s="1820"/>
      <c r="D123" s="682" t="s">
        <v>1372</v>
      </c>
      <c r="E123" s="671">
        <f>SUM(E121:E122)</f>
        <v>133.19999999999999</v>
      </c>
      <c r="F123" s="1152">
        <f>H123/E123-1</f>
        <v>0.12274774774774788</v>
      </c>
      <c r="G123" s="671">
        <f t="shared" ref="G123:J123" si="43">SUM(G121:G122)</f>
        <v>145.19999999999999</v>
      </c>
      <c r="H123" s="671">
        <f t="shared" si="43"/>
        <v>149.55000000000001</v>
      </c>
      <c r="I123" s="671">
        <f t="shared" si="43"/>
        <v>150.5</v>
      </c>
      <c r="J123" s="683">
        <f t="shared" si="43"/>
        <v>151.5</v>
      </c>
      <c r="K123" s="1886"/>
      <c r="L123" s="1706"/>
      <c r="M123" s="1657"/>
      <c r="N123" s="1657"/>
      <c r="O123" s="1866"/>
      <c r="P123" s="1866"/>
      <c r="Q123" s="1680"/>
      <c r="R123" s="1866"/>
      <c r="U123" s="383"/>
      <c r="V123" s="383"/>
    </row>
    <row r="124" spans="1:22" ht="53.4" customHeight="1">
      <c r="A124" s="1807" t="s">
        <v>2682</v>
      </c>
      <c r="B124" s="1789" t="s">
        <v>1568</v>
      </c>
      <c r="C124" s="1810">
        <v>188711925</v>
      </c>
      <c r="D124" s="678" t="s">
        <v>668</v>
      </c>
      <c r="E124" s="667">
        <v>179.874</v>
      </c>
      <c r="F124" s="1154">
        <f t="shared" ref="F124" si="44">H124/E124-1</f>
        <v>-0.73592625949275603</v>
      </c>
      <c r="G124" s="667">
        <v>47.5</v>
      </c>
      <c r="H124" s="667">
        <v>47.5</v>
      </c>
      <c r="I124" s="679">
        <v>106.917</v>
      </c>
      <c r="J124" s="680"/>
      <c r="K124" s="1886"/>
      <c r="L124" s="1665" t="s">
        <v>3471</v>
      </c>
      <c r="M124" s="764" t="s">
        <v>2322</v>
      </c>
      <c r="N124" s="764" t="s">
        <v>2321</v>
      </c>
      <c r="O124" s="1223" t="s">
        <v>613</v>
      </c>
      <c r="P124" s="1223" t="s">
        <v>613</v>
      </c>
      <c r="Q124" s="1223" t="s">
        <v>2323</v>
      </c>
      <c r="R124" s="1866"/>
      <c r="S124" s="543" t="s">
        <v>3615</v>
      </c>
      <c r="U124" s="383"/>
      <c r="V124" s="383"/>
    </row>
    <row r="125" spans="1:22" ht="49.2" customHeight="1">
      <c r="A125" s="1807"/>
      <c r="B125" s="1790"/>
      <c r="C125" s="1831"/>
      <c r="D125" s="1164" t="s">
        <v>1422</v>
      </c>
      <c r="E125" s="839"/>
      <c r="F125" s="1165"/>
      <c r="G125" s="839"/>
      <c r="H125" s="839"/>
      <c r="I125" s="877"/>
      <c r="J125" s="840"/>
      <c r="K125" s="1886"/>
      <c r="L125" s="1667"/>
      <c r="M125" s="764" t="s">
        <v>1892</v>
      </c>
      <c r="N125" s="764" t="s">
        <v>2324</v>
      </c>
      <c r="O125" s="1223" t="s">
        <v>613</v>
      </c>
      <c r="P125" s="1223" t="s">
        <v>613</v>
      </c>
      <c r="Q125" s="1223" t="s">
        <v>2323</v>
      </c>
      <c r="R125" s="1866"/>
      <c r="U125" s="383"/>
      <c r="V125" s="383"/>
    </row>
    <row r="126" spans="1:22" ht="69.599999999999994" customHeight="1">
      <c r="A126" s="1807"/>
      <c r="B126" s="1790"/>
      <c r="C126" s="1831"/>
      <c r="D126" s="696" t="s">
        <v>341</v>
      </c>
      <c r="E126" s="839"/>
      <c r="F126" s="1165"/>
      <c r="G126" s="839">
        <v>212.5</v>
      </c>
      <c r="H126" s="839">
        <v>212.5</v>
      </c>
      <c r="I126" s="839">
        <v>605.53200000000004</v>
      </c>
      <c r="J126" s="839"/>
      <c r="K126" s="1886"/>
      <c r="L126" s="1667"/>
      <c r="M126" s="1656" t="s">
        <v>2327</v>
      </c>
      <c r="N126" s="764" t="s">
        <v>3705</v>
      </c>
      <c r="O126" s="1223" t="s">
        <v>613</v>
      </c>
      <c r="P126" s="1223" t="s">
        <v>613</v>
      </c>
      <c r="Q126" s="1223" t="s">
        <v>566</v>
      </c>
      <c r="R126" s="1866"/>
      <c r="U126" s="383"/>
      <c r="V126" s="383"/>
    </row>
    <row r="127" spans="1:22" ht="27.75" customHeight="1">
      <c r="A127" s="1818"/>
      <c r="B127" s="1790"/>
      <c r="C127" s="1821"/>
      <c r="D127" s="685" t="s">
        <v>1372</v>
      </c>
      <c r="E127" s="686">
        <f t="shared" ref="E127:J127" si="45">SUM(E124:E126)</f>
        <v>179.874</v>
      </c>
      <c r="F127" s="875">
        <f t="shared" si="45"/>
        <v>-0.73592625949275603</v>
      </c>
      <c r="G127" s="686">
        <f t="shared" si="45"/>
        <v>260</v>
      </c>
      <c r="H127" s="686">
        <f t="shared" si="45"/>
        <v>260</v>
      </c>
      <c r="I127" s="686">
        <f t="shared" si="45"/>
        <v>712.44900000000007</v>
      </c>
      <c r="J127" s="869">
        <f t="shared" si="45"/>
        <v>0</v>
      </c>
      <c r="K127" s="1655"/>
      <c r="L127" s="1706"/>
      <c r="M127" s="1658"/>
      <c r="N127" s="764" t="s">
        <v>2325</v>
      </c>
      <c r="O127" s="1223" t="s">
        <v>613</v>
      </c>
      <c r="P127" s="1223" t="s">
        <v>613</v>
      </c>
      <c r="Q127" s="1223" t="s">
        <v>2326</v>
      </c>
      <c r="R127" s="1680"/>
      <c r="U127" s="383"/>
      <c r="V127" s="383"/>
    </row>
    <row r="128" spans="1:22" ht="20.100000000000001" hidden="1" customHeight="1">
      <c r="A128" s="1807" t="s">
        <v>2683</v>
      </c>
      <c r="B128" s="1789" t="s">
        <v>1569</v>
      </c>
      <c r="C128" s="1810">
        <v>188711925</v>
      </c>
      <c r="D128" s="678" t="s">
        <v>668</v>
      </c>
      <c r="E128" s="667"/>
      <c r="F128" s="667"/>
      <c r="G128" s="667"/>
      <c r="H128" s="667"/>
      <c r="I128" s="679"/>
      <c r="J128" s="680"/>
      <c r="K128" s="839"/>
      <c r="L128" s="2023" t="s">
        <v>2989</v>
      </c>
      <c r="M128" s="1656" t="s">
        <v>1893</v>
      </c>
      <c r="N128" s="1656"/>
      <c r="O128" s="1679"/>
      <c r="P128" s="1679"/>
      <c r="Q128" s="1679"/>
      <c r="R128" s="1679" t="s">
        <v>2940</v>
      </c>
      <c r="U128" s="383"/>
      <c r="V128" s="383"/>
    </row>
    <row r="129" spans="1:22" ht="20.100000000000001" hidden="1" customHeight="1">
      <c r="A129" s="1807"/>
      <c r="B129" s="1789"/>
      <c r="C129" s="1810"/>
      <c r="D129" s="682" t="s">
        <v>1372</v>
      </c>
      <c r="E129" s="671">
        <f>E128</f>
        <v>0</v>
      </c>
      <c r="F129" s="671">
        <f t="shared" ref="F129:J129" si="46">F128</f>
        <v>0</v>
      </c>
      <c r="G129" s="671">
        <f t="shared" si="46"/>
        <v>0</v>
      </c>
      <c r="H129" s="671">
        <f t="shared" si="46"/>
        <v>0</v>
      </c>
      <c r="I129" s="671">
        <f t="shared" si="46"/>
        <v>0</v>
      </c>
      <c r="J129" s="683">
        <f t="shared" si="46"/>
        <v>0</v>
      </c>
      <c r="K129" s="1172"/>
      <c r="L129" s="2024"/>
      <c r="M129" s="1657"/>
      <c r="N129" s="1657"/>
      <c r="O129" s="1866"/>
      <c r="P129" s="1866"/>
      <c r="Q129" s="1866"/>
      <c r="R129" s="1866"/>
      <c r="U129" s="383"/>
      <c r="V129" s="383"/>
    </row>
    <row r="130" spans="1:22" ht="20.100000000000001" customHeight="1">
      <c r="A130" s="1807" t="s">
        <v>3568</v>
      </c>
      <c r="B130" s="1789" t="s">
        <v>3566</v>
      </c>
      <c r="C130" s="1810">
        <v>190230824</v>
      </c>
      <c r="D130" s="678" t="s">
        <v>668</v>
      </c>
      <c r="E130" s="667"/>
      <c r="F130" s="1154"/>
      <c r="G130" s="667"/>
      <c r="H130" s="667"/>
      <c r="I130" s="679"/>
      <c r="J130" s="680"/>
      <c r="K130" s="1701" t="s">
        <v>2987</v>
      </c>
      <c r="L130" s="1665" t="s">
        <v>1823</v>
      </c>
      <c r="M130" s="1656" t="s">
        <v>1894</v>
      </c>
      <c r="N130" s="1656" t="s">
        <v>1852</v>
      </c>
      <c r="O130" s="1679" t="s">
        <v>1853</v>
      </c>
      <c r="P130" s="1679" t="s">
        <v>1854</v>
      </c>
      <c r="Q130" s="1679"/>
      <c r="R130" s="1866"/>
      <c r="U130" s="383"/>
      <c r="V130" s="383"/>
    </row>
    <row r="131" spans="1:22" ht="20.100000000000001" customHeight="1">
      <c r="A131" s="1807"/>
      <c r="B131" s="1789"/>
      <c r="C131" s="1810"/>
      <c r="D131" s="678" t="s">
        <v>341</v>
      </c>
      <c r="E131" s="693"/>
      <c r="F131" s="1173"/>
      <c r="G131" s="693"/>
      <c r="H131" s="667">
        <v>45.8</v>
      </c>
      <c r="I131" s="679">
        <v>65</v>
      </c>
      <c r="J131" s="680">
        <v>71.8</v>
      </c>
      <c r="K131" s="1701"/>
      <c r="L131" s="1707"/>
      <c r="M131" s="1657"/>
      <c r="N131" s="1657"/>
      <c r="O131" s="1866"/>
      <c r="P131" s="1866"/>
      <c r="Q131" s="1866"/>
      <c r="R131" s="1866"/>
      <c r="U131" s="383"/>
      <c r="V131" s="383"/>
    </row>
    <row r="132" spans="1:22" ht="20.100000000000001" customHeight="1">
      <c r="A132" s="1807"/>
      <c r="B132" s="1789"/>
      <c r="C132" s="1810"/>
      <c r="D132" s="678" t="s">
        <v>1422</v>
      </c>
      <c r="E132" s="667">
        <v>12.34</v>
      </c>
      <c r="F132" s="1154">
        <f t="shared" ref="F132:F134" si="47">H132/E132-1</f>
        <v>1.296596434359798E-2</v>
      </c>
      <c r="G132" s="693"/>
      <c r="H132" s="667">
        <v>12.5</v>
      </c>
      <c r="I132" s="679">
        <v>13</v>
      </c>
      <c r="J132" s="680">
        <v>13</v>
      </c>
      <c r="K132" s="1701"/>
      <c r="L132" s="1707"/>
      <c r="M132" s="1657"/>
      <c r="N132" s="1657"/>
      <c r="O132" s="1866"/>
      <c r="P132" s="1866"/>
      <c r="Q132" s="1866"/>
      <c r="R132" s="1866"/>
      <c r="U132" s="383"/>
      <c r="V132" s="383"/>
    </row>
    <row r="133" spans="1:22" ht="20.100000000000001" customHeight="1">
      <c r="A133" s="1807"/>
      <c r="B133" s="1789"/>
      <c r="C133" s="1810"/>
      <c r="D133" s="678" t="s">
        <v>587</v>
      </c>
      <c r="E133" s="693"/>
      <c r="F133" s="1173"/>
      <c r="G133" s="693"/>
      <c r="H133" s="667">
        <v>10.199999999999999</v>
      </c>
      <c r="I133" s="757">
        <v>11</v>
      </c>
      <c r="J133" s="680">
        <v>12</v>
      </c>
      <c r="K133" s="1701"/>
      <c r="L133" s="1707"/>
      <c r="M133" s="1657"/>
      <c r="N133" s="1657"/>
      <c r="O133" s="1866"/>
      <c r="P133" s="1866"/>
      <c r="Q133" s="1866"/>
      <c r="R133" s="1866"/>
      <c r="U133" s="383"/>
      <c r="V133" s="383"/>
    </row>
    <row r="134" spans="1:22" ht="20.100000000000001" customHeight="1">
      <c r="A134" s="1807"/>
      <c r="B134" s="1789"/>
      <c r="C134" s="1810"/>
      <c r="D134" s="682" t="s">
        <v>1372</v>
      </c>
      <c r="E134" s="671">
        <f>SUM(E130:E132)</f>
        <v>12.34</v>
      </c>
      <c r="F134" s="1152">
        <f t="shared" si="47"/>
        <v>4.5510534846029174</v>
      </c>
      <c r="G134" s="671">
        <f t="shared" ref="G134" si="48">SUM(G130:G132)</f>
        <v>0</v>
      </c>
      <c r="H134" s="671">
        <f>SUM(H130:H133)</f>
        <v>68.5</v>
      </c>
      <c r="I134" s="671">
        <f t="shared" ref="I134:J134" si="49">SUM(I130:I133)</f>
        <v>89</v>
      </c>
      <c r="J134" s="671">
        <f t="shared" si="49"/>
        <v>96.8</v>
      </c>
      <c r="K134" s="1701"/>
      <c r="L134" s="1706"/>
      <c r="M134" s="1657"/>
      <c r="N134" s="1657"/>
      <c r="O134" s="1866"/>
      <c r="P134" s="1866"/>
      <c r="Q134" s="1866"/>
      <c r="R134" s="1866"/>
      <c r="U134" s="383"/>
      <c r="V134" s="383"/>
    </row>
    <row r="135" spans="1:22" ht="20.100000000000001" hidden="1" customHeight="1">
      <c r="A135" s="1807" t="s">
        <v>2684</v>
      </c>
      <c r="B135" s="1789" t="s">
        <v>1570</v>
      </c>
      <c r="C135" s="1810">
        <v>188711925</v>
      </c>
      <c r="D135" s="678" t="s">
        <v>668</v>
      </c>
      <c r="E135" s="667"/>
      <c r="F135" s="667"/>
      <c r="G135" s="667"/>
      <c r="H135" s="667"/>
      <c r="I135" s="679"/>
      <c r="J135" s="680"/>
      <c r="K135" s="1172"/>
      <c r="L135" s="1665" t="s">
        <v>1824</v>
      </c>
      <c r="M135" s="1656" t="s">
        <v>1895</v>
      </c>
      <c r="N135" s="1656"/>
      <c r="O135" s="1679"/>
      <c r="P135" s="1679"/>
      <c r="Q135" s="1679"/>
      <c r="R135" s="1866"/>
      <c r="U135" s="383"/>
      <c r="V135" s="383"/>
    </row>
    <row r="136" spans="1:22" ht="24" hidden="1" customHeight="1">
      <c r="A136" s="1807"/>
      <c r="B136" s="1789"/>
      <c r="C136" s="1810"/>
      <c r="D136" s="682" t="s">
        <v>1372</v>
      </c>
      <c r="E136" s="671">
        <f>E135</f>
        <v>0</v>
      </c>
      <c r="F136" s="671">
        <f t="shared" ref="F136:J136" si="50">F135</f>
        <v>0</v>
      </c>
      <c r="G136" s="671">
        <f t="shared" si="50"/>
        <v>0</v>
      </c>
      <c r="H136" s="671">
        <f t="shared" si="50"/>
        <v>0</v>
      </c>
      <c r="I136" s="671">
        <f t="shared" si="50"/>
        <v>0</v>
      </c>
      <c r="J136" s="683">
        <f t="shared" si="50"/>
        <v>0</v>
      </c>
      <c r="K136" s="1172"/>
      <c r="L136" s="1706"/>
      <c r="M136" s="1657"/>
      <c r="N136" s="1657"/>
      <c r="O136" s="1866"/>
      <c r="P136" s="1866"/>
      <c r="Q136" s="1866"/>
      <c r="R136" s="1866"/>
      <c r="U136" s="383"/>
      <c r="V136" s="383"/>
    </row>
    <row r="137" spans="1:22" ht="57" customHeight="1">
      <c r="A137" s="1807" t="s">
        <v>2685</v>
      </c>
      <c r="B137" s="1789" t="s">
        <v>1571</v>
      </c>
      <c r="C137" s="1810">
        <v>188711925</v>
      </c>
      <c r="D137" s="678" t="s">
        <v>668</v>
      </c>
      <c r="E137" s="667">
        <v>12</v>
      </c>
      <c r="F137" s="1154">
        <f t="shared" ref="F137:F142" si="51">H137/E137-1</f>
        <v>0</v>
      </c>
      <c r="G137" s="667">
        <v>12</v>
      </c>
      <c r="H137" s="667">
        <v>12</v>
      </c>
      <c r="I137" s="679">
        <v>12</v>
      </c>
      <c r="J137" s="679">
        <v>12</v>
      </c>
      <c r="K137" s="1886" t="s">
        <v>2930</v>
      </c>
      <c r="L137" s="1665" t="s">
        <v>2291</v>
      </c>
      <c r="M137" s="1656" t="s">
        <v>1896</v>
      </c>
      <c r="N137" s="1656" t="s">
        <v>1855</v>
      </c>
      <c r="O137" s="1679" t="s">
        <v>1694</v>
      </c>
      <c r="P137" s="1679" t="s">
        <v>1694</v>
      </c>
      <c r="Q137" s="1679" t="s">
        <v>1694</v>
      </c>
      <c r="R137" s="1866"/>
      <c r="U137" s="383"/>
      <c r="V137" s="383"/>
    </row>
    <row r="138" spans="1:22" ht="45.75" customHeight="1">
      <c r="A138" s="1807"/>
      <c r="B138" s="1789"/>
      <c r="C138" s="1810"/>
      <c r="D138" s="682" t="s">
        <v>1372</v>
      </c>
      <c r="E138" s="671">
        <f>E137</f>
        <v>12</v>
      </c>
      <c r="F138" s="671">
        <f t="shared" si="51"/>
        <v>0</v>
      </c>
      <c r="G138" s="671">
        <f t="shared" ref="G138:J138" si="52">G137</f>
        <v>12</v>
      </c>
      <c r="H138" s="671">
        <f t="shared" si="52"/>
        <v>12</v>
      </c>
      <c r="I138" s="671">
        <f t="shared" si="52"/>
        <v>12</v>
      </c>
      <c r="J138" s="683">
        <f t="shared" si="52"/>
        <v>12</v>
      </c>
      <c r="K138" s="1886"/>
      <c r="L138" s="1706"/>
      <c r="M138" s="1657"/>
      <c r="N138" s="1657"/>
      <c r="O138" s="1866"/>
      <c r="P138" s="1866"/>
      <c r="Q138" s="1866"/>
      <c r="R138" s="1866"/>
      <c r="U138" s="383"/>
      <c r="V138" s="383"/>
    </row>
    <row r="139" spans="1:22" ht="20.100000000000001" customHeight="1">
      <c r="A139" s="1807" t="s">
        <v>2686</v>
      </c>
      <c r="B139" s="1789" t="s">
        <v>1572</v>
      </c>
      <c r="C139" s="1810">
        <v>188711925</v>
      </c>
      <c r="D139" s="678" t="s">
        <v>668</v>
      </c>
      <c r="E139" s="667"/>
      <c r="F139" s="667"/>
      <c r="G139" s="667"/>
      <c r="H139" s="667"/>
      <c r="I139" s="679"/>
      <c r="J139" s="680"/>
      <c r="K139" s="1886"/>
      <c r="L139" s="1665" t="s">
        <v>1825</v>
      </c>
      <c r="M139" s="1656" t="s">
        <v>1897</v>
      </c>
      <c r="N139" s="1656" t="s">
        <v>1856</v>
      </c>
      <c r="O139" s="1679" t="s">
        <v>612</v>
      </c>
      <c r="P139" s="1679" t="s">
        <v>612</v>
      </c>
      <c r="Q139" s="1679" t="s">
        <v>612</v>
      </c>
      <c r="R139" s="1866"/>
      <c r="U139" s="383"/>
      <c r="V139" s="383"/>
    </row>
    <row r="140" spans="1:22" ht="20.100000000000001" customHeight="1">
      <c r="A140" s="1807"/>
      <c r="B140" s="1789"/>
      <c r="C140" s="1810"/>
      <c r="D140" s="678" t="s">
        <v>1817</v>
      </c>
      <c r="E140" s="667">
        <v>11.54</v>
      </c>
      <c r="F140" s="1154">
        <f t="shared" si="51"/>
        <v>-0.5164644714038128</v>
      </c>
      <c r="G140" s="693"/>
      <c r="H140" s="667">
        <v>5.58</v>
      </c>
      <c r="I140" s="679">
        <v>5.58</v>
      </c>
      <c r="J140" s="680">
        <v>5.58</v>
      </c>
      <c r="K140" s="1886"/>
      <c r="L140" s="1707"/>
      <c r="M140" s="1657"/>
      <c r="N140" s="1657"/>
      <c r="O140" s="1866"/>
      <c r="P140" s="1866"/>
      <c r="Q140" s="1866"/>
      <c r="R140" s="1866"/>
      <c r="U140" s="383"/>
      <c r="V140" s="383"/>
    </row>
    <row r="141" spans="1:22" ht="20.100000000000001" customHeight="1">
      <c r="A141" s="1807"/>
      <c r="B141" s="1789"/>
      <c r="C141" s="1810"/>
      <c r="D141" s="678" t="s">
        <v>1422</v>
      </c>
      <c r="E141" s="667">
        <v>5.7</v>
      </c>
      <c r="F141" s="1154">
        <f t="shared" si="51"/>
        <v>-1</v>
      </c>
      <c r="G141" s="693"/>
      <c r="H141" s="667">
        <f>H143</f>
        <v>0</v>
      </c>
      <c r="I141" s="679">
        <v>0</v>
      </c>
      <c r="J141" s="680">
        <v>0</v>
      </c>
      <c r="K141" s="1886"/>
      <c r="L141" s="1707"/>
      <c r="M141" s="1657"/>
      <c r="N141" s="1657"/>
      <c r="O141" s="1866"/>
      <c r="P141" s="1866"/>
      <c r="Q141" s="1866"/>
      <c r="R141" s="1866"/>
      <c r="U141" s="383"/>
      <c r="V141" s="383"/>
    </row>
    <row r="142" spans="1:22" ht="20.100000000000001" customHeight="1">
      <c r="A142" s="1807"/>
      <c r="B142" s="1789"/>
      <c r="C142" s="1810"/>
      <c r="D142" s="682" t="s">
        <v>1372</v>
      </c>
      <c r="E142" s="671">
        <f>SUM(E139:E141)</f>
        <v>17.239999999999998</v>
      </c>
      <c r="F142" s="1152">
        <f t="shared" si="51"/>
        <v>-0.67633410672853822</v>
      </c>
      <c r="G142" s="671">
        <f t="shared" ref="G142:J142" si="53">SUM(G139:G141)</f>
        <v>0</v>
      </c>
      <c r="H142" s="671">
        <f t="shared" si="53"/>
        <v>5.58</v>
      </c>
      <c r="I142" s="671">
        <f t="shared" si="53"/>
        <v>5.58</v>
      </c>
      <c r="J142" s="683">
        <f t="shared" si="53"/>
        <v>5.58</v>
      </c>
      <c r="K142" s="1886"/>
      <c r="L142" s="1707"/>
      <c r="M142" s="1657"/>
      <c r="N142" s="1657"/>
      <c r="O142" s="1866"/>
      <c r="P142" s="1866"/>
      <c r="Q142" s="1866"/>
      <c r="R142" s="1866"/>
      <c r="U142" s="383"/>
      <c r="V142" s="383"/>
    </row>
    <row r="143" spans="1:22" ht="44.25" hidden="1" customHeight="1">
      <c r="A143" s="852"/>
      <c r="B143" s="907" t="s">
        <v>1818</v>
      </c>
      <c r="C143" s="862"/>
      <c r="D143" s="703" t="s">
        <v>1422</v>
      </c>
      <c r="E143" s="704">
        <v>5.7</v>
      </c>
      <c r="F143" s="704"/>
      <c r="G143" s="704"/>
      <c r="H143" s="704">
        <v>0</v>
      </c>
      <c r="I143" s="792"/>
      <c r="J143" s="705"/>
      <c r="K143" s="1886"/>
      <c r="L143" s="779"/>
      <c r="M143" s="782"/>
      <c r="N143" s="782"/>
      <c r="O143" s="1229"/>
      <c r="P143" s="1229"/>
      <c r="Q143" s="1229"/>
      <c r="R143" s="1866"/>
      <c r="U143" s="383"/>
      <c r="V143" s="383"/>
    </row>
    <row r="144" spans="1:22" ht="20.100000000000001" customHeight="1">
      <c r="A144" s="1807" t="s">
        <v>2687</v>
      </c>
      <c r="B144" s="1789" t="s">
        <v>1573</v>
      </c>
      <c r="C144" s="1810">
        <v>188711925</v>
      </c>
      <c r="D144" s="678" t="s">
        <v>668</v>
      </c>
      <c r="E144" s="667"/>
      <c r="F144" s="667"/>
      <c r="G144" s="667"/>
      <c r="H144" s="667"/>
      <c r="I144" s="679"/>
      <c r="J144" s="680"/>
      <c r="K144" s="1886"/>
      <c r="L144" s="1665" t="s">
        <v>1826</v>
      </c>
      <c r="M144" s="1656" t="s">
        <v>1898</v>
      </c>
      <c r="N144" s="1656" t="s">
        <v>1857</v>
      </c>
      <c r="O144" s="1679" t="s">
        <v>1843</v>
      </c>
      <c r="P144" s="1679" t="s">
        <v>613</v>
      </c>
      <c r="Q144" s="1679" t="s">
        <v>613</v>
      </c>
      <c r="R144" s="1866"/>
      <c r="U144" s="383"/>
      <c r="V144" s="383"/>
    </row>
    <row r="145" spans="1:22" ht="20.100000000000001" customHeight="1">
      <c r="A145" s="1807"/>
      <c r="B145" s="1789"/>
      <c r="C145" s="1810"/>
      <c r="D145" s="678" t="s">
        <v>1422</v>
      </c>
      <c r="E145" s="667">
        <v>38.725000000000001</v>
      </c>
      <c r="F145" s="693"/>
      <c r="G145" s="693"/>
      <c r="H145" s="667">
        <v>22.053000000000001</v>
      </c>
      <c r="I145" s="679"/>
      <c r="J145" s="680"/>
      <c r="K145" s="1886"/>
      <c r="L145" s="1707"/>
      <c r="M145" s="1657"/>
      <c r="N145" s="1657"/>
      <c r="O145" s="1866"/>
      <c r="P145" s="1866"/>
      <c r="Q145" s="1866"/>
      <c r="R145" s="1866"/>
      <c r="U145" s="383"/>
      <c r="V145" s="383"/>
    </row>
    <row r="146" spans="1:22" ht="20.100000000000001" customHeight="1">
      <c r="A146" s="1807"/>
      <c r="B146" s="1789"/>
      <c r="C146" s="1810"/>
      <c r="D146" s="682" t="s">
        <v>1372</v>
      </c>
      <c r="E146" s="671">
        <f>SUM(E144:E145)</f>
        <v>38.725000000000001</v>
      </c>
      <c r="F146" s="671">
        <f t="shared" ref="F146:J146" si="54">SUM(F144:F145)</f>
        <v>0</v>
      </c>
      <c r="G146" s="671">
        <f t="shared" si="54"/>
        <v>0</v>
      </c>
      <c r="H146" s="671">
        <f t="shared" si="54"/>
        <v>22.053000000000001</v>
      </c>
      <c r="I146" s="671">
        <f t="shared" si="54"/>
        <v>0</v>
      </c>
      <c r="J146" s="683">
        <f t="shared" si="54"/>
        <v>0</v>
      </c>
      <c r="K146" s="1655"/>
      <c r="L146" s="1706"/>
      <c r="M146" s="1657"/>
      <c r="N146" s="1657"/>
      <c r="O146" s="1866"/>
      <c r="P146" s="1866"/>
      <c r="Q146" s="1866"/>
      <c r="R146" s="1866"/>
      <c r="U146" s="383"/>
      <c r="V146" s="383"/>
    </row>
    <row r="147" spans="1:22" ht="33.75" customHeight="1">
      <c r="A147" s="664" t="s">
        <v>2688</v>
      </c>
      <c r="B147" s="664" t="s">
        <v>1574</v>
      </c>
      <c r="C147" s="1191"/>
      <c r="D147" s="1191"/>
      <c r="E147" s="761">
        <f>SUM(E149,E151,E155,E161,E165,E169,E177,E180,E183,E185,E188,E192,E195,E198,)</f>
        <v>991.94299999999998</v>
      </c>
      <c r="F147" s="760">
        <f t="shared" ref="F147:F148" si="55">H147/E147-1</f>
        <v>1.6915286463032642E-2</v>
      </c>
      <c r="G147" s="761">
        <f t="shared" ref="G147" si="56">SUM(G149,G151,G155,G161,G165,G169,G177,G180,G183,G185,G188,G192,G195,G198,)</f>
        <v>671.97</v>
      </c>
      <c r="H147" s="761">
        <f>SUM(H149,H151,H155,H161,H165,H169,H177,H180,H183,H185,H188,H192,H195,H198,H201)</f>
        <v>1008.722</v>
      </c>
      <c r="I147" s="761">
        <f t="shared" ref="I147:J147" si="57">SUM(I149,I151,I155,I161,I165,I169,I177,I180,I183,I185,I188,I192,I195,I198,I201)</f>
        <v>1864.82</v>
      </c>
      <c r="J147" s="761">
        <f t="shared" si="57"/>
        <v>1867.818</v>
      </c>
      <c r="K147" s="986" t="s">
        <v>2990</v>
      </c>
      <c r="L147" s="738"/>
      <c r="M147" s="759" t="s">
        <v>2312</v>
      </c>
      <c r="N147" s="759" t="s">
        <v>3626</v>
      </c>
      <c r="O147" s="1146">
        <v>2200</v>
      </c>
      <c r="P147" s="1146">
        <v>2300</v>
      </c>
      <c r="Q147" s="1146">
        <v>2400</v>
      </c>
      <c r="R147" s="1866"/>
      <c r="U147" s="383"/>
      <c r="V147" s="383"/>
    </row>
    <row r="148" spans="1:22" ht="50.4" customHeight="1">
      <c r="A148" s="1799" t="s">
        <v>2689</v>
      </c>
      <c r="B148" s="1825" t="s">
        <v>1575</v>
      </c>
      <c r="C148" s="1827">
        <v>188711925</v>
      </c>
      <c r="D148" s="687" t="s">
        <v>668</v>
      </c>
      <c r="E148" s="688">
        <v>27</v>
      </c>
      <c r="F148" s="1151">
        <f t="shared" si="55"/>
        <v>0</v>
      </c>
      <c r="G148" s="688">
        <v>27</v>
      </c>
      <c r="H148" s="688">
        <v>27</v>
      </c>
      <c r="I148" s="708">
        <v>27</v>
      </c>
      <c r="J148" s="667">
        <v>27</v>
      </c>
      <c r="K148" s="2053" t="s">
        <v>2930</v>
      </c>
      <c r="L148" s="1667" t="s">
        <v>2292</v>
      </c>
      <c r="M148" s="1657" t="s">
        <v>1899</v>
      </c>
      <c r="N148" s="1657" t="s">
        <v>1858</v>
      </c>
      <c r="O148" s="1866" t="s">
        <v>612</v>
      </c>
      <c r="P148" s="1866" t="s">
        <v>612</v>
      </c>
      <c r="Q148" s="1866" t="s">
        <v>612</v>
      </c>
      <c r="R148" s="1866"/>
      <c r="U148" s="383"/>
      <c r="V148" s="383"/>
    </row>
    <row r="149" spans="1:22" ht="36.75" customHeight="1">
      <c r="A149" s="1807"/>
      <c r="B149" s="1789">
        <f>SUM(B148:B148)</f>
        <v>0</v>
      </c>
      <c r="C149" s="1810">
        <f>SUM(C148:C148)</f>
        <v>188711925</v>
      </c>
      <c r="D149" s="682" t="s">
        <v>1372</v>
      </c>
      <c r="E149" s="671">
        <f>E148</f>
        <v>27</v>
      </c>
      <c r="F149" s="671">
        <f t="shared" ref="F149:J149" si="58">F148</f>
        <v>0</v>
      </c>
      <c r="G149" s="671">
        <f t="shared" si="58"/>
        <v>27</v>
      </c>
      <c r="H149" s="671">
        <f t="shared" si="58"/>
        <v>27</v>
      </c>
      <c r="I149" s="671">
        <f t="shared" si="58"/>
        <v>27</v>
      </c>
      <c r="J149" s="671">
        <f t="shared" si="58"/>
        <v>27</v>
      </c>
      <c r="K149" s="2054"/>
      <c r="L149" s="1706"/>
      <c r="M149" s="1657"/>
      <c r="N149" s="1657"/>
      <c r="O149" s="1866"/>
      <c r="P149" s="1866"/>
      <c r="Q149" s="1866"/>
      <c r="R149" s="1866"/>
      <c r="U149" s="383"/>
      <c r="V149" s="383"/>
    </row>
    <row r="150" spans="1:22" ht="20.100000000000001" hidden="1" customHeight="1">
      <c r="A150" s="1826" t="s">
        <v>2690</v>
      </c>
      <c r="B150" s="1828" t="s">
        <v>1576</v>
      </c>
      <c r="C150" s="1829">
        <v>188711925</v>
      </c>
      <c r="D150" s="1174" t="s">
        <v>668</v>
      </c>
      <c r="E150" s="864">
        <v>0</v>
      </c>
      <c r="F150" s="864"/>
      <c r="G150" s="864"/>
      <c r="H150" s="864"/>
      <c r="I150" s="868"/>
      <c r="J150" s="866"/>
      <c r="K150" s="2055"/>
      <c r="L150" s="2051" t="s">
        <v>3464</v>
      </c>
      <c r="M150" s="1758"/>
      <c r="N150" s="1758"/>
      <c r="O150" s="2019"/>
      <c r="P150" s="2019"/>
      <c r="Q150" s="2019"/>
      <c r="R150" s="1866"/>
      <c r="U150" s="383"/>
      <c r="V150" s="383"/>
    </row>
    <row r="151" spans="1:22" ht="27" hidden="1" customHeight="1">
      <c r="A151" s="1826"/>
      <c r="B151" s="1828">
        <f>SUM(B150:B150)</f>
        <v>0</v>
      </c>
      <c r="C151" s="1829">
        <f>SUM(C150:C150)</f>
        <v>188711925</v>
      </c>
      <c r="D151" s="1175" t="s">
        <v>1372</v>
      </c>
      <c r="E151" s="864">
        <f>E150</f>
        <v>0</v>
      </c>
      <c r="F151" s="864">
        <f t="shared" ref="F151:J151" si="59">F150</f>
        <v>0</v>
      </c>
      <c r="G151" s="864">
        <f t="shared" si="59"/>
        <v>0</v>
      </c>
      <c r="H151" s="864">
        <f t="shared" si="59"/>
        <v>0</v>
      </c>
      <c r="I151" s="864">
        <f t="shared" si="59"/>
        <v>0</v>
      </c>
      <c r="J151" s="864">
        <f t="shared" si="59"/>
        <v>0</v>
      </c>
      <c r="K151" s="2056"/>
      <c r="L151" s="2052"/>
      <c r="M151" s="1759"/>
      <c r="N151" s="1759"/>
      <c r="O151" s="2020"/>
      <c r="P151" s="2020"/>
      <c r="Q151" s="2020"/>
      <c r="R151" s="1866"/>
      <c r="U151" s="383"/>
      <c r="V151" s="383"/>
    </row>
    <row r="152" spans="1:22" ht="34.200000000000003" customHeight="1">
      <c r="A152" s="1807" t="s">
        <v>2691</v>
      </c>
      <c r="B152" s="1789" t="s">
        <v>1577</v>
      </c>
      <c r="C152" s="1810" t="s">
        <v>1376</v>
      </c>
      <c r="D152" s="678" t="s">
        <v>668</v>
      </c>
      <c r="E152" s="667"/>
      <c r="F152" s="1154"/>
      <c r="G152" s="667"/>
      <c r="H152" s="667"/>
      <c r="I152" s="679"/>
      <c r="J152" s="680"/>
      <c r="K152" s="1701" t="s">
        <v>2991</v>
      </c>
      <c r="L152" s="1665" t="s">
        <v>2293</v>
      </c>
      <c r="M152" s="1656" t="s">
        <v>1901</v>
      </c>
      <c r="N152" s="1656" t="s">
        <v>1860</v>
      </c>
      <c r="O152" s="1679" t="s">
        <v>6</v>
      </c>
      <c r="P152" s="1679" t="s">
        <v>6</v>
      </c>
      <c r="Q152" s="1679" t="s">
        <v>6</v>
      </c>
      <c r="R152" s="1866"/>
      <c r="U152" s="383"/>
      <c r="V152" s="383"/>
    </row>
    <row r="153" spans="1:22" ht="39.6" customHeight="1">
      <c r="A153" s="1797"/>
      <c r="B153" s="1790"/>
      <c r="C153" s="1831"/>
      <c r="D153" s="678" t="s">
        <v>1754</v>
      </c>
      <c r="E153" s="693">
        <f>E157</f>
        <v>8</v>
      </c>
      <c r="F153" s="1154">
        <f t="shared" ref="F153:F155" si="60">H153/E153-1</f>
        <v>1.0687500000000001</v>
      </c>
      <c r="G153" s="667">
        <f>G157</f>
        <v>16.545000000000002</v>
      </c>
      <c r="H153" s="667">
        <f t="shared" ref="H153:J153" si="61">H157</f>
        <v>16.55</v>
      </c>
      <c r="I153" s="667">
        <f t="shared" si="61"/>
        <v>17.181999999999999</v>
      </c>
      <c r="J153" s="667">
        <f t="shared" si="61"/>
        <v>17.818000000000001</v>
      </c>
      <c r="K153" s="1701"/>
      <c r="L153" s="1667"/>
      <c r="M153" s="1657"/>
      <c r="N153" s="1657"/>
      <c r="O153" s="1866"/>
      <c r="P153" s="1866"/>
      <c r="Q153" s="1866"/>
      <c r="R153" s="1866"/>
      <c r="U153" s="383"/>
      <c r="V153" s="383"/>
    </row>
    <row r="154" spans="1:22" ht="27.6" customHeight="1">
      <c r="A154" s="1797"/>
      <c r="B154" s="1790"/>
      <c r="C154" s="1831"/>
      <c r="D154" s="678" t="s">
        <v>1422</v>
      </c>
      <c r="E154" s="693">
        <f>SUM(E156,E158)</f>
        <v>62.895999999999994</v>
      </c>
      <c r="F154" s="1154">
        <f t="shared" si="60"/>
        <v>0.13566840498600885</v>
      </c>
      <c r="G154" s="667">
        <f>SUM(G156,G158)</f>
        <v>181.00399999999999</v>
      </c>
      <c r="H154" s="667">
        <f>SUM(H156,H158)</f>
        <v>71.429000000000002</v>
      </c>
      <c r="I154" s="667">
        <f t="shared" ref="I154:J154" si="62">SUM(I156,I158)</f>
        <v>183</v>
      </c>
      <c r="J154" s="667">
        <f t="shared" si="62"/>
        <v>185</v>
      </c>
      <c r="K154" s="1701"/>
      <c r="L154" s="1667"/>
      <c r="M154" s="1657"/>
      <c r="N154" s="1657"/>
      <c r="O154" s="1866"/>
      <c r="P154" s="1866"/>
      <c r="Q154" s="1866"/>
      <c r="R154" s="1866"/>
      <c r="U154" s="383"/>
      <c r="V154" s="383"/>
    </row>
    <row r="155" spans="1:22" ht="27" customHeight="1">
      <c r="A155" s="1797"/>
      <c r="B155" s="1790">
        <f>SUM(B152:B152)</f>
        <v>0</v>
      </c>
      <c r="C155" s="1831">
        <f>SUM(C152:C152)</f>
        <v>0</v>
      </c>
      <c r="D155" s="685" t="s">
        <v>1372</v>
      </c>
      <c r="E155" s="686">
        <f>SUM(E152:E154)</f>
        <v>70.895999999999987</v>
      </c>
      <c r="F155" s="875">
        <f t="shared" si="60"/>
        <v>0.24095858722635999</v>
      </c>
      <c r="G155" s="686">
        <f t="shared" ref="G155:J155" si="63">SUM(G152:G154)</f>
        <v>197.54899999999998</v>
      </c>
      <c r="H155" s="686">
        <f t="shared" si="63"/>
        <v>87.978999999999999</v>
      </c>
      <c r="I155" s="686">
        <f t="shared" si="63"/>
        <v>200.18199999999999</v>
      </c>
      <c r="J155" s="686">
        <f t="shared" si="63"/>
        <v>202.81800000000001</v>
      </c>
      <c r="K155" s="1701"/>
      <c r="L155" s="1667"/>
      <c r="M155" s="1657"/>
      <c r="N155" s="1657"/>
      <c r="O155" s="1866"/>
      <c r="P155" s="1866"/>
      <c r="Q155" s="1866"/>
      <c r="R155" s="1866"/>
      <c r="U155" s="383"/>
      <c r="V155" s="383"/>
    </row>
    <row r="156" spans="1:22" ht="20.100000000000001" hidden="1" customHeight="1">
      <c r="A156" s="2061"/>
      <c r="B156" s="1716" t="s">
        <v>1819</v>
      </c>
      <c r="C156" s="841"/>
      <c r="D156" s="676" t="s">
        <v>1422</v>
      </c>
      <c r="E156" s="779">
        <v>61.662999999999997</v>
      </c>
      <c r="F156" s="779"/>
      <c r="G156" s="779">
        <v>181.00399999999999</v>
      </c>
      <c r="H156" s="779">
        <v>70.238</v>
      </c>
      <c r="I156" s="780">
        <v>183</v>
      </c>
      <c r="J156" s="892">
        <v>185</v>
      </c>
      <c r="K156" s="1176"/>
      <c r="L156" s="1667"/>
      <c r="M156" s="782"/>
      <c r="N156" s="791" t="s">
        <v>2305</v>
      </c>
      <c r="O156" s="1222" t="s">
        <v>2306</v>
      </c>
      <c r="P156" s="1222" t="s">
        <v>2306</v>
      </c>
      <c r="Q156" s="1222" t="s">
        <v>2306</v>
      </c>
      <c r="R156" s="1866"/>
      <c r="U156" s="383"/>
      <c r="V156" s="383"/>
    </row>
    <row r="157" spans="1:22" ht="20.100000000000001" hidden="1" customHeight="1">
      <c r="A157" s="2062"/>
      <c r="B157" s="1717"/>
      <c r="C157" s="841"/>
      <c r="D157" s="676" t="s">
        <v>1754</v>
      </c>
      <c r="E157" s="779">
        <v>8</v>
      </c>
      <c r="F157" s="779"/>
      <c r="G157" s="779">
        <v>16.545000000000002</v>
      </c>
      <c r="H157" s="779">
        <v>16.55</v>
      </c>
      <c r="I157" s="780">
        <v>17.181999999999999</v>
      </c>
      <c r="J157" s="892">
        <v>17.818000000000001</v>
      </c>
      <c r="K157" s="1176"/>
      <c r="L157" s="1667"/>
      <c r="M157" s="782"/>
      <c r="N157" s="782"/>
      <c r="O157" s="1229"/>
      <c r="P157" s="1229"/>
      <c r="Q157" s="1229"/>
      <c r="R157" s="1866"/>
      <c r="U157" s="383"/>
      <c r="V157" s="383"/>
    </row>
    <row r="158" spans="1:22" ht="24" hidden="1" customHeight="1">
      <c r="A158" s="833"/>
      <c r="B158" s="798" t="s">
        <v>1755</v>
      </c>
      <c r="C158" s="841"/>
      <c r="D158" s="676" t="s">
        <v>1422</v>
      </c>
      <c r="E158" s="779">
        <v>1.2330000000000001</v>
      </c>
      <c r="F158" s="779"/>
      <c r="G158" s="779"/>
      <c r="H158" s="779">
        <v>1.1910000000000001</v>
      </c>
      <c r="I158" s="780"/>
      <c r="J158" s="892"/>
      <c r="K158" s="881"/>
      <c r="L158" s="1666"/>
      <c r="M158" s="782"/>
      <c r="N158" s="782"/>
      <c r="O158" s="1229"/>
      <c r="P158" s="1229"/>
      <c r="Q158" s="1229"/>
      <c r="R158" s="1866"/>
      <c r="U158" s="383"/>
      <c r="V158" s="383"/>
    </row>
    <row r="159" spans="1:22" ht="36.6" customHeight="1">
      <c r="A159" s="2063" t="s">
        <v>2692</v>
      </c>
      <c r="B159" s="1673" t="s">
        <v>1578</v>
      </c>
      <c r="C159" s="1710">
        <v>188711925</v>
      </c>
      <c r="D159" s="711" t="s">
        <v>668</v>
      </c>
      <c r="E159" s="688">
        <v>16.47</v>
      </c>
      <c r="F159" s="1154">
        <f t="shared" ref="F159:F167" si="64">H159/E159-1</f>
        <v>-0.15846994535519121</v>
      </c>
      <c r="G159" s="667">
        <v>18.48</v>
      </c>
      <c r="H159" s="667">
        <v>13.86</v>
      </c>
      <c r="I159" s="679">
        <v>19</v>
      </c>
      <c r="J159" s="667">
        <v>19</v>
      </c>
      <c r="K159" s="2053" t="s">
        <v>2987</v>
      </c>
      <c r="L159" s="1665" t="s">
        <v>2294</v>
      </c>
      <c r="M159" s="1656" t="s">
        <v>1902</v>
      </c>
      <c r="N159" s="1656" t="s">
        <v>1861</v>
      </c>
      <c r="O159" s="1679" t="s">
        <v>1847</v>
      </c>
      <c r="P159" s="1679" t="s">
        <v>1940</v>
      </c>
      <c r="Q159" s="1679" t="s">
        <v>3156</v>
      </c>
      <c r="R159" s="1866"/>
      <c r="U159" s="383"/>
      <c r="V159" s="383"/>
    </row>
    <row r="160" spans="1:22" ht="34.799999999999997" customHeight="1">
      <c r="A160" s="2063"/>
      <c r="B160" s="1673"/>
      <c r="C160" s="1710"/>
      <c r="D160" s="672" t="s">
        <v>1422</v>
      </c>
      <c r="E160" s="1172">
        <v>41.034999999999997</v>
      </c>
      <c r="F160" s="1165">
        <f t="shared" si="64"/>
        <v>-0.3420007310832216</v>
      </c>
      <c r="G160" s="839"/>
      <c r="H160" s="839">
        <v>27.001000000000001</v>
      </c>
      <c r="I160" s="877">
        <v>28</v>
      </c>
      <c r="J160" s="667">
        <v>29</v>
      </c>
      <c r="K160" s="2070"/>
      <c r="L160" s="1667"/>
      <c r="M160" s="1657"/>
      <c r="N160" s="1657"/>
      <c r="O160" s="1866"/>
      <c r="P160" s="1866"/>
      <c r="Q160" s="1866"/>
      <c r="R160" s="1866"/>
      <c r="U160" s="383"/>
      <c r="V160" s="383"/>
    </row>
    <row r="161" spans="1:22" ht="24.75" customHeight="1">
      <c r="A161" s="1806"/>
      <c r="B161" s="1682"/>
      <c r="C161" s="1689">
        <f>SUM(C159:C159)</f>
        <v>188711925</v>
      </c>
      <c r="D161" s="670" t="s">
        <v>1372</v>
      </c>
      <c r="E161" s="671">
        <f>SUM(E159:E160)</f>
        <v>57.504999999999995</v>
      </c>
      <c r="F161" s="1152">
        <f t="shared" si="64"/>
        <v>-0.28943570124337004</v>
      </c>
      <c r="G161" s="671">
        <f t="shared" ref="G161:J161" si="65">SUM(G159:G160)</f>
        <v>18.48</v>
      </c>
      <c r="H161" s="671">
        <f t="shared" si="65"/>
        <v>40.861000000000004</v>
      </c>
      <c r="I161" s="683">
        <f t="shared" si="65"/>
        <v>47</v>
      </c>
      <c r="J161" s="671">
        <f t="shared" si="65"/>
        <v>48</v>
      </c>
      <c r="K161" s="2054"/>
      <c r="L161" s="1706"/>
      <c r="M161" s="1657"/>
      <c r="N161" s="1657"/>
      <c r="O161" s="1866"/>
      <c r="P161" s="1866"/>
      <c r="Q161" s="1866"/>
      <c r="R161" s="1866"/>
      <c r="U161" s="383"/>
      <c r="V161" s="383"/>
    </row>
    <row r="162" spans="1:22" ht="34.200000000000003" customHeight="1">
      <c r="A162" s="1806" t="s">
        <v>3567</v>
      </c>
      <c r="B162" s="1682" t="s">
        <v>1579</v>
      </c>
      <c r="C162" s="1689">
        <v>300079075</v>
      </c>
      <c r="D162" s="665" t="s">
        <v>341</v>
      </c>
      <c r="E162" s="667">
        <v>135</v>
      </c>
      <c r="F162" s="1153">
        <f t="shared" si="64"/>
        <v>0.10397037037037049</v>
      </c>
      <c r="G162" s="667">
        <v>176.941</v>
      </c>
      <c r="H162" s="667">
        <v>149.036</v>
      </c>
      <c r="I162" s="667">
        <v>178.971</v>
      </c>
      <c r="J162" s="667">
        <v>175</v>
      </c>
      <c r="K162" s="1654" t="s">
        <v>2958</v>
      </c>
      <c r="L162" s="1665" t="s">
        <v>1827</v>
      </c>
      <c r="M162" s="1656" t="s">
        <v>1903</v>
      </c>
      <c r="N162" s="1656" t="s">
        <v>1862</v>
      </c>
      <c r="O162" s="1679" t="s">
        <v>1850</v>
      </c>
      <c r="P162" s="1679" t="s">
        <v>1850</v>
      </c>
      <c r="Q162" s="1679" t="s">
        <v>1850</v>
      </c>
      <c r="R162" s="1866"/>
      <c r="U162" s="383"/>
      <c r="V162" s="383"/>
    </row>
    <row r="163" spans="1:22" ht="34.799999999999997" customHeight="1">
      <c r="A163" s="1806"/>
      <c r="B163" s="1682"/>
      <c r="C163" s="1689"/>
      <c r="D163" s="665" t="s">
        <v>587</v>
      </c>
      <c r="E163" s="667"/>
      <c r="F163" s="1153"/>
      <c r="G163" s="667"/>
      <c r="H163" s="667">
        <v>27.905000000000001</v>
      </c>
      <c r="I163" s="667"/>
      <c r="J163" s="667"/>
      <c r="K163" s="1886"/>
      <c r="L163" s="1667"/>
      <c r="M163" s="1657"/>
      <c r="N163" s="1657"/>
      <c r="O163" s="1866"/>
      <c r="P163" s="1866"/>
      <c r="Q163" s="1866"/>
      <c r="R163" s="1866"/>
      <c r="U163" s="383"/>
      <c r="V163" s="383"/>
    </row>
    <row r="164" spans="1:22" ht="32.4" customHeight="1">
      <c r="A164" s="1806"/>
      <c r="B164" s="1682"/>
      <c r="C164" s="1689"/>
      <c r="D164" s="665" t="s">
        <v>668</v>
      </c>
      <c r="E164" s="667"/>
      <c r="F164" s="1153"/>
      <c r="G164" s="667"/>
      <c r="H164" s="667"/>
      <c r="I164" s="667"/>
      <c r="J164" s="667"/>
      <c r="K164" s="1886"/>
      <c r="L164" s="1667"/>
      <c r="M164" s="1657"/>
      <c r="N164" s="1657"/>
      <c r="O164" s="1866"/>
      <c r="P164" s="1866"/>
      <c r="Q164" s="1866"/>
      <c r="R164" s="1866"/>
      <c r="U164" s="383"/>
      <c r="V164" s="383"/>
    </row>
    <row r="165" spans="1:22" ht="23.4" customHeight="1">
      <c r="A165" s="1806"/>
      <c r="B165" s="1681"/>
      <c r="C165" s="1689"/>
      <c r="D165" s="670" t="s">
        <v>1372</v>
      </c>
      <c r="E165" s="671">
        <f>E162</f>
        <v>135</v>
      </c>
      <c r="F165" s="1152">
        <f t="shared" si="64"/>
        <v>0.3106740740740741</v>
      </c>
      <c r="G165" s="671">
        <f t="shared" ref="G165" si="66">G162</f>
        <v>176.941</v>
      </c>
      <c r="H165" s="671">
        <f>H162+H163+H164</f>
        <v>176.941</v>
      </c>
      <c r="I165" s="671">
        <f t="shared" ref="I165:J165" si="67">I162+I163+I164</f>
        <v>178.971</v>
      </c>
      <c r="J165" s="671">
        <f t="shared" si="67"/>
        <v>175</v>
      </c>
      <c r="K165" s="1655"/>
      <c r="L165" s="1706"/>
      <c r="M165" s="1657"/>
      <c r="N165" s="1657"/>
      <c r="O165" s="1866"/>
      <c r="P165" s="1866"/>
      <c r="Q165" s="1866"/>
      <c r="R165" s="1680"/>
      <c r="U165" s="383"/>
      <c r="V165" s="383"/>
    </row>
    <row r="166" spans="1:22" ht="20.100000000000001" customHeight="1">
      <c r="A166" s="1806" t="s">
        <v>2693</v>
      </c>
      <c r="B166" s="1682" t="s">
        <v>1580</v>
      </c>
      <c r="C166" s="1689" t="s">
        <v>1376</v>
      </c>
      <c r="D166" s="711" t="s">
        <v>668</v>
      </c>
      <c r="E166" s="712">
        <f>SUM(E170,E172)</f>
        <v>78.97399999999999</v>
      </c>
      <c r="F166" s="1153">
        <f t="shared" si="64"/>
        <v>-5.5385316686504371E-2</v>
      </c>
      <c r="G166" s="712"/>
      <c r="H166" s="712">
        <f>SUM(H170,H172)</f>
        <v>74.599999999999994</v>
      </c>
      <c r="I166" s="712">
        <v>75</v>
      </c>
      <c r="J166" s="708">
        <v>76</v>
      </c>
      <c r="K166" s="1701" t="s">
        <v>2941</v>
      </c>
      <c r="L166" s="2021" t="s">
        <v>2295</v>
      </c>
      <c r="M166" s="1679" t="s">
        <v>1904</v>
      </c>
      <c r="N166" s="1656" t="s">
        <v>3915</v>
      </c>
      <c r="O166" s="1679">
        <v>120</v>
      </c>
      <c r="P166" s="1679">
        <v>120</v>
      </c>
      <c r="Q166" s="1679">
        <v>120</v>
      </c>
      <c r="R166" s="1679" t="s">
        <v>3625</v>
      </c>
      <c r="U166" s="383"/>
      <c r="V166" s="383"/>
    </row>
    <row r="167" spans="1:22" ht="20.100000000000001" customHeight="1">
      <c r="A167" s="1806"/>
      <c r="B167" s="1682"/>
      <c r="C167" s="1689"/>
      <c r="D167" s="713" t="s">
        <v>1422</v>
      </c>
      <c r="E167" s="667">
        <f>SUM(E171,E173,E174)</f>
        <v>24.200000000000003</v>
      </c>
      <c r="F167" s="1153">
        <f t="shared" si="64"/>
        <v>-5.7851239669421739E-2</v>
      </c>
      <c r="G167" s="667"/>
      <c r="H167" s="667">
        <f t="shared" ref="H167" si="68">SUM(H171,H173,H174)</f>
        <v>22.799999999999997</v>
      </c>
      <c r="I167" s="667">
        <v>23</v>
      </c>
      <c r="J167" s="667">
        <v>24</v>
      </c>
      <c r="K167" s="1701"/>
      <c r="L167" s="2022"/>
      <c r="M167" s="1866"/>
      <c r="N167" s="1657"/>
      <c r="O167" s="1866"/>
      <c r="P167" s="1866"/>
      <c r="Q167" s="1866"/>
      <c r="R167" s="1866"/>
      <c r="U167" s="383"/>
      <c r="V167" s="383"/>
    </row>
    <row r="168" spans="1:22" ht="20.100000000000001" customHeight="1">
      <c r="A168" s="1806"/>
      <c r="B168" s="1682"/>
      <c r="C168" s="1689"/>
      <c r="D168" s="713" t="s">
        <v>587</v>
      </c>
      <c r="E168" s="693"/>
      <c r="F168" s="1153"/>
      <c r="G168" s="693"/>
      <c r="H168" s="693"/>
      <c r="I168" s="679"/>
      <c r="J168" s="680"/>
      <c r="K168" s="1701"/>
      <c r="L168" s="2022"/>
      <c r="M168" s="1866"/>
      <c r="N168" s="1657"/>
      <c r="O168" s="1866"/>
      <c r="P168" s="1866"/>
      <c r="Q168" s="1866"/>
      <c r="R168" s="1866"/>
      <c r="U168" s="383"/>
      <c r="V168" s="383"/>
    </row>
    <row r="169" spans="1:22" ht="20.100000000000001" customHeight="1">
      <c r="A169" s="1806"/>
      <c r="B169" s="1682"/>
      <c r="C169" s="1689"/>
      <c r="D169" s="729" t="s">
        <v>1372</v>
      </c>
      <c r="E169" s="671">
        <f>SUM(E166:E168)</f>
        <v>103.17399999999999</v>
      </c>
      <c r="F169" s="1152">
        <f t="shared" ref="F169:J169" si="69">SUM(F166:F168)</f>
        <v>-0.11323655635592611</v>
      </c>
      <c r="G169" s="671">
        <f t="shared" si="69"/>
        <v>0</v>
      </c>
      <c r="H169" s="671">
        <f t="shared" si="69"/>
        <v>97.399999999999991</v>
      </c>
      <c r="I169" s="671">
        <f t="shared" si="69"/>
        <v>98</v>
      </c>
      <c r="J169" s="683">
        <f t="shared" si="69"/>
        <v>100</v>
      </c>
      <c r="K169" s="1701"/>
      <c r="L169" s="2022"/>
      <c r="M169" s="1680"/>
      <c r="N169" s="1657"/>
      <c r="O169" s="1866"/>
      <c r="P169" s="1866"/>
      <c r="Q169" s="1866"/>
      <c r="R169" s="1680"/>
      <c r="U169" s="383"/>
      <c r="V169" s="383"/>
    </row>
    <row r="170" spans="1:22" ht="21" hidden="1" customHeight="1">
      <c r="A170" s="1186"/>
      <c r="B170" s="2064" t="s">
        <v>485</v>
      </c>
      <c r="C170" s="2066"/>
      <c r="D170" s="777" t="s">
        <v>668</v>
      </c>
      <c r="E170" s="779">
        <v>31.905999999999999</v>
      </c>
      <c r="F170" s="779"/>
      <c r="G170" s="779">
        <v>44.853999999999999</v>
      </c>
      <c r="H170" s="779">
        <v>27</v>
      </c>
      <c r="I170" s="780">
        <v>46</v>
      </c>
      <c r="J170" s="892">
        <v>48</v>
      </c>
      <c r="K170" s="892"/>
      <c r="L170" s="706"/>
      <c r="M170" s="791"/>
      <c r="N170" s="791" t="s">
        <v>2304</v>
      </c>
      <c r="O170" s="1222" t="s">
        <v>1768</v>
      </c>
      <c r="P170" s="1222" t="s">
        <v>1768</v>
      </c>
      <c r="Q170" s="1222" t="s">
        <v>1768</v>
      </c>
      <c r="R170" s="791"/>
      <c r="U170" s="383"/>
      <c r="V170" s="383"/>
    </row>
    <row r="171" spans="1:22" ht="20.100000000000001" hidden="1" customHeight="1">
      <c r="A171" s="1186"/>
      <c r="B171" s="2065"/>
      <c r="C171" s="2067"/>
      <c r="D171" s="777" t="s">
        <v>1422</v>
      </c>
      <c r="E171" s="779">
        <v>7.9</v>
      </c>
      <c r="F171" s="779"/>
      <c r="G171" s="779">
        <v>0</v>
      </c>
      <c r="H171" s="779">
        <v>7.4660000000000002</v>
      </c>
      <c r="I171" s="780">
        <v>0</v>
      </c>
      <c r="J171" s="892">
        <v>0</v>
      </c>
      <c r="K171" s="892"/>
      <c r="L171" s="706"/>
      <c r="M171" s="791"/>
      <c r="N171" s="791"/>
      <c r="O171" s="1222"/>
      <c r="P171" s="1222"/>
      <c r="Q171" s="1222"/>
      <c r="R171" s="791"/>
      <c r="U171" s="383"/>
      <c r="V171" s="383"/>
    </row>
    <row r="172" spans="1:22" ht="20.100000000000001" hidden="1" customHeight="1">
      <c r="A172" s="1186"/>
      <c r="B172" s="2068" t="s">
        <v>1815</v>
      </c>
      <c r="C172" s="2069"/>
      <c r="D172" s="777" t="s">
        <v>668</v>
      </c>
      <c r="E172" s="779">
        <v>47.067999999999998</v>
      </c>
      <c r="F172" s="779"/>
      <c r="G172" s="779"/>
      <c r="H172" s="779">
        <v>47.6</v>
      </c>
      <c r="I172" s="780"/>
      <c r="J172" s="892"/>
      <c r="K172" s="892"/>
      <c r="L172" s="706"/>
      <c r="M172" s="791"/>
      <c r="N172" s="791"/>
      <c r="O172" s="1222"/>
      <c r="P172" s="1222"/>
      <c r="Q172" s="1222"/>
      <c r="R172" s="791"/>
      <c r="U172" s="383"/>
      <c r="V172" s="383"/>
    </row>
    <row r="173" spans="1:22" ht="20.100000000000001" hidden="1" customHeight="1">
      <c r="A173" s="1186"/>
      <c r="B173" s="2065"/>
      <c r="C173" s="2067"/>
      <c r="D173" s="777" t="s">
        <v>1422</v>
      </c>
      <c r="E173" s="779">
        <v>15.8</v>
      </c>
      <c r="F173" s="779"/>
      <c r="G173" s="779"/>
      <c r="H173" s="779">
        <v>14.933999999999999</v>
      </c>
      <c r="I173" s="780"/>
      <c r="J173" s="892"/>
      <c r="K173" s="892"/>
      <c r="L173" s="706"/>
      <c r="M173" s="791"/>
      <c r="N173" s="791"/>
      <c r="O173" s="1222"/>
      <c r="P173" s="1222"/>
      <c r="Q173" s="1222"/>
      <c r="R173" s="791"/>
      <c r="U173" s="383"/>
      <c r="V173" s="383"/>
    </row>
    <row r="174" spans="1:22" ht="20.100000000000001" hidden="1" customHeight="1">
      <c r="A174" s="1186"/>
      <c r="B174" s="1220" t="s">
        <v>1816</v>
      </c>
      <c r="C174" s="862"/>
      <c r="D174" s="777" t="s">
        <v>1422</v>
      </c>
      <c r="E174" s="779">
        <v>0.5</v>
      </c>
      <c r="F174" s="779"/>
      <c r="G174" s="779"/>
      <c r="H174" s="779">
        <v>0.4</v>
      </c>
      <c r="I174" s="780"/>
      <c r="J174" s="892"/>
      <c r="K174" s="892"/>
      <c r="L174" s="706"/>
      <c r="M174" s="791"/>
      <c r="N174" s="791"/>
      <c r="O174" s="1222"/>
      <c r="P174" s="1222"/>
      <c r="Q174" s="1222"/>
      <c r="R174" s="791"/>
      <c r="U174" s="383"/>
      <c r="V174" s="383"/>
    </row>
    <row r="175" spans="1:22" ht="34.200000000000003" customHeight="1">
      <c r="A175" s="1797" t="s">
        <v>2694</v>
      </c>
      <c r="B175" s="1682" t="s">
        <v>1581</v>
      </c>
      <c r="C175" s="1689">
        <v>188711925</v>
      </c>
      <c r="D175" s="711" t="s">
        <v>668</v>
      </c>
      <c r="E175" s="688">
        <v>100</v>
      </c>
      <c r="F175" s="688"/>
      <c r="G175" s="688"/>
      <c r="H175" s="688"/>
      <c r="I175" s="679"/>
      <c r="J175" s="680"/>
      <c r="K175" s="1701" t="s">
        <v>2941</v>
      </c>
      <c r="L175" s="1665" t="s">
        <v>1828</v>
      </c>
      <c r="M175" s="1656" t="s">
        <v>1905</v>
      </c>
      <c r="N175" s="1656" t="s">
        <v>1863</v>
      </c>
      <c r="O175" s="1679">
        <v>0</v>
      </c>
      <c r="P175" s="1679">
        <v>0</v>
      </c>
      <c r="Q175" s="1679">
        <v>0</v>
      </c>
      <c r="R175" s="1679" t="s">
        <v>2943</v>
      </c>
      <c r="U175" s="383"/>
      <c r="V175" s="383"/>
    </row>
    <row r="176" spans="1:22" ht="39.6" customHeight="1">
      <c r="A176" s="1798"/>
      <c r="B176" s="1682"/>
      <c r="C176" s="1689"/>
      <c r="D176" s="711" t="s">
        <v>341</v>
      </c>
      <c r="E176" s="688">
        <v>300</v>
      </c>
      <c r="F176" s="688"/>
      <c r="G176" s="688"/>
      <c r="H176" s="688"/>
      <c r="I176" s="679"/>
      <c r="J176" s="680"/>
      <c r="K176" s="1701"/>
      <c r="L176" s="1667"/>
      <c r="M176" s="1657"/>
      <c r="N176" s="1657"/>
      <c r="O176" s="1866"/>
      <c r="P176" s="1866"/>
      <c r="Q176" s="1866"/>
      <c r="R176" s="1866"/>
      <c r="U176" s="383"/>
      <c r="V176" s="383"/>
    </row>
    <row r="177" spans="1:22" ht="24" customHeight="1">
      <c r="A177" s="1799"/>
      <c r="B177" s="1682"/>
      <c r="C177" s="1689"/>
      <c r="D177" s="729" t="s">
        <v>1372</v>
      </c>
      <c r="E177" s="671">
        <f>SUM(E175:E176)</f>
        <v>400</v>
      </c>
      <c r="F177" s="671"/>
      <c r="G177" s="671"/>
      <c r="H177" s="671"/>
      <c r="I177" s="1177"/>
      <c r="J177" s="683"/>
      <c r="K177" s="1701"/>
      <c r="L177" s="1706"/>
      <c r="M177" s="1657"/>
      <c r="N177" s="1657"/>
      <c r="O177" s="1866"/>
      <c r="P177" s="1866"/>
      <c r="Q177" s="1866"/>
      <c r="R177" s="1866"/>
      <c r="U177" s="383"/>
      <c r="V177" s="383"/>
    </row>
    <row r="178" spans="1:22" ht="41.4" customHeight="1">
      <c r="A178" s="1807" t="s">
        <v>2695</v>
      </c>
      <c r="B178" s="1825" t="s">
        <v>1582</v>
      </c>
      <c r="C178" s="1810">
        <v>300079075</v>
      </c>
      <c r="D178" s="678" t="s">
        <v>668</v>
      </c>
      <c r="E178" s="667">
        <v>39.22</v>
      </c>
      <c r="F178" s="1154">
        <f t="shared" ref="F178:F180" si="70">H178/E178-1</f>
        <v>-0.39051504334523202</v>
      </c>
      <c r="G178" s="667"/>
      <c r="H178" s="667">
        <v>23.904</v>
      </c>
      <c r="I178" s="679"/>
      <c r="J178" s="680"/>
      <c r="K178" s="1701" t="s">
        <v>2944</v>
      </c>
      <c r="L178" s="1665" t="s">
        <v>3616</v>
      </c>
      <c r="M178" s="1656" t="s">
        <v>1906</v>
      </c>
      <c r="N178" s="1656" t="s">
        <v>1864</v>
      </c>
      <c r="O178" s="1679">
        <v>1</v>
      </c>
      <c r="P178" s="1679">
        <v>1</v>
      </c>
      <c r="Q178" s="1679">
        <v>1</v>
      </c>
      <c r="R178" s="1866"/>
      <c r="U178" s="383"/>
      <c r="V178" s="383"/>
    </row>
    <row r="179" spans="1:22" ht="34.799999999999997" customHeight="1">
      <c r="A179" s="1807"/>
      <c r="B179" s="1789"/>
      <c r="C179" s="1810"/>
      <c r="D179" s="678" t="s">
        <v>1760</v>
      </c>
      <c r="E179" s="667">
        <v>100</v>
      </c>
      <c r="F179" s="1154">
        <f t="shared" si="70"/>
        <v>0</v>
      </c>
      <c r="G179" s="667"/>
      <c r="H179" s="667">
        <v>100</v>
      </c>
      <c r="I179" s="679"/>
      <c r="J179" s="680"/>
      <c r="K179" s="1701"/>
      <c r="L179" s="1707"/>
      <c r="M179" s="1657"/>
      <c r="N179" s="1657"/>
      <c r="O179" s="1866"/>
      <c r="P179" s="1866"/>
      <c r="Q179" s="1866"/>
      <c r="R179" s="1866"/>
      <c r="U179" s="383"/>
      <c r="V179" s="383"/>
    </row>
    <row r="180" spans="1:22" ht="20.100000000000001" customHeight="1">
      <c r="A180" s="1807"/>
      <c r="B180" s="1789"/>
      <c r="C180" s="1810"/>
      <c r="D180" s="682" t="s">
        <v>1372</v>
      </c>
      <c r="E180" s="671">
        <f>SUM(E178:E179)</f>
        <v>139.22</v>
      </c>
      <c r="F180" s="1152">
        <f t="shared" si="70"/>
        <v>-0.11001292917684247</v>
      </c>
      <c r="G180" s="671">
        <f t="shared" ref="G180:J180" si="71">SUM(G178:G179)</f>
        <v>0</v>
      </c>
      <c r="H180" s="671">
        <f t="shared" si="71"/>
        <v>123.904</v>
      </c>
      <c r="I180" s="671">
        <f t="shared" si="71"/>
        <v>0</v>
      </c>
      <c r="J180" s="671">
        <f t="shared" si="71"/>
        <v>0</v>
      </c>
      <c r="K180" s="1701"/>
      <c r="L180" s="1706"/>
      <c r="M180" s="1658"/>
      <c r="N180" s="1657"/>
      <c r="O180" s="1866"/>
      <c r="P180" s="1866"/>
      <c r="Q180" s="1866"/>
      <c r="R180" s="1866"/>
      <c r="U180" s="383"/>
      <c r="V180" s="383"/>
    </row>
    <row r="181" spans="1:22" ht="30.75" customHeight="1">
      <c r="A181" s="1807" t="s">
        <v>3476</v>
      </c>
      <c r="B181" s="1789" t="s">
        <v>3617</v>
      </c>
      <c r="C181" s="1810">
        <v>188711925</v>
      </c>
      <c r="D181" s="678" t="s">
        <v>668</v>
      </c>
      <c r="E181" s="667"/>
      <c r="F181" s="667"/>
      <c r="G181" s="667"/>
      <c r="H181" s="667">
        <v>10</v>
      </c>
      <c r="I181" s="679">
        <v>50</v>
      </c>
      <c r="J181" s="680">
        <v>50</v>
      </c>
      <c r="K181" s="1701" t="s">
        <v>2944</v>
      </c>
      <c r="L181" s="1665" t="s">
        <v>3481</v>
      </c>
      <c r="M181" s="1656" t="s">
        <v>1907</v>
      </c>
      <c r="N181" s="764" t="s">
        <v>1865</v>
      </c>
      <c r="O181" s="1223">
        <v>0</v>
      </c>
      <c r="P181" s="1223">
        <v>0</v>
      </c>
      <c r="Q181" s="1223">
        <v>1</v>
      </c>
      <c r="R181" s="1866"/>
      <c r="U181" s="383"/>
      <c r="V181" s="383"/>
    </row>
    <row r="182" spans="1:22" ht="57.6" customHeight="1">
      <c r="A182" s="1807"/>
      <c r="B182" s="1789"/>
      <c r="C182" s="1810"/>
      <c r="D182" s="678" t="s">
        <v>341</v>
      </c>
      <c r="E182" s="667"/>
      <c r="F182" s="667"/>
      <c r="G182" s="667"/>
      <c r="H182" s="667"/>
      <c r="I182" s="679">
        <v>200</v>
      </c>
      <c r="J182" s="680">
        <v>200</v>
      </c>
      <c r="K182" s="1701"/>
      <c r="L182" s="1707"/>
      <c r="M182" s="1657"/>
      <c r="N182" s="764" t="s">
        <v>3478</v>
      </c>
      <c r="O182" s="1223" t="s">
        <v>613</v>
      </c>
      <c r="P182" s="1223" t="s">
        <v>613</v>
      </c>
      <c r="Q182" s="1223" t="s">
        <v>3480</v>
      </c>
      <c r="R182" s="1866"/>
      <c r="U182" s="383"/>
      <c r="V182" s="383"/>
    </row>
    <row r="183" spans="1:22" ht="57.6" customHeight="1">
      <c r="A183" s="1807"/>
      <c r="B183" s="1789"/>
      <c r="C183" s="1810"/>
      <c r="D183" s="682" t="s">
        <v>1372</v>
      </c>
      <c r="E183" s="671">
        <f>E181</f>
        <v>0</v>
      </c>
      <c r="F183" s="671">
        <f t="shared" ref="F183:H183" si="72">F181</f>
        <v>0</v>
      </c>
      <c r="G183" s="671">
        <f t="shared" si="72"/>
        <v>0</v>
      </c>
      <c r="H183" s="671">
        <f t="shared" si="72"/>
        <v>10</v>
      </c>
      <c r="I183" s="671">
        <f>SUM(I181:I182)</f>
        <v>250</v>
      </c>
      <c r="J183" s="671">
        <f>SUM(J181:J182)</f>
        <v>250</v>
      </c>
      <c r="K183" s="1701"/>
      <c r="L183" s="1706"/>
      <c r="M183" s="1658"/>
      <c r="N183" s="764" t="s">
        <v>3479</v>
      </c>
      <c r="O183" s="1223" t="s">
        <v>613</v>
      </c>
      <c r="P183" s="1223" t="s">
        <v>613</v>
      </c>
      <c r="Q183" s="1223" t="s">
        <v>2297</v>
      </c>
      <c r="R183" s="1680"/>
      <c r="U183" s="383"/>
      <c r="V183" s="383"/>
    </row>
    <row r="184" spans="1:22" ht="78.599999999999994" customHeight="1">
      <c r="A184" s="1807" t="s">
        <v>2696</v>
      </c>
      <c r="B184" s="1789" t="s">
        <v>1583</v>
      </c>
      <c r="C184" s="1810">
        <v>188711925</v>
      </c>
      <c r="D184" s="678" t="s">
        <v>668</v>
      </c>
      <c r="E184" s="667">
        <v>7</v>
      </c>
      <c r="F184" s="1154">
        <f t="shared" ref="F184:F185" si="73">H184/E184-1</f>
        <v>0.4285714285714286</v>
      </c>
      <c r="G184" s="667">
        <v>12</v>
      </c>
      <c r="H184" s="667">
        <v>10</v>
      </c>
      <c r="I184" s="667">
        <v>12</v>
      </c>
      <c r="J184" s="680">
        <v>15</v>
      </c>
      <c r="K184" s="1654" t="s">
        <v>2945</v>
      </c>
      <c r="L184" s="1665" t="s">
        <v>1829</v>
      </c>
      <c r="M184" s="1656" t="s">
        <v>1908</v>
      </c>
      <c r="N184" s="1656" t="s">
        <v>2946</v>
      </c>
      <c r="O184" s="1679">
        <v>1</v>
      </c>
      <c r="P184" s="1679">
        <v>1</v>
      </c>
      <c r="Q184" s="1679">
        <v>1</v>
      </c>
      <c r="R184" s="1679" t="s">
        <v>2946</v>
      </c>
      <c r="U184" s="383"/>
      <c r="V184" s="383"/>
    </row>
    <row r="185" spans="1:22" ht="79.5" customHeight="1">
      <c r="A185" s="1807"/>
      <c r="B185" s="1789"/>
      <c r="C185" s="1810"/>
      <c r="D185" s="682" t="s">
        <v>1372</v>
      </c>
      <c r="E185" s="671">
        <f>E184</f>
        <v>7</v>
      </c>
      <c r="F185" s="1152">
        <f t="shared" si="73"/>
        <v>0.4285714285714286</v>
      </c>
      <c r="G185" s="671">
        <f t="shared" ref="G185:J185" si="74">G184</f>
        <v>12</v>
      </c>
      <c r="H185" s="671">
        <f t="shared" si="74"/>
        <v>10</v>
      </c>
      <c r="I185" s="671">
        <f t="shared" si="74"/>
        <v>12</v>
      </c>
      <c r="J185" s="671">
        <f t="shared" si="74"/>
        <v>15</v>
      </c>
      <c r="K185" s="1655"/>
      <c r="L185" s="1706"/>
      <c r="M185" s="1657"/>
      <c r="N185" s="1657"/>
      <c r="O185" s="1866"/>
      <c r="P185" s="1866"/>
      <c r="Q185" s="1866"/>
      <c r="R185" s="1680"/>
      <c r="U185" s="383"/>
      <c r="V185" s="383"/>
    </row>
    <row r="186" spans="1:22" ht="20.100000000000001" customHeight="1">
      <c r="A186" s="1806" t="s">
        <v>2697</v>
      </c>
      <c r="B186" s="1682" t="s">
        <v>1584</v>
      </c>
      <c r="C186" s="1689">
        <v>188711925</v>
      </c>
      <c r="D186" s="665" t="s">
        <v>668</v>
      </c>
      <c r="E186" s="667">
        <v>7.9480000000000004</v>
      </c>
      <c r="F186" s="667"/>
      <c r="G186" s="667"/>
      <c r="H186" s="667"/>
      <c r="I186" s="679"/>
      <c r="J186" s="680"/>
      <c r="K186" s="1654" t="s">
        <v>2944</v>
      </c>
      <c r="L186" s="1665" t="s">
        <v>3328</v>
      </c>
      <c r="M186" s="1656" t="s">
        <v>1909</v>
      </c>
      <c r="N186" s="1656" t="s">
        <v>1866</v>
      </c>
      <c r="O186" s="1679">
        <v>1</v>
      </c>
      <c r="P186" s="1679" t="s">
        <v>469</v>
      </c>
      <c r="Q186" s="1679" t="s">
        <v>469</v>
      </c>
      <c r="R186" s="1679" t="s">
        <v>2943</v>
      </c>
      <c r="U186" s="383"/>
      <c r="V186" s="383"/>
    </row>
    <row r="187" spans="1:22" ht="20.100000000000001" customHeight="1">
      <c r="A187" s="1806"/>
      <c r="B187" s="1682"/>
      <c r="C187" s="1689"/>
      <c r="D187" s="665" t="s">
        <v>341</v>
      </c>
      <c r="E187" s="839"/>
      <c r="F187" s="839"/>
      <c r="G187" s="839"/>
      <c r="H187" s="839"/>
      <c r="I187" s="877"/>
      <c r="J187" s="840"/>
      <c r="K187" s="1886"/>
      <c r="L187" s="1707"/>
      <c r="M187" s="1657"/>
      <c r="N187" s="1657"/>
      <c r="O187" s="1866"/>
      <c r="P187" s="1866"/>
      <c r="Q187" s="1866"/>
      <c r="R187" s="1866"/>
      <c r="U187" s="383"/>
      <c r="V187" s="383"/>
    </row>
    <row r="188" spans="1:22" ht="33.75" customHeight="1">
      <c r="A188" s="1806"/>
      <c r="B188" s="1682"/>
      <c r="C188" s="1689"/>
      <c r="D188" s="670" t="s">
        <v>1372</v>
      </c>
      <c r="E188" s="671">
        <f>E186</f>
        <v>7.9480000000000004</v>
      </c>
      <c r="F188" s="671"/>
      <c r="G188" s="671"/>
      <c r="H188" s="671"/>
      <c r="I188" s="671"/>
      <c r="J188" s="683"/>
      <c r="K188" s="1886"/>
      <c r="L188" s="1706"/>
      <c r="M188" s="1658"/>
      <c r="N188" s="1658"/>
      <c r="O188" s="1680"/>
      <c r="P188" s="1680"/>
      <c r="Q188" s="1680"/>
      <c r="R188" s="1866"/>
      <c r="U188" s="383"/>
      <c r="V188" s="383"/>
    </row>
    <row r="189" spans="1:22" ht="45.6" customHeight="1">
      <c r="A189" s="1806" t="s">
        <v>3472</v>
      </c>
      <c r="B189" s="1678" t="s">
        <v>3619</v>
      </c>
      <c r="C189" s="1689">
        <v>190230824</v>
      </c>
      <c r="D189" s="665" t="s">
        <v>668</v>
      </c>
      <c r="E189" s="688">
        <v>44.2</v>
      </c>
      <c r="F189" s="1151">
        <f t="shared" ref="F189" si="75">H189/E189-1</f>
        <v>0.83167420814479609</v>
      </c>
      <c r="G189" s="688"/>
      <c r="H189" s="688">
        <v>80.959999999999994</v>
      </c>
      <c r="I189" s="712"/>
      <c r="J189" s="708"/>
      <c r="K189" s="1886"/>
      <c r="L189" s="1665" t="s">
        <v>3477</v>
      </c>
      <c r="M189" s="1656" t="s">
        <v>1910</v>
      </c>
      <c r="N189" s="1656" t="s">
        <v>1867</v>
      </c>
      <c r="O189" s="1679">
        <v>60</v>
      </c>
      <c r="P189" s="1679">
        <v>55</v>
      </c>
      <c r="Q189" s="1679">
        <v>55</v>
      </c>
      <c r="R189" s="1866"/>
      <c r="U189" s="383"/>
      <c r="V189" s="383"/>
    </row>
    <row r="190" spans="1:22" ht="43.8" customHeight="1">
      <c r="A190" s="1806"/>
      <c r="B190" s="1678"/>
      <c r="C190" s="1689"/>
      <c r="D190" s="665" t="s">
        <v>341</v>
      </c>
      <c r="E190" s="667"/>
      <c r="F190" s="1154"/>
      <c r="G190" s="667"/>
      <c r="H190" s="667">
        <v>25.2</v>
      </c>
      <c r="I190" s="1178"/>
      <c r="J190" s="1178"/>
      <c r="K190" s="1886"/>
      <c r="L190" s="1707"/>
      <c r="M190" s="1657"/>
      <c r="N190" s="1657"/>
      <c r="O190" s="1866"/>
      <c r="P190" s="1866"/>
      <c r="Q190" s="1866"/>
      <c r="R190" s="1866"/>
      <c r="U190" s="383"/>
      <c r="V190" s="383"/>
    </row>
    <row r="191" spans="1:22" ht="20.100000000000001" customHeight="1">
      <c r="A191" s="1806"/>
      <c r="B191" s="1678"/>
      <c r="C191" s="1689"/>
      <c r="D191" s="665" t="s">
        <v>587</v>
      </c>
      <c r="E191" s="667"/>
      <c r="F191" s="1154"/>
      <c r="G191" s="667"/>
      <c r="H191" s="667">
        <v>4.3899999999999997</v>
      </c>
      <c r="I191" s="1178"/>
      <c r="J191" s="1178"/>
      <c r="K191" s="1886"/>
      <c r="L191" s="1707"/>
      <c r="M191" s="1657"/>
      <c r="N191" s="1657"/>
      <c r="O191" s="1866"/>
      <c r="P191" s="1866"/>
      <c r="Q191" s="1866"/>
      <c r="R191" s="1866"/>
      <c r="S191" s="551" t="s">
        <v>3618</v>
      </c>
      <c r="U191" s="383"/>
      <c r="V191" s="383"/>
    </row>
    <row r="192" spans="1:22" ht="78.599999999999994" customHeight="1">
      <c r="A192" s="1806"/>
      <c r="B192" s="1678"/>
      <c r="C192" s="1689"/>
      <c r="D192" s="670" t="s">
        <v>1372</v>
      </c>
      <c r="E192" s="671">
        <f>E189</f>
        <v>44.2</v>
      </c>
      <c r="F192" s="1152">
        <f t="shared" ref="F192" si="76">H192/E192-1</f>
        <v>1.501131221719457</v>
      </c>
      <c r="G192" s="671">
        <f t="shared" ref="G192" si="77">G189</f>
        <v>0</v>
      </c>
      <c r="H192" s="671">
        <f>SUM(H189:H191)</f>
        <v>110.55</v>
      </c>
      <c r="I192" s="671">
        <f t="shared" ref="I192:J192" si="78">SUM(I189:I191)</f>
        <v>0</v>
      </c>
      <c r="J192" s="671">
        <f t="shared" si="78"/>
        <v>0</v>
      </c>
      <c r="K192" s="1886"/>
      <c r="L192" s="1706"/>
      <c r="M192" s="1658"/>
      <c r="N192" s="1658"/>
      <c r="O192" s="1680"/>
      <c r="P192" s="1680"/>
      <c r="Q192" s="1680"/>
      <c r="R192" s="1866"/>
      <c r="U192" s="383"/>
      <c r="V192" s="383"/>
    </row>
    <row r="193" spans="1:22" ht="69.599999999999994" customHeight="1">
      <c r="A193" s="1807" t="s">
        <v>3473</v>
      </c>
      <c r="B193" s="2057" t="s">
        <v>3621</v>
      </c>
      <c r="C193" s="1827">
        <v>188711925</v>
      </c>
      <c r="D193" s="860" t="s">
        <v>668</v>
      </c>
      <c r="E193" s="667"/>
      <c r="F193" s="667"/>
      <c r="G193" s="667">
        <v>53</v>
      </c>
      <c r="H193" s="667">
        <v>53</v>
      </c>
      <c r="I193" s="667">
        <v>106.5</v>
      </c>
      <c r="J193" s="680">
        <v>120</v>
      </c>
      <c r="K193" s="1886"/>
      <c r="L193" s="1665" t="s">
        <v>2319</v>
      </c>
      <c r="M193" s="1656" t="s">
        <v>1911</v>
      </c>
      <c r="N193" s="1699" t="s">
        <v>2316</v>
      </c>
      <c r="O193" s="1740">
        <v>0</v>
      </c>
      <c r="P193" s="1740">
        <v>0</v>
      </c>
      <c r="Q193" s="1740" t="s">
        <v>2317</v>
      </c>
      <c r="R193" s="1866"/>
      <c r="U193" s="383"/>
      <c r="V193" s="383"/>
    </row>
    <row r="194" spans="1:22" ht="27" customHeight="1">
      <c r="A194" s="1807"/>
      <c r="B194" s="2057"/>
      <c r="C194" s="1827"/>
      <c r="D194" s="860" t="s">
        <v>341</v>
      </c>
      <c r="E194" s="667"/>
      <c r="F194" s="667"/>
      <c r="G194" s="667">
        <v>187</v>
      </c>
      <c r="H194" s="667">
        <v>187</v>
      </c>
      <c r="I194" s="667">
        <v>603.5</v>
      </c>
      <c r="J194" s="680">
        <v>680</v>
      </c>
      <c r="K194" s="1886"/>
      <c r="L194" s="1707"/>
      <c r="M194" s="1657"/>
      <c r="N194" s="1699"/>
      <c r="O194" s="1740"/>
      <c r="P194" s="1740"/>
      <c r="Q194" s="1740"/>
      <c r="R194" s="1866"/>
      <c r="U194" s="383"/>
      <c r="V194" s="383"/>
    </row>
    <row r="195" spans="1:22" ht="79.5" customHeight="1">
      <c r="A195" s="1807"/>
      <c r="B195" s="1832"/>
      <c r="C195" s="1810"/>
      <c r="D195" s="682" t="s">
        <v>1372</v>
      </c>
      <c r="E195" s="848">
        <v>0</v>
      </c>
      <c r="F195" s="848"/>
      <c r="G195" s="848">
        <f>SUM(G193:G194)</f>
        <v>240</v>
      </c>
      <c r="H195" s="848">
        <f t="shared" ref="H195:J195" si="79">SUM(H193:H194)</f>
        <v>240</v>
      </c>
      <c r="I195" s="848">
        <f t="shared" si="79"/>
        <v>710</v>
      </c>
      <c r="J195" s="848">
        <f t="shared" si="79"/>
        <v>800</v>
      </c>
      <c r="K195" s="1886"/>
      <c r="L195" s="1706"/>
      <c r="M195" s="1658"/>
      <c r="N195" s="766" t="s">
        <v>2318</v>
      </c>
      <c r="O195" s="824" t="s">
        <v>613</v>
      </c>
      <c r="P195" s="824" t="s">
        <v>613</v>
      </c>
      <c r="Q195" s="824" t="s">
        <v>2239</v>
      </c>
      <c r="R195" s="1866"/>
      <c r="S195" s="383" t="s">
        <v>3620</v>
      </c>
      <c r="U195" s="383"/>
      <c r="V195" s="383"/>
    </row>
    <row r="196" spans="1:22" ht="67.2" customHeight="1">
      <c r="A196" s="1807" t="s">
        <v>3474</v>
      </c>
      <c r="B196" s="1789" t="s">
        <v>3623</v>
      </c>
      <c r="C196" s="1810">
        <v>188711925</v>
      </c>
      <c r="D196" s="678" t="s">
        <v>668</v>
      </c>
      <c r="E196" s="667"/>
      <c r="F196" s="667"/>
      <c r="G196" s="667"/>
      <c r="H196" s="667"/>
      <c r="I196" s="679">
        <v>50</v>
      </c>
      <c r="J196" s="680">
        <v>50</v>
      </c>
      <c r="K196" s="1886"/>
      <c r="L196" s="1665" t="s">
        <v>3482</v>
      </c>
      <c r="M196" s="1656" t="s">
        <v>1912</v>
      </c>
      <c r="N196" s="764" t="s">
        <v>1865</v>
      </c>
      <c r="O196" s="1223">
        <v>0</v>
      </c>
      <c r="P196" s="1223">
        <v>0</v>
      </c>
      <c r="Q196" s="1223">
        <v>1</v>
      </c>
      <c r="R196" s="1866"/>
      <c r="U196" s="383"/>
      <c r="V196" s="383"/>
    </row>
    <row r="197" spans="1:22" ht="59.4" customHeight="1">
      <c r="A197" s="1807"/>
      <c r="B197" s="1789"/>
      <c r="C197" s="1810"/>
      <c r="D197" s="678" t="s">
        <v>341</v>
      </c>
      <c r="E197" s="667"/>
      <c r="F197" s="667"/>
      <c r="G197" s="667"/>
      <c r="H197" s="667"/>
      <c r="I197" s="679">
        <v>200</v>
      </c>
      <c r="J197" s="680">
        <v>200</v>
      </c>
      <c r="K197" s="1886"/>
      <c r="L197" s="1707"/>
      <c r="M197" s="1657"/>
      <c r="N197" s="764" t="s">
        <v>3483</v>
      </c>
      <c r="O197" s="1223" t="s">
        <v>613</v>
      </c>
      <c r="P197" s="1223" t="s">
        <v>613</v>
      </c>
      <c r="Q197" s="1223" t="s">
        <v>1694</v>
      </c>
      <c r="R197" s="1866"/>
      <c r="S197" s="383" t="s">
        <v>3622</v>
      </c>
      <c r="U197" s="383"/>
      <c r="V197" s="383"/>
    </row>
    <row r="198" spans="1:22" ht="169.2" customHeight="1">
      <c r="A198" s="1807"/>
      <c r="B198" s="1789"/>
      <c r="C198" s="1810"/>
      <c r="D198" s="682" t="s">
        <v>1372</v>
      </c>
      <c r="E198" s="671">
        <f>E196</f>
        <v>0</v>
      </c>
      <c r="F198" s="671"/>
      <c r="G198" s="671"/>
      <c r="H198" s="671"/>
      <c r="I198" s="1177">
        <f>SUM(I196:I197)</f>
        <v>250</v>
      </c>
      <c r="J198" s="1177">
        <f>SUM(J196:J197)</f>
        <v>250</v>
      </c>
      <c r="K198" s="1886"/>
      <c r="L198" s="1706"/>
      <c r="M198" s="1658"/>
      <c r="N198" s="764" t="s">
        <v>3484</v>
      </c>
      <c r="O198" s="1223" t="s">
        <v>613</v>
      </c>
      <c r="P198" s="1223" t="s">
        <v>613</v>
      </c>
      <c r="Q198" s="1223" t="s">
        <v>205</v>
      </c>
      <c r="R198" s="1866"/>
      <c r="U198" s="383"/>
      <c r="V198" s="383"/>
    </row>
    <row r="199" spans="1:22" ht="45" customHeight="1">
      <c r="A199" s="1807" t="s">
        <v>3475</v>
      </c>
      <c r="B199" s="1789" t="s">
        <v>3627</v>
      </c>
      <c r="C199" s="1810" t="s">
        <v>1376</v>
      </c>
      <c r="D199" s="678" t="s">
        <v>668</v>
      </c>
      <c r="E199" s="667"/>
      <c r="F199" s="667"/>
      <c r="G199" s="667"/>
      <c r="H199" s="667">
        <v>37.9</v>
      </c>
      <c r="I199" s="679">
        <v>45.48</v>
      </c>
      <c r="J199" s="680"/>
      <c r="K199" s="1886"/>
      <c r="L199" s="1665" t="s">
        <v>3628</v>
      </c>
      <c r="M199" s="1656" t="s">
        <v>1912</v>
      </c>
      <c r="N199" s="1656" t="s">
        <v>1865</v>
      </c>
      <c r="O199" s="1679" t="s">
        <v>469</v>
      </c>
      <c r="P199" s="1679" t="s">
        <v>469</v>
      </c>
      <c r="Q199" s="1679" t="s">
        <v>469</v>
      </c>
      <c r="R199" s="1866"/>
      <c r="U199" s="383"/>
      <c r="V199" s="383"/>
    </row>
    <row r="200" spans="1:22" ht="17.25" customHeight="1">
      <c r="A200" s="1807"/>
      <c r="B200" s="1789"/>
      <c r="C200" s="1810"/>
      <c r="D200" s="678" t="s">
        <v>341</v>
      </c>
      <c r="E200" s="667"/>
      <c r="F200" s="667"/>
      <c r="G200" s="667"/>
      <c r="H200" s="667">
        <v>46.186999999999998</v>
      </c>
      <c r="I200" s="679">
        <v>46.186999999999998</v>
      </c>
      <c r="J200" s="680"/>
      <c r="K200" s="1886"/>
      <c r="L200" s="1707"/>
      <c r="M200" s="1657"/>
      <c r="N200" s="1657"/>
      <c r="O200" s="1866"/>
      <c r="P200" s="1866"/>
      <c r="Q200" s="1866"/>
      <c r="R200" s="1866"/>
      <c r="S200" s="552" t="s">
        <v>3624</v>
      </c>
      <c r="U200" s="383"/>
      <c r="V200" s="383"/>
    </row>
    <row r="201" spans="1:22" ht="27" customHeight="1">
      <c r="A201" s="1807"/>
      <c r="B201" s="1789"/>
      <c r="C201" s="1810"/>
      <c r="D201" s="682" t="s">
        <v>1372</v>
      </c>
      <c r="E201" s="671">
        <f>E199</f>
        <v>0</v>
      </c>
      <c r="F201" s="671"/>
      <c r="G201" s="671"/>
      <c r="H201" s="671">
        <f>H199+H200</f>
        <v>84.086999999999989</v>
      </c>
      <c r="I201" s="671">
        <f t="shared" ref="I201:J201" si="80">I199+I200</f>
        <v>91.667000000000002</v>
      </c>
      <c r="J201" s="671">
        <f t="shared" si="80"/>
        <v>0</v>
      </c>
      <c r="K201" s="1655"/>
      <c r="L201" s="1706"/>
      <c r="M201" s="1658"/>
      <c r="N201" s="1658"/>
      <c r="O201" s="1866"/>
      <c r="P201" s="1866"/>
      <c r="Q201" s="1866"/>
      <c r="R201" s="1680"/>
      <c r="U201" s="383"/>
      <c r="V201" s="383"/>
    </row>
    <row r="202" spans="1:22" ht="51" customHeight="1">
      <c r="A202" s="1694"/>
      <c r="B202" s="1694"/>
      <c r="C202" s="1694"/>
      <c r="D202" s="1694"/>
      <c r="E202" s="750" t="s">
        <v>1388</v>
      </c>
      <c r="F202" s="750"/>
      <c r="G202" s="750" t="str">
        <f>G13</f>
        <v>2024  m. išlaidų projektas (lėšų poreikis), tūkst. Eur</v>
      </c>
      <c r="H202" s="928" t="str">
        <f>H13</f>
        <v>2024  m.asignavimai ir kitos lėšos, tūkst. Eur</v>
      </c>
      <c r="I202" s="928" t="str">
        <f>I13</f>
        <v>2025 m. asignavimai ir kitos lėšos, tūkst. Eur</v>
      </c>
      <c r="J202" s="928" t="str">
        <f>J13</f>
        <v>2026 m.asignavimai ir kitos lėšos, tūkst. Eur</v>
      </c>
      <c r="K202" s="2058"/>
      <c r="L202" s="2059"/>
      <c r="M202" s="2059"/>
      <c r="N202" s="2059"/>
      <c r="O202" s="2059"/>
      <c r="P202" s="2059"/>
      <c r="Q202" s="2059"/>
      <c r="R202" s="2060"/>
      <c r="U202" s="383"/>
      <c r="V202" s="383"/>
    </row>
    <row r="203" spans="1:22" ht="44.4" customHeight="1">
      <c r="A203" s="1179"/>
      <c r="B203" s="1682" t="s">
        <v>990</v>
      </c>
      <c r="C203" s="1682"/>
      <c r="D203" s="1682"/>
      <c r="E203" s="887">
        <f>SUM(E204,E205,E208,E209,E210,E211,)</f>
        <v>7165.9719999999988</v>
      </c>
      <c r="F203" s="890">
        <f t="shared" ref="F203:F205" si="81">H203/E203-1</f>
        <v>9.8393351243906579E-2</v>
      </c>
      <c r="G203" s="887">
        <f>SUM(G204,G205,G208,G209,G210,G211,)</f>
        <v>7548.44</v>
      </c>
      <c r="H203" s="887">
        <f>SUM(H204,H205,H208,H209,H210,H211,)</f>
        <v>7871.0559999999987</v>
      </c>
      <c r="I203" s="887">
        <f>SUM(I204,I205,I208,I209,I210,I211,)</f>
        <v>8521.1769999999997</v>
      </c>
      <c r="J203" s="888">
        <f>SUM(J204,J205,J208,J209,J210,J211,)</f>
        <v>7811.5580000000009</v>
      </c>
      <c r="K203" s="1180"/>
      <c r="L203" s="756"/>
      <c r="M203" s="756"/>
      <c r="N203" s="756"/>
      <c r="O203" s="974"/>
      <c r="P203" s="974"/>
      <c r="Q203" s="974"/>
      <c r="R203" s="1127"/>
      <c r="U203" s="383"/>
      <c r="V203" s="383"/>
    </row>
    <row r="204" spans="1:22" ht="43.2" customHeight="1">
      <c r="A204" s="665"/>
      <c r="B204" s="1681" t="s">
        <v>2564</v>
      </c>
      <c r="C204" s="1681"/>
      <c r="D204" s="1681"/>
      <c r="E204" s="667">
        <f>SUM(E16,E34,E37,E40,E73,E91,E94,E97,E99,E101,E105,E109,E112,E114,E116,E118,E121,E124,E128,E130,E135,E137,E139,E144,E148,E150,E152,E159,E164,E166,E175,E178,E181,E184,E186,E189,E196,E45)</f>
        <v>4300.5459999999994</v>
      </c>
      <c r="F204" s="890">
        <f t="shared" si="81"/>
        <v>-1.6828560838554107E-2</v>
      </c>
      <c r="G204" s="667">
        <f>SUM(G16,G34,G37,G40,G73,G91,G94,G97,G99,G101,G105,G109,G112,G114,G116,G118,G121,G124,G128,G130,G135,G137,G139,G144,G148,G150,G152,G159,G164,G166,G175,G178,G181,G184,G186,G189,G196,G45)</f>
        <v>4035.0029999999997</v>
      </c>
      <c r="H204" s="667">
        <f>SUM(H16,H34,H37,H40,H73,H91,H94,H97,H99,H101,H105,H109,H112,H114,H116,H118,H121,H124,H128,H130,H135,H137,H139,H144,H148,H150,H152,H159,H164,H166,H175,H178,H181,H184,H186,H189,H196,H45,H199,H193,)</f>
        <v>4228.1739999999991</v>
      </c>
      <c r="I204" s="667">
        <f t="shared" ref="I204:J204" si="82">SUM(I16,I34,I37,I40,I73,I91,I94,I97,I99,I101,I105,I109,I112,I114,I116,I118,I121,I124,I128,I130,I135,I137,I139,I144,I148,I150,I152,I159,I164,I166,I175,I178,I181,I184,I186,I189,I196,I45,I199,I193,)</f>
        <v>4531.7969999999996</v>
      </c>
      <c r="J204" s="667">
        <f t="shared" si="82"/>
        <v>4413.2000000000007</v>
      </c>
      <c r="K204" s="757"/>
      <c r="L204" s="756"/>
      <c r="M204" s="756"/>
      <c r="N204" s="756"/>
      <c r="O204" s="977"/>
      <c r="P204" s="977"/>
      <c r="Q204" s="977"/>
      <c r="R204" s="756"/>
      <c r="U204" s="383"/>
      <c r="V204" s="383"/>
    </row>
    <row r="205" spans="1:22" ht="37.799999999999997" customHeight="1">
      <c r="A205" s="665"/>
      <c r="B205" s="1681" t="s">
        <v>993</v>
      </c>
      <c r="C205" s="1681"/>
      <c r="D205" s="1681"/>
      <c r="E205" s="667">
        <f>SUM(E18,E39,E41,E56,E58,E72,E86,E95,E102,E125,E132,E140,E141,E145,E154,E160,E167,)</f>
        <v>1857.5709999999999</v>
      </c>
      <c r="F205" s="890">
        <f t="shared" si="81"/>
        <v>0.25085985946163047</v>
      </c>
      <c r="G205" s="667">
        <f>SUM(G18,G39,G41,G56,G58,G72,G86,G95,G102,G125,G132,G140,G141,G145,G154,G160,G167,)</f>
        <v>2635.3169999999996</v>
      </c>
      <c r="H205" s="667">
        <f>H206+H207</f>
        <v>2323.5610000000001</v>
      </c>
      <c r="I205" s="667">
        <f t="shared" ref="I205:J205" si="83">I206+I207</f>
        <v>2418.1949999999997</v>
      </c>
      <c r="J205" s="667">
        <f t="shared" si="83"/>
        <v>2426.2399999999998</v>
      </c>
      <c r="K205" s="757"/>
      <c r="L205" s="756"/>
      <c r="M205" s="756"/>
      <c r="N205" s="756"/>
      <c r="O205" s="977"/>
      <c r="P205" s="977"/>
      <c r="Q205" s="977"/>
      <c r="R205" s="756"/>
      <c r="U205" s="383"/>
      <c r="V205" s="383"/>
    </row>
    <row r="206" spans="1:22" ht="26.4" hidden="1" customHeight="1">
      <c r="A206" s="676"/>
      <c r="B206" s="1684" t="s">
        <v>3591</v>
      </c>
      <c r="C206" s="1685"/>
      <c r="D206" s="1686"/>
      <c r="E206" s="704"/>
      <c r="F206" s="704"/>
      <c r="G206" s="704"/>
      <c r="H206" s="779">
        <f>SUM(H39,H56,H58,H72,H86,H140)</f>
        <v>2128.585</v>
      </c>
      <c r="I206" s="779">
        <f>SUM(I39,I56,I58,I72,I86,I140)</f>
        <v>2131.64</v>
      </c>
      <c r="J206" s="779">
        <f>SUM(J39,J56,J58,J72,J86,J140)</f>
        <v>2134.64</v>
      </c>
      <c r="K206" s="757"/>
      <c r="L206" s="756"/>
      <c r="M206" s="756"/>
      <c r="N206" s="756"/>
      <c r="O206" s="977"/>
      <c r="P206" s="977"/>
      <c r="Q206" s="977"/>
      <c r="R206" s="756"/>
      <c r="U206" s="383"/>
      <c r="V206" s="383"/>
    </row>
    <row r="207" spans="1:22" ht="26.4" hidden="1" customHeight="1">
      <c r="A207" s="676"/>
      <c r="B207" s="825" t="s">
        <v>3592</v>
      </c>
      <c r="C207" s="826"/>
      <c r="D207" s="827"/>
      <c r="E207" s="704"/>
      <c r="F207" s="704"/>
      <c r="G207" s="704"/>
      <c r="H207" s="779">
        <f>SUM(H18,H59,H102,H132,H141,H154,H160,H167,H145,H125,)</f>
        <v>194.976</v>
      </c>
      <c r="I207" s="779">
        <f>SUM(I18,I59,I102,I132,I141,I154,I160,I167,I145,I125,)</f>
        <v>286.55500000000001</v>
      </c>
      <c r="J207" s="779">
        <f>SUM(J18,J59,J102,J132,J141,J154,J160,J167,J145,J125,)</f>
        <v>291.60000000000002</v>
      </c>
      <c r="K207" s="757"/>
      <c r="L207" s="756"/>
      <c r="M207" s="756"/>
      <c r="N207" s="756"/>
      <c r="O207" s="977"/>
      <c r="P207" s="977"/>
      <c r="Q207" s="977"/>
      <c r="R207" s="756"/>
      <c r="U207" s="383"/>
      <c r="V207" s="383"/>
    </row>
    <row r="208" spans="1:22" ht="20.100000000000001" customHeight="1">
      <c r="A208" s="665"/>
      <c r="B208" s="1681" t="s">
        <v>994</v>
      </c>
      <c r="C208" s="1681"/>
      <c r="D208" s="1681"/>
      <c r="E208" s="667">
        <f>SUM(E17,E110,E122,E153,)</f>
        <v>472.85499999999996</v>
      </c>
      <c r="F208" s="1154">
        <f t="shared" ref="F208:F213" si="84">H208/E208-1</f>
        <v>8.088737562254833E-2</v>
      </c>
      <c r="G208" s="667">
        <f>SUM(G17,G110,G122,G153,)</f>
        <v>488.67900000000003</v>
      </c>
      <c r="H208" s="667">
        <f>SUM(H17,H110,H122,H153,)</f>
        <v>511.10300000000001</v>
      </c>
      <c r="I208" s="667">
        <f>SUM(I17,I110,I122,I153,)</f>
        <v>510.68200000000002</v>
      </c>
      <c r="J208" s="667">
        <f>SUM(J17,J110,J122,J153,)</f>
        <v>513.31799999999998</v>
      </c>
      <c r="K208" s="757"/>
      <c r="L208" s="756"/>
      <c r="M208" s="756"/>
      <c r="N208" s="756"/>
      <c r="O208" s="977"/>
      <c r="P208" s="977"/>
      <c r="Q208" s="977"/>
      <c r="R208" s="756"/>
      <c r="U208" s="383"/>
      <c r="V208" s="383"/>
    </row>
    <row r="209" spans="1:22" ht="37.799999999999997" customHeight="1">
      <c r="A209" s="665"/>
      <c r="B209" s="1681" t="s">
        <v>2565</v>
      </c>
      <c r="C209" s="1681"/>
      <c r="D209" s="1681"/>
      <c r="E209" s="667">
        <f>SUM(E126,E131,E162,E176,E182,E187,E190,)</f>
        <v>435</v>
      </c>
      <c r="F209" s="1154">
        <f t="shared" si="84"/>
        <v>0.62808735632183899</v>
      </c>
      <c r="G209" s="667">
        <f>SUM(G126,G131,G162,G176,G182,G187,G190,)</f>
        <v>389.44100000000003</v>
      </c>
      <c r="H209" s="667">
        <f>SUM(H126,H131,H162,H176,H182,H187,H190,H191,H163,H133,H200,H194,)</f>
        <v>708.21799999999996</v>
      </c>
      <c r="I209" s="667">
        <f>SUM(I126,I131,I162,I176,I182,I187,I190,I191,I163,I133,)</f>
        <v>1060.5030000000002</v>
      </c>
      <c r="J209" s="667">
        <f>SUM(J126,J131,J162,J176,J182,J187,J190,J191,J163,J133,)</f>
        <v>458.8</v>
      </c>
      <c r="K209" s="1181"/>
      <c r="L209" s="756"/>
      <c r="M209" s="756"/>
      <c r="N209" s="756"/>
      <c r="O209" s="977"/>
      <c r="P209" s="977"/>
      <c r="Q209" s="977"/>
      <c r="R209" s="756"/>
      <c r="U209" s="383"/>
      <c r="V209" s="383"/>
    </row>
    <row r="210" spans="1:22" ht="20.100000000000001" customHeight="1">
      <c r="A210" s="665"/>
      <c r="B210" s="1681" t="s">
        <v>995</v>
      </c>
      <c r="C210" s="1681"/>
      <c r="D210" s="1681"/>
      <c r="E210" s="667">
        <f>SUM(E179)</f>
        <v>100</v>
      </c>
      <c r="F210" s="1154">
        <f t="shared" si="84"/>
        <v>0</v>
      </c>
      <c r="G210" s="667">
        <f>SUM(G179)</f>
        <v>0</v>
      </c>
      <c r="H210" s="667">
        <f>SUM(H179)</f>
        <v>100</v>
      </c>
      <c r="I210" s="667">
        <f>SUM(I179)</f>
        <v>0</v>
      </c>
      <c r="J210" s="667">
        <f>SUM(J179)</f>
        <v>0</v>
      </c>
      <c r="K210" s="757"/>
      <c r="L210" s="756"/>
      <c r="M210" s="756"/>
      <c r="N210" s="756"/>
      <c r="O210" s="977"/>
      <c r="P210" s="977"/>
      <c r="Q210" s="977"/>
      <c r="R210" s="756"/>
      <c r="U210" s="383"/>
      <c r="V210" s="383"/>
    </row>
    <row r="211" spans="1:22" ht="20.100000000000001" customHeight="1">
      <c r="A211" s="665"/>
      <c r="B211" s="1681" t="s">
        <v>996</v>
      </c>
      <c r="C211" s="1681"/>
      <c r="D211" s="1681"/>
      <c r="E211" s="667">
        <v>0</v>
      </c>
      <c r="F211" s="1154"/>
      <c r="G211" s="667">
        <v>0</v>
      </c>
      <c r="H211" s="667">
        <v>0</v>
      </c>
      <c r="I211" s="667">
        <v>0</v>
      </c>
      <c r="J211" s="667">
        <v>0</v>
      </c>
      <c r="K211" s="757"/>
      <c r="L211" s="756"/>
      <c r="M211" s="756"/>
      <c r="N211" s="756"/>
      <c r="O211" s="977"/>
      <c r="P211" s="977"/>
      <c r="Q211" s="977"/>
      <c r="R211" s="756"/>
      <c r="U211" s="383"/>
      <c r="V211" s="383"/>
    </row>
    <row r="212" spans="1:22" ht="51" customHeight="1">
      <c r="A212" s="1179"/>
      <c r="B212" s="1682" t="s">
        <v>997</v>
      </c>
      <c r="C212" s="1682"/>
      <c r="D212" s="1682"/>
      <c r="E212" s="694">
        <v>5249.6</v>
      </c>
      <c r="F212" s="1182">
        <f t="shared" si="84"/>
        <v>0.2402468759524532</v>
      </c>
      <c r="G212" s="1183"/>
      <c r="H212" s="1184">
        <f>SUM(H33,H36,H43,)</f>
        <v>6510.7999999999993</v>
      </c>
      <c r="I212" s="1184">
        <f>SUM(I33,I36,I43,)</f>
        <v>6511</v>
      </c>
      <c r="J212" s="1184">
        <f>SUM(J33,J36,J43,)</f>
        <v>6512</v>
      </c>
      <c r="K212" s="1181"/>
      <c r="L212" s="756"/>
      <c r="M212" s="756"/>
      <c r="N212" s="756"/>
      <c r="O212" s="977"/>
      <c r="P212" s="977"/>
      <c r="Q212" s="977"/>
      <c r="R212" s="756"/>
      <c r="U212" s="383"/>
      <c r="V212" s="383"/>
    </row>
    <row r="213" spans="1:22" ht="27.75" customHeight="1">
      <c r="A213" s="665"/>
      <c r="B213" s="1683" t="s">
        <v>1389</v>
      </c>
      <c r="C213" s="1683"/>
      <c r="D213" s="1683"/>
      <c r="E213" s="887">
        <f>E203+E212</f>
        <v>12415.572</v>
      </c>
      <c r="F213" s="1182">
        <f t="shared" si="84"/>
        <v>0.15837240523432983</v>
      </c>
      <c r="G213" s="887">
        <f>G203+G212</f>
        <v>7548.44</v>
      </c>
      <c r="H213" s="887">
        <f>H203+H212</f>
        <v>14381.855999999998</v>
      </c>
      <c r="I213" s="887">
        <f t="shared" ref="I213:J213" si="85">I203+I212</f>
        <v>15032.177</v>
      </c>
      <c r="J213" s="887">
        <f t="shared" si="85"/>
        <v>14323.558000000001</v>
      </c>
      <c r="K213" s="755"/>
      <c r="L213" s="756"/>
      <c r="M213" s="756"/>
      <c r="N213" s="756"/>
      <c r="O213" s="977"/>
      <c r="P213" s="977"/>
      <c r="Q213" s="977"/>
      <c r="R213" s="756"/>
      <c r="U213" s="383"/>
      <c r="V213" s="383"/>
    </row>
    <row r="214" spans="1:22" ht="39.6" customHeight="1">
      <c r="A214" s="665"/>
      <c r="B214" s="1682" t="s">
        <v>2566</v>
      </c>
      <c r="C214" s="1682"/>
      <c r="D214" s="1682"/>
      <c r="E214" s="887">
        <v>0</v>
      </c>
      <c r="F214" s="1182"/>
      <c r="G214" s="887">
        <v>0</v>
      </c>
      <c r="H214" s="887">
        <f>SUM(H198,H195,H183,H127,)</f>
        <v>510</v>
      </c>
      <c r="I214" s="887">
        <f>SUM(I198,I195,I183,I127,)</f>
        <v>1922.4490000000001</v>
      </c>
      <c r="J214" s="887">
        <f t="shared" ref="J214" si="86">SUM(J198,J195,J183,J127,)</f>
        <v>1300</v>
      </c>
      <c r="K214" s="755"/>
      <c r="L214" s="756"/>
      <c r="M214" s="756"/>
      <c r="N214" s="756"/>
      <c r="O214" s="977"/>
      <c r="P214" s="977"/>
      <c r="Q214" s="977"/>
      <c r="R214" s="756"/>
      <c r="U214" s="383"/>
      <c r="V214" s="383"/>
    </row>
    <row r="215" spans="1:22" ht="39" customHeight="1">
      <c r="A215" s="665"/>
      <c r="B215" s="1683" t="s">
        <v>998</v>
      </c>
      <c r="C215" s="1683"/>
      <c r="D215" s="1683"/>
      <c r="E215" s="887">
        <v>0</v>
      </c>
      <c r="F215" s="1182"/>
      <c r="G215" s="887">
        <v>0</v>
      </c>
      <c r="H215" s="890">
        <f>H213/E213-1</f>
        <v>0.15837240523432983</v>
      </c>
      <c r="I215" s="890">
        <f>I213/H213-1</f>
        <v>4.5218155431399287E-2</v>
      </c>
      <c r="J215" s="890">
        <f>J213/I213-1</f>
        <v>-4.7140144770780656E-2</v>
      </c>
      <c r="K215" s="755"/>
      <c r="L215" s="756"/>
      <c r="M215" s="756"/>
      <c r="N215" s="756"/>
      <c r="O215" s="977"/>
      <c r="P215" s="977"/>
      <c r="Q215" s="977"/>
      <c r="R215" s="756"/>
      <c r="U215" s="383"/>
      <c r="V215" s="383"/>
    </row>
    <row r="216" spans="1:22">
      <c r="A216" s="659"/>
      <c r="B216" s="659"/>
      <c r="C216" s="659"/>
      <c r="D216" s="659"/>
      <c r="E216" s="659"/>
      <c r="F216" s="659"/>
      <c r="G216" s="659"/>
      <c r="H216" s="659"/>
      <c r="I216" s="659"/>
      <c r="J216" s="659"/>
      <c r="K216" s="659"/>
      <c r="L216" s="659"/>
      <c r="M216" s="659"/>
      <c r="N216" s="659"/>
      <c r="O216" s="681"/>
      <c r="P216" s="681"/>
      <c r="Q216" s="681"/>
      <c r="R216" s="390"/>
      <c r="U216" s="383"/>
      <c r="V216" s="383"/>
    </row>
    <row r="217" spans="1:22">
      <c r="E217" s="383"/>
      <c r="F217" s="383"/>
      <c r="U217" s="383"/>
      <c r="V217" s="383"/>
    </row>
    <row r="218" spans="1:22">
      <c r="A218" s="387"/>
      <c r="B218" s="440"/>
      <c r="C218" s="390"/>
      <c r="D218" s="390"/>
      <c r="E218" s="439"/>
      <c r="F218" s="439"/>
      <c r="G218" s="540"/>
      <c r="H218" s="439"/>
      <c r="I218" s="439"/>
      <c r="J218" s="439"/>
      <c r="K218" s="439"/>
      <c r="L218" s="439"/>
      <c r="U218" s="383"/>
      <c r="V218" s="383"/>
    </row>
    <row r="219" spans="1:22">
      <c r="A219" s="387"/>
      <c r="B219" s="387"/>
      <c r="C219" s="387"/>
      <c r="D219" s="387"/>
      <c r="E219" s="387"/>
      <c r="F219" s="387"/>
      <c r="G219" s="387"/>
      <c r="H219" s="387"/>
      <c r="I219" s="387"/>
      <c r="J219" s="387"/>
      <c r="K219" s="387"/>
      <c r="L219" s="387"/>
      <c r="U219" s="383"/>
      <c r="V219" s="383"/>
    </row>
    <row r="220" spans="1:22">
      <c r="A220" s="387"/>
      <c r="B220" s="387"/>
      <c r="C220" s="387"/>
      <c r="D220" s="387"/>
      <c r="E220" s="387"/>
      <c r="F220" s="387"/>
      <c r="G220" s="387"/>
      <c r="H220" s="387"/>
      <c r="I220" s="387"/>
      <c r="J220" s="387"/>
      <c r="K220" s="387"/>
      <c r="L220" s="387"/>
      <c r="U220" s="383"/>
      <c r="V220" s="383"/>
    </row>
    <row r="221" spans="1:22">
      <c r="A221" s="387"/>
      <c r="B221" s="387"/>
      <c r="C221" s="387"/>
      <c r="D221" s="387"/>
      <c r="E221" s="387"/>
      <c r="F221" s="387"/>
      <c r="G221" s="387"/>
      <c r="H221" s="387"/>
      <c r="I221" s="387"/>
      <c r="J221" s="387"/>
      <c r="K221" s="387"/>
      <c r="L221" s="387"/>
      <c r="U221" s="383"/>
      <c r="V221" s="383"/>
    </row>
    <row r="222" spans="1:22">
      <c r="A222" s="387"/>
      <c r="B222" s="387"/>
      <c r="C222" s="387"/>
      <c r="D222" s="387"/>
      <c r="E222" s="387"/>
      <c r="F222" s="387"/>
      <c r="G222" s="387"/>
      <c r="H222" s="387"/>
      <c r="I222" s="387"/>
      <c r="J222" s="387"/>
      <c r="K222" s="387"/>
      <c r="L222" s="387"/>
      <c r="U222" s="383"/>
      <c r="V222" s="383"/>
    </row>
    <row r="223" spans="1:22">
      <c r="A223" s="387"/>
      <c r="B223" s="387"/>
      <c r="C223" s="387"/>
      <c r="D223" s="387"/>
      <c r="E223" s="387"/>
      <c r="F223" s="387"/>
      <c r="G223" s="387"/>
      <c r="H223" s="387"/>
      <c r="I223" s="387"/>
      <c r="J223" s="387"/>
      <c r="K223" s="387"/>
      <c r="L223" s="387"/>
      <c r="U223" s="383"/>
      <c r="V223" s="383"/>
    </row>
    <row r="224" spans="1:22">
      <c r="A224" s="387"/>
      <c r="B224" s="387"/>
      <c r="C224" s="387"/>
      <c r="D224" s="387"/>
      <c r="E224" s="387"/>
      <c r="F224" s="387"/>
      <c r="G224" s="387"/>
      <c r="H224" s="387"/>
      <c r="I224" s="387"/>
      <c r="J224" s="387"/>
      <c r="K224" s="387"/>
      <c r="L224" s="387"/>
      <c r="U224" s="383"/>
      <c r="V224" s="383"/>
    </row>
    <row r="225" spans="1:22">
      <c r="A225" s="387"/>
      <c r="B225" s="387"/>
      <c r="C225" s="387"/>
      <c r="D225" s="387"/>
      <c r="E225" s="387"/>
      <c r="F225" s="387"/>
      <c r="G225" s="387"/>
      <c r="H225" s="387"/>
      <c r="I225" s="387"/>
      <c r="J225" s="387"/>
      <c r="K225" s="387"/>
      <c r="L225" s="387"/>
      <c r="U225" s="383"/>
      <c r="V225" s="383"/>
    </row>
    <row r="226" spans="1:22">
      <c r="A226" s="387"/>
      <c r="B226" s="387"/>
      <c r="C226" s="387"/>
      <c r="D226" s="387"/>
      <c r="E226" s="387"/>
      <c r="F226" s="387"/>
      <c r="G226" s="387"/>
      <c r="H226" s="387"/>
      <c r="I226" s="387"/>
      <c r="J226" s="387"/>
      <c r="K226" s="387"/>
      <c r="L226" s="387"/>
      <c r="U226" s="383"/>
      <c r="V226" s="383"/>
    </row>
    <row r="227" spans="1:22">
      <c r="A227" s="387"/>
      <c r="B227" s="387"/>
      <c r="C227" s="387"/>
      <c r="D227" s="387"/>
      <c r="E227" s="387"/>
      <c r="F227" s="387"/>
      <c r="G227" s="387"/>
      <c r="H227" s="387"/>
      <c r="I227" s="387"/>
      <c r="J227" s="387"/>
      <c r="K227" s="387"/>
      <c r="L227" s="387"/>
      <c r="U227" s="383"/>
      <c r="V227" s="383"/>
    </row>
    <row r="228" spans="1:22">
      <c r="A228" s="387"/>
      <c r="B228" s="387"/>
      <c r="C228" s="387"/>
      <c r="D228" s="387"/>
      <c r="E228" s="387"/>
      <c r="F228" s="387"/>
      <c r="G228" s="387"/>
      <c r="H228" s="387"/>
      <c r="I228" s="387"/>
      <c r="J228" s="387"/>
      <c r="K228" s="387"/>
      <c r="L228" s="387"/>
      <c r="U228" s="383"/>
      <c r="V228" s="383"/>
    </row>
    <row r="229" spans="1:22">
      <c r="A229" s="387"/>
      <c r="B229" s="387"/>
      <c r="C229" s="387"/>
      <c r="D229" s="387"/>
      <c r="E229" s="387"/>
      <c r="F229" s="387"/>
      <c r="G229" s="387"/>
      <c r="H229" s="387"/>
      <c r="I229" s="387"/>
      <c r="J229" s="387"/>
      <c r="K229" s="387"/>
      <c r="L229" s="387"/>
      <c r="U229" s="383"/>
      <c r="V229" s="383"/>
    </row>
    <row r="230" spans="1:22">
      <c r="A230" s="387"/>
      <c r="B230" s="387"/>
      <c r="C230" s="387"/>
      <c r="D230" s="387"/>
      <c r="E230" s="387"/>
      <c r="F230" s="387"/>
      <c r="G230" s="387"/>
      <c r="H230" s="387"/>
      <c r="I230" s="387"/>
      <c r="J230" s="387"/>
      <c r="K230" s="387"/>
      <c r="L230" s="387"/>
      <c r="U230" s="383"/>
      <c r="V230" s="383"/>
    </row>
    <row r="231" spans="1:22">
      <c r="A231" s="387"/>
      <c r="B231" s="387"/>
      <c r="C231" s="387"/>
      <c r="D231" s="387"/>
      <c r="E231" s="387"/>
      <c r="F231" s="387"/>
      <c r="G231" s="387"/>
      <c r="H231" s="387"/>
      <c r="I231" s="387"/>
      <c r="J231" s="387"/>
      <c r="K231" s="387"/>
      <c r="L231" s="387"/>
      <c r="U231" s="383"/>
      <c r="V231" s="383"/>
    </row>
    <row r="232" spans="1:22">
      <c r="A232" s="387"/>
      <c r="B232" s="387"/>
      <c r="C232" s="387"/>
      <c r="D232" s="387"/>
      <c r="E232" s="387"/>
      <c r="F232" s="387"/>
      <c r="G232" s="387"/>
      <c r="H232" s="387"/>
      <c r="I232" s="387"/>
      <c r="J232" s="387"/>
      <c r="K232" s="387"/>
      <c r="L232" s="387"/>
      <c r="U232" s="383"/>
      <c r="V232" s="383"/>
    </row>
    <row r="233" spans="1:22">
      <c r="A233" s="387"/>
      <c r="B233" s="387"/>
      <c r="C233" s="387"/>
      <c r="D233" s="387"/>
      <c r="E233" s="387"/>
      <c r="F233" s="387"/>
      <c r="G233" s="387"/>
      <c r="H233" s="387"/>
      <c r="I233" s="387"/>
      <c r="J233" s="387"/>
      <c r="K233" s="387"/>
      <c r="L233" s="387"/>
      <c r="U233" s="383"/>
      <c r="V233" s="383"/>
    </row>
    <row r="234" spans="1:22">
      <c r="A234" s="387"/>
      <c r="B234" s="387"/>
      <c r="C234" s="387"/>
      <c r="D234" s="387"/>
      <c r="E234" s="387"/>
      <c r="F234" s="387"/>
      <c r="G234" s="387"/>
      <c r="H234" s="387"/>
      <c r="I234" s="387"/>
      <c r="J234" s="387"/>
      <c r="K234" s="387"/>
      <c r="L234" s="387"/>
      <c r="U234" s="383"/>
      <c r="V234" s="383"/>
    </row>
    <row r="235" spans="1:22">
      <c r="A235" s="387"/>
      <c r="B235" s="387"/>
      <c r="C235" s="387"/>
      <c r="D235" s="387"/>
      <c r="E235" s="387"/>
      <c r="F235" s="387"/>
      <c r="G235" s="387"/>
      <c r="H235" s="387"/>
      <c r="I235" s="387"/>
      <c r="J235" s="387"/>
      <c r="K235" s="387"/>
      <c r="L235" s="387"/>
      <c r="U235" s="383"/>
      <c r="V235" s="383"/>
    </row>
    <row r="236" spans="1:22">
      <c r="A236" s="387"/>
      <c r="B236" s="387"/>
      <c r="C236" s="387"/>
      <c r="D236" s="387"/>
      <c r="E236" s="387"/>
      <c r="F236" s="387"/>
      <c r="G236" s="387"/>
      <c r="H236" s="387"/>
      <c r="I236" s="387"/>
      <c r="J236" s="387"/>
      <c r="K236" s="387"/>
      <c r="L236" s="387"/>
      <c r="U236" s="383"/>
      <c r="V236" s="383"/>
    </row>
    <row r="237" spans="1:22">
      <c r="A237" s="387"/>
      <c r="B237" s="387"/>
      <c r="C237" s="387"/>
      <c r="D237" s="387"/>
      <c r="E237" s="387"/>
      <c r="F237" s="387"/>
      <c r="G237" s="387"/>
      <c r="H237" s="387"/>
      <c r="I237" s="387"/>
      <c r="J237" s="387"/>
      <c r="K237" s="387"/>
      <c r="L237" s="387"/>
      <c r="U237" s="383"/>
      <c r="V237" s="383"/>
    </row>
    <row r="238" spans="1:22">
      <c r="A238" s="387"/>
      <c r="B238" s="387"/>
      <c r="C238" s="387"/>
      <c r="D238" s="387"/>
      <c r="E238" s="387"/>
      <c r="F238" s="387"/>
      <c r="G238" s="387"/>
      <c r="H238" s="387"/>
      <c r="I238" s="387"/>
      <c r="J238" s="387"/>
      <c r="K238" s="387"/>
      <c r="L238" s="387"/>
      <c r="U238" s="383"/>
      <c r="V238" s="383"/>
    </row>
    <row r="239" spans="1:22">
      <c r="A239" s="387"/>
      <c r="B239" s="387"/>
      <c r="C239" s="387"/>
      <c r="D239" s="387"/>
      <c r="E239" s="387"/>
      <c r="F239" s="387"/>
      <c r="G239" s="387"/>
      <c r="H239" s="387"/>
      <c r="I239" s="387"/>
      <c r="J239" s="387"/>
      <c r="K239" s="387"/>
      <c r="L239" s="387"/>
      <c r="U239" s="383"/>
      <c r="V239" s="383"/>
    </row>
    <row r="240" spans="1:22">
      <c r="A240" s="387"/>
      <c r="B240" s="387"/>
      <c r="C240" s="387"/>
      <c r="D240" s="387"/>
      <c r="E240" s="387"/>
      <c r="F240" s="387"/>
      <c r="G240" s="387"/>
      <c r="H240" s="387"/>
      <c r="I240" s="387"/>
      <c r="J240" s="387"/>
      <c r="K240" s="387"/>
      <c r="L240" s="387"/>
      <c r="U240" s="383"/>
      <c r="V240" s="383"/>
    </row>
    <row r="241" spans="1:22">
      <c r="A241" s="387"/>
      <c r="B241" s="387"/>
      <c r="C241" s="387"/>
      <c r="D241" s="387"/>
      <c r="E241" s="387"/>
      <c r="F241" s="387"/>
      <c r="G241" s="387"/>
      <c r="H241" s="387"/>
      <c r="I241" s="387"/>
      <c r="J241" s="387"/>
      <c r="K241" s="387"/>
      <c r="L241" s="387"/>
      <c r="U241" s="383"/>
      <c r="V241" s="383"/>
    </row>
    <row r="242" spans="1:22">
      <c r="A242" s="387"/>
      <c r="B242" s="387"/>
      <c r="C242" s="387"/>
      <c r="D242" s="387"/>
      <c r="E242" s="387"/>
      <c r="F242" s="387"/>
      <c r="G242" s="387"/>
      <c r="H242" s="387"/>
      <c r="I242" s="387"/>
      <c r="J242" s="387"/>
      <c r="K242" s="387"/>
      <c r="L242" s="387"/>
      <c r="U242" s="383"/>
      <c r="V242" s="383"/>
    </row>
    <row r="243" spans="1:22">
      <c r="A243" s="387"/>
      <c r="B243" s="387"/>
      <c r="C243" s="387"/>
      <c r="D243" s="387"/>
      <c r="E243" s="387"/>
      <c r="F243" s="387"/>
      <c r="G243" s="387"/>
      <c r="H243" s="387"/>
      <c r="I243" s="387"/>
      <c r="J243" s="387"/>
      <c r="K243" s="387"/>
      <c r="L243" s="387"/>
      <c r="U243" s="383"/>
      <c r="V243" s="383"/>
    </row>
    <row r="244" spans="1:22">
      <c r="A244" s="387"/>
      <c r="B244" s="387"/>
      <c r="C244" s="387"/>
      <c r="D244" s="387"/>
      <c r="E244" s="387"/>
      <c r="F244" s="387"/>
      <c r="G244" s="387"/>
      <c r="H244" s="387"/>
      <c r="I244" s="387"/>
      <c r="J244" s="387"/>
      <c r="K244" s="387"/>
      <c r="L244" s="387"/>
      <c r="U244" s="383"/>
      <c r="V244" s="383"/>
    </row>
    <row r="245" spans="1:22">
      <c r="A245" s="387"/>
      <c r="B245" s="387"/>
      <c r="C245" s="387"/>
      <c r="D245" s="387"/>
      <c r="E245" s="387"/>
      <c r="F245" s="387"/>
      <c r="G245" s="387"/>
      <c r="H245" s="387"/>
      <c r="I245" s="387"/>
      <c r="J245" s="387"/>
      <c r="K245" s="387"/>
      <c r="L245" s="387"/>
      <c r="U245" s="383"/>
      <c r="V245" s="383"/>
    </row>
    <row r="246" spans="1:22">
      <c r="A246" s="387"/>
      <c r="B246" s="387"/>
      <c r="C246" s="387"/>
      <c r="D246" s="387"/>
      <c r="E246" s="387"/>
      <c r="F246" s="387"/>
      <c r="G246" s="387"/>
      <c r="H246" s="387"/>
      <c r="I246" s="387"/>
      <c r="J246" s="387"/>
      <c r="K246" s="387"/>
      <c r="L246" s="387"/>
      <c r="U246" s="383"/>
      <c r="V246" s="383"/>
    </row>
    <row r="247" spans="1:22">
      <c r="A247" s="387"/>
      <c r="B247" s="387"/>
      <c r="C247" s="387"/>
      <c r="D247" s="387"/>
      <c r="E247" s="387"/>
      <c r="F247" s="387"/>
      <c r="G247" s="387"/>
      <c r="H247" s="387"/>
      <c r="I247" s="387"/>
      <c r="J247" s="387"/>
      <c r="K247" s="387"/>
      <c r="L247" s="387"/>
      <c r="U247" s="383"/>
      <c r="V247" s="383"/>
    </row>
    <row r="248" spans="1:22">
      <c r="A248" s="387"/>
      <c r="B248" s="387"/>
      <c r="C248" s="387"/>
      <c r="D248" s="387"/>
      <c r="E248" s="387"/>
      <c r="F248" s="387"/>
      <c r="G248" s="387"/>
      <c r="H248" s="387"/>
      <c r="I248" s="387"/>
      <c r="J248" s="387"/>
      <c r="K248" s="387"/>
      <c r="L248" s="387"/>
      <c r="U248" s="383"/>
      <c r="V248" s="383"/>
    </row>
    <row r="249" spans="1:22">
      <c r="A249" s="387"/>
      <c r="B249" s="387"/>
      <c r="C249" s="387"/>
      <c r="D249" s="387"/>
      <c r="E249" s="387"/>
      <c r="F249" s="387"/>
      <c r="G249" s="387"/>
      <c r="H249" s="387"/>
      <c r="I249" s="387"/>
      <c r="J249" s="387"/>
      <c r="K249" s="387"/>
      <c r="L249" s="387"/>
      <c r="U249" s="383"/>
      <c r="V249" s="383"/>
    </row>
    <row r="250" spans="1:22">
      <c r="A250" s="387"/>
      <c r="B250" s="387"/>
      <c r="C250" s="387"/>
      <c r="D250" s="387"/>
      <c r="E250" s="387"/>
      <c r="F250" s="387"/>
      <c r="G250" s="387"/>
      <c r="H250" s="387"/>
      <c r="I250" s="387"/>
      <c r="J250" s="387"/>
      <c r="K250" s="387"/>
      <c r="L250" s="387"/>
      <c r="U250" s="383"/>
      <c r="V250" s="383"/>
    </row>
    <row r="251" spans="1:22">
      <c r="A251" s="387"/>
      <c r="B251" s="387"/>
      <c r="C251" s="387"/>
      <c r="D251" s="387"/>
      <c r="E251" s="387"/>
      <c r="F251" s="387"/>
      <c r="G251" s="387"/>
      <c r="H251" s="387"/>
      <c r="I251" s="387"/>
      <c r="J251" s="387"/>
      <c r="K251" s="387"/>
      <c r="L251" s="387"/>
      <c r="U251" s="383"/>
      <c r="V251" s="383"/>
    </row>
    <row r="252" spans="1:22">
      <c r="A252" s="387"/>
      <c r="B252" s="387"/>
      <c r="C252" s="387"/>
      <c r="D252" s="387"/>
      <c r="E252" s="387"/>
      <c r="F252" s="387"/>
      <c r="G252" s="387"/>
      <c r="H252" s="387"/>
      <c r="I252" s="387"/>
      <c r="J252" s="387"/>
      <c r="K252" s="387"/>
      <c r="L252" s="387"/>
      <c r="U252" s="383"/>
      <c r="V252" s="383"/>
    </row>
    <row r="253" spans="1:22">
      <c r="A253" s="387"/>
      <c r="B253" s="387"/>
      <c r="C253" s="387"/>
      <c r="D253" s="387"/>
      <c r="E253" s="387"/>
      <c r="F253" s="387"/>
      <c r="G253" s="387"/>
      <c r="H253" s="387"/>
      <c r="I253" s="387"/>
      <c r="J253" s="387"/>
      <c r="K253" s="387"/>
      <c r="L253" s="387"/>
      <c r="U253" s="383"/>
      <c r="V253" s="383"/>
    </row>
    <row r="254" spans="1:22">
      <c r="A254" s="387"/>
      <c r="B254" s="387"/>
      <c r="C254" s="387"/>
      <c r="D254" s="387"/>
      <c r="E254" s="387"/>
      <c r="F254" s="387"/>
      <c r="G254" s="387"/>
      <c r="H254" s="387"/>
      <c r="I254" s="387"/>
      <c r="J254" s="387"/>
      <c r="K254" s="387"/>
      <c r="L254" s="387"/>
      <c r="U254" s="383"/>
      <c r="V254" s="383"/>
    </row>
    <row r="255" spans="1:22">
      <c r="A255" s="387"/>
      <c r="B255" s="387"/>
      <c r="C255" s="387"/>
      <c r="D255" s="387"/>
      <c r="E255" s="387"/>
      <c r="F255" s="387"/>
      <c r="G255" s="387"/>
      <c r="H255" s="387"/>
      <c r="I255" s="387"/>
      <c r="J255" s="387"/>
      <c r="K255" s="387"/>
      <c r="L255" s="387"/>
      <c r="U255" s="383"/>
      <c r="V255" s="383"/>
    </row>
    <row r="256" spans="1:22">
      <c r="A256" s="387"/>
      <c r="B256" s="387"/>
      <c r="C256" s="387"/>
      <c r="D256" s="387"/>
      <c r="E256" s="387"/>
      <c r="F256" s="387"/>
      <c r="G256" s="387"/>
      <c r="H256" s="387"/>
      <c r="I256" s="387"/>
      <c r="J256" s="387"/>
      <c r="K256" s="387"/>
      <c r="L256" s="387"/>
      <c r="U256" s="383"/>
      <c r="V256" s="383"/>
    </row>
    <row r="257" spans="1:22">
      <c r="A257" s="387"/>
      <c r="B257" s="387"/>
      <c r="C257" s="387"/>
      <c r="D257" s="387"/>
      <c r="E257" s="387"/>
      <c r="F257" s="387"/>
      <c r="G257" s="387"/>
      <c r="H257" s="387"/>
      <c r="I257" s="387"/>
      <c r="J257" s="387"/>
      <c r="K257" s="387"/>
      <c r="L257" s="387"/>
      <c r="U257" s="383"/>
      <c r="V257" s="383"/>
    </row>
    <row r="258" spans="1:22">
      <c r="A258" s="387"/>
      <c r="B258" s="387"/>
      <c r="C258" s="387"/>
      <c r="D258" s="387"/>
      <c r="E258" s="387"/>
      <c r="F258" s="387"/>
      <c r="G258" s="387"/>
      <c r="H258" s="387"/>
      <c r="I258" s="387"/>
      <c r="J258" s="387"/>
      <c r="K258" s="387"/>
      <c r="L258" s="387"/>
      <c r="U258" s="383"/>
      <c r="V258" s="383"/>
    </row>
    <row r="259" spans="1:22">
      <c r="A259" s="387"/>
      <c r="B259" s="387"/>
      <c r="C259" s="387"/>
      <c r="D259" s="387"/>
      <c r="E259" s="387"/>
      <c r="F259" s="387"/>
      <c r="G259" s="387"/>
      <c r="H259" s="387"/>
      <c r="I259" s="387"/>
      <c r="J259" s="387"/>
      <c r="K259" s="387"/>
      <c r="L259" s="387"/>
      <c r="U259" s="383"/>
      <c r="V259" s="383"/>
    </row>
    <row r="260" spans="1:22">
      <c r="A260" s="387"/>
      <c r="B260" s="387"/>
      <c r="C260" s="387"/>
      <c r="D260" s="387"/>
      <c r="E260" s="387"/>
      <c r="F260" s="387"/>
      <c r="G260" s="387"/>
      <c r="H260" s="387"/>
      <c r="I260" s="387"/>
      <c r="J260" s="387"/>
      <c r="K260" s="387"/>
      <c r="L260" s="387"/>
      <c r="U260" s="383"/>
      <c r="V260" s="383"/>
    </row>
    <row r="261" spans="1:22">
      <c r="A261" s="387"/>
      <c r="B261" s="387"/>
      <c r="C261" s="387"/>
      <c r="D261" s="387"/>
      <c r="E261" s="387"/>
      <c r="F261" s="387"/>
      <c r="G261" s="387"/>
      <c r="H261" s="387"/>
      <c r="I261" s="387"/>
      <c r="J261" s="387"/>
      <c r="K261" s="387"/>
      <c r="L261" s="387"/>
      <c r="U261" s="383"/>
      <c r="V261" s="383"/>
    </row>
    <row r="262" spans="1:22">
      <c r="A262" s="387"/>
      <c r="B262" s="387"/>
      <c r="C262" s="387"/>
      <c r="D262" s="387"/>
      <c r="E262" s="387"/>
      <c r="F262" s="387"/>
      <c r="G262" s="387"/>
      <c r="H262" s="387"/>
      <c r="I262" s="387"/>
      <c r="J262" s="387"/>
      <c r="K262" s="387"/>
      <c r="L262" s="387"/>
      <c r="U262" s="383"/>
      <c r="V262" s="383"/>
    </row>
    <row r="263" spans="1:22">
      <c r="A263" s="387"/>
      <c r="B263" s="387"/>
      <c r="C263" s="387"/>
      <c r="D263" s="387"/>
      <c r="E263" s="387"/>
      <c r="F263" s="387"/>
      <c r="G263" s="387"/>
      <c r="H263" s="387"/>
      <c r="I263" s="387"/>
      <c r="J263" s="387"/>
      <c r="K263" s="387"/>
      <c r="L263" s="387"/>
      <c r="U263" s="383"/>
      <c r="V263" s="383"/>
    </row>
    <row r="264" spans="1:22">
      <c r="A264" s="387"/>
      <c r="B264" s="387"/>
      <c r="C264" s="387"/>
      <c r="D264" s="387"/>
      <c r="E264" s="387"/>
      <c r="F264" s="387"/>
      <c r="G264" s="387"/>
      <c r="H264" s="387"/>
      <c r="I264" s="387"/>
      <c r="J264" s="387"/>
      <c r="K264" s="387"/>
      <c r="L264" s="387"/>
      <c r="U264" s="383"/>
      <c r="V264" s="383"/>
    </row>
    <row r="265" spans="1:22">
      <c r="A265" s="387"/>
      <c r="B265" s="387"/>
      <c r="C265" s="387"/>
      <c r="D265" s="387"/>
      <c r="E265" s="387"/>
      <c r="F265" s="387"/>
      <c r="G265" s="387"/>
      <c r="H265" s="387"/>
      <c r="I265" s="387"/>
      <c r="J265" s="387"/>
      <c r="K265" s="387"/>
      <c r="L265" s="387"/>
      <c r="U265" s="383"/>
      <c r="V265" s="383"/>
    </row>
    <row r="266" spans="1:22">
      <c r="A266" s="387"/>
      <c r="B266" s="387"/>
      <c r="C266" s="387"/>
      <c r="D266" s="387"/>
      <c r="E266" s="387"/>
      <c r="F266" s="387"/>
      <c r="G266" s="387"/>
      <c r="H266" s="387"/>
      <c r="I266" s="387"/>
      <c r="J266" s="387"/>
      <c r="K266" s="387"/>
      <c r="L266" s="387"/>
      <c r="U266" s="383"/>
      <c r="V266" s="383"/>
    </row>
    <row r="267" spans="1:22">
      <c r="E267" s="383"/>
      <c r="F267" s="383"/>
      <c r="U267" s="383"/>
      <c r="V267" s="383"/>
    </row>
    <row r="268" spans="1:22">
      <c r="E268" s="383"/>
      <c r="F268" s="383"/>
      <c r="U268" s="383"/>
      <c r="V268" s="383"/>
    </row>
    <row r="269" spans="1:22">
      <c r="E269" s="383"/>
      <c r="F269" s="383"/>
      <c r="U269" s="383"/>
      <c r="V269" s="383"/>
    </row>
    <row r="270" spans="1:22">
      <c r="E270" s="383"/>
      <c r="F270" s="383"/>
      <c r="U270" s="383"/>
      <c r="V270" s="383"/>
    </row>
    <row r="271" spans="1:22">
      <c r="E271" s="383"/>
      <c r="F271" s="383"/>
      <c r="U271" s="383"/>
      <c r="V271" s="383"/>
    </row>
    <row r="272" spans="1:22">
      <c r="E272" s="383"/>
      <c r="F272" s="383"/>
      <c r="U272" s="383"/>
      <c r="V272" s="383"/>
    </row>
    <row r="273" spans="15:17" s="383" customFormat="1">
      <c r="O273" s="1004"/>
      <c r="P273" s="1004"/>
      <c r="Q273" s="1004"/>
    </row>
    <row r="274" spans="15:17" s="383" customFormat="1">
      <c r="O274" s="1004"/>
      <c r="P274" s="1004"/>
      <c r="Q274" s="1004"/>
    </row>
    <row r="275" spans="15:17" s="383" customFormat="1">
      <c r="O275" s="1004"/>
      <c r="P275" s="1004"/>
      <c r="Q275" s="1004"/>
    </row>
    <row r="276" spans="15:17" s="383" customFormat="1">
      <c r="O276" s="1004"/>
      <c r="P276" s="1004"/>
      <c r="Q276" s="1004"/>
    </row>
    <row r="277" spans="15:17" s="383" customFormat="1">
      <c r="O277" s="1004"/>
      <c r="P277" s="1004"/>
      <c r="Q277" s="1004"/>
    </row>
    <row r="278" spans="15:17" s="383" customFormat="1">
      <c r="O278" s="1004"/>
      <c r="P278" s="1004"/>
      <c r="Q278" s="1004"/>
    </row>
    <row r="279" spans="15:17" s="383" customFormat="1">
      <c r="O279" s="1004"/>
      <c r="P279" s="1004"/>
      <c r="Q279" s="1004"/>
    </row>
    <row r="280" spans="15:17" s="383" customFormat="1">
      <c r="O280" s="1004"/>
      <c r="P280" s="1004"/>
      <c r="Q280" s="1004"/>
    </row>
    <row r="281" spans="15:17" s="383" customFormat="1">
      <c r="O281" s="1004"/>
      <c r="P281" s="1004"/>
      <c r="Q281" s="1004"/>
    </row>
    <row r="282" spans="15:17" s="383" customFormat="1">
      <c r="O282" s="1004"/>
      <c r="P282" s="1004"/>
      <c r="Q282" s="1004"/>
    </row>
    <row r="283" spans="15:17" s="383" customFormat="1">
      <c r="O283" s="1004"/>
      <c r="P283" s="1004"/>
      <c r="Q283" s="1004"/>
    </row>
    <row r="284" spans="15:17" s="383" customFormat="1">
      <c r="O284" s="1004"/>
      <c r="P284" s="1004"/>
      <c r="Q284" s="1004"/>
    </row>
    <row r="285" spans="15:17" s="383" customFormat="1">
      <c r="O285" s="1004"/>
      <c r="P285" s="1004"/>
      <c r="Q285" s="1004"/>
    </row>
    <row r="286" spans="15:17" s="383" customFormat="1">
      <c r="O286" s="1004"/>
      <c r="P286" s="1004"/>
      <c r="Q286" s="1004"/>
    </row>
    <row r="287" spans="15:17" s="383" customFormat="1">
      <c r="O287" s="1004"/>
      <c r="P287" s="1004"/>
      <c r="Q287" s="1004"/>
    </row>
    <row r="288" spans="15:17" s="383" customFormat="1">
      <c r="O288" s="1004"/>
      <c r="P288" s="1004"/>
      <c r="Q288" s="1004"/>
    </row>
    <row r="289" spans="15:17" s="383" customFormat="1">
      <c r="O289" s="1004"/>
      <c r="P289" s="1004"/>
      <c r="Q289" s="1004"/>
    </row>
    <row r="290" spans="15:17" s="383" customFormat="1">
      <c r="O290" s="1004"/>
      <c r="P290" s="1004"/>
      <c r="Q290" s="1004"/>
    </row>
    <row r="291" spans="15:17" s="383" customFormat="1">
      <c r="O291" s="1004"/>
      <c r="P291" s="1004"/>
      <c r="Q291" s="1004"/>
    </row>
    <row r="292" spans="15:17" s="383" customFormat="1">
      <c r="O292" s="1004"/>
      <c r="P292" s="1004"/>
      <c r="Q292" s="1004"/>
    </row>
    <row r="293" spans="15:17" s="383" customFormat="1">
      <c r="O293" s="1004"/>
      <c r="P293" s="1004"/>
      <c r="Q293" s="1004"/>
    </row>
    <row r="294" spans="15:17" s="383" customFormat="1">
      <c r="O294" s="1004"/>
      <c r="P294" s="1004"/>
      <c r="Q294" s="1004"/>
    </row>
    <row r="295" spans="15:17" s="383" customFormat="1">
      <c r="O295" s="1004"/>
      <c r="P295" s="1004"/>
      <c r="Q295" s="1004"/>
    </row>
    <row r="296" spans="15:17" s="383" customFormat="1">
      <c r="O296" s="1004"/>
      <c r="P296" s="1004"/>
      <c r="Q296" s="1004"/>
    </row>
    <row r="297" spans="15:17" s="383" customFormat="1">
      <c r="O297" s="1004"/>
      <c r="P297" s="1004"/>
      <c r="Q297" s="1004"/>
    </row>
    <row r="298" spans="15:17" s="383" customFormat="1">
      <c r="O298" s="1004"/>
      <c r="P298" s="1004"/>
      <c r="Q298" s="1004"/>
    </row>
    <row r="299" spans="15:17" s="383" customFormat="1">
      <c r="O299" s="1004"/>
      <c r="P299" s="1004"/>
      <c r="Q299" s="1004"/>
    </row>
    <row r="300" spans="15:17" s="383" customFormat="1">
      <c r="O300" s="1004"/>
      <c r="P300" s="1004"/>
      <c r="Q300" s="1004"/>
    </row>
    <row r="301" spans="15:17" s="383" customFormat="1">
      <c r="O301" s="1004"/>
      <c r="P301" s="1004"/>
      <c r="Q301" s="1004"/>
    </row>
    <row r="302" spans="15:17" s="383" customFormat="1">
      <c r="O302" s="1004"/>
      <c r="P302" s="1004"/>
      <c r="Q302" s="1004"/>
    </row>
    <row r="303" spans="15:17" s="383" customFormat="1">
      <c r="O303" s="1004"/>
      <c r="P303" s="1004"/>
      <c r="Q303" s="1004"/>
    </row>
    <row r="304" spans="15:17" s="383" customFormat="1">
      <c r="O304" s="1004"/>
      <c r="P304" s="1004"/>
      <c r="Q304" s="1004"/>
    </row>
    <row r="305" spans="15:17" s="383" customFormat="1">
      <c r="O305" s="1004"/>
      <c r="P305" s="1004"/>
      <c r="Q305" s="1004"/>
    </row>
    <row r="306" spans="15:17" s="383" customFormat="1">
      <c r="O306" s="1004"/>
      <c r="P306" s="1004"/>
      <c r="Q306" s="1004"/>
    </row>
    <row r="307" spans="15:17" s="383" customFormat="1">
      <c r="O307" s="1004"/>
      <c r="P307" s="1004"/>
      <c r="Q307" s="1004"/>
    </row>
    <row r="308" spans="15:17" s="383" customFormat="1">
      <c r="O308" s="1004"/>
      <c r="P308" s="1004"/>
      <c r="Q308" s="1004"/>
    </row>
    <row r="309" spans="15:17" s="383" customFormat="1">
      <c r="O309" s="1004"/>
      <c r="P309" s="1004"/>
      <c r="Q309" s="1004"/>
    </row>
    <row r="310" spans="15:17" s="383" customFormat="1">
      <c r="O310" s="1004"/>
      <c r="P310" s="1004"/>
      <c r="Q310" s="1004"/>
    </row>
    <row r="311" spans="15:17" s="383" customFormat="1">
      <c r="O311" s="1004"/>
      <c r="P311" s="1004"/>
      <c r="Q311" s="1004"/>
    </row>
    <row r="312" spans="15:17" s="383" customFormat="1">
      <c r="O312" s="1004"/>
      <c r="P312" s="1004"/>
      <c r="Q312" s="1004"/>
    </row>
    <row r="313" spans="15:17" s="383" customFormat="1">
      <c r="O313" s="1004"/>
      <c r="P313" s="1004"/>
      <c r="Q313" s="1004"/>
    </row>
    <row r="314" spans="15:17" s="383" customFormat="1">
      <c r="O314" s="1004"/>
      <c r="P314" s="1004"/>
      <c r="Q314" s="1004"/>
    </row>
    <row r="315" spans="15:17" s="383" customFormat="1">
      <c r="O315" s="1004"/>
      <c r="P315" s="1004"/>
      <c r="Q315" s="1004"/>
    </row>
    <row r="316" spans="15:17" s="383" customFormat="1">
      <c r="O316" s="1004"/>
      <c r="P316" s="1004"/>
      <c r="Q316" s="1004"/>
    </row>
    <row r="317" spans="15:17" s="383" customFormat="1">
      <c r="O317" s="1004"/>
      <c r="P317" s="1004"/>
      <c r="Q317" s="1004"/>
    </row>
    <row r="318" spans="15:17" s="383" customFormat="1">
      <c r="O318" s="1004"/>
      <c r="P318" s="1004"/>
      <c r="Q318" s="1004"/>
    </row>
    <row r="319" spans="15:17" s="383" customFormat="1">
      <c r="O319" s="1004"/>
      <c r="P319" s="1004"/>
      <c r="Q319" s="1004"/>
    </row>
    <row r="320" spans="15:17" s="383" customFormat="1">
      <c r="O320" s="1004"/>
      <c r="P320" s="1004"/>
      <c r="Q320" s="1004"/>
    </row>
    <row r="321" spans="15:17" s="383" customFormat="1">
      <c r="O321" s="1004"/>
      <c r="P321" s="1004"/>
      <c r="Q321" s="1004"/>
    </row>
    <row r="322" spans="15:17" s="383" customFormat="1">
      <c r="O322" s="1004"/>
      <c r="P322" s="1004"/>
      <c r="Q322" s="1004"/>
    </row>
    <row r="323" spans="15:17" s="383" customFormat="1">
      <c r="O323" s="1004"/>
      <c r="P323" s="1004"/>
      <c r="Q323" s="1004"/>
    </row>
    <row r="324" spans="15:17" s="383" customFormat="1">
      <c r="O324" s="1004"/>
      <c r="P324" s="1004"/>
      <c r="Q324" s="1004"/>
    </row>
    <row r="325" spans="15:17" s="383" customFormat="1">
      <c r="O325" s="1004"/>
      <c r="P325" s="1004"/>
      <c r="Q325" s="1004"/>
    </row>
    <row r="326" spans="15:17" s="383" customFormat="1">
      <c r="O326" s="1004"/>
      <c r="P326" s="1004"/>
      <c r="Q326" s="1004"/>
    </row>
    <row r="327" spans="15:17" s="383" customFormat="1">
      <c r="O327" s="1004"/>
      <c r="P327" s="1004"/>
      <c r="Q327" s="1004"/>
    </row>
    <row r="328" spans="15:17" s="383" customFormat="1">
      <c r="O328" s="1004"/>
      <c r="P328" s="1004"/>
      <c r="Q328" s="1004"/>
    </row>
    <row r="329" spans="15:17" s="383" customFormat="1">
      <c r="O329" s="1004"/>
      <c r="P329" s="1004"/>
      <c r="Q329" s="1004"/>
    </row>
    <row r="330" spans="15:17" s="383" customFormat="1">
      <c r="O330" s="1004"/>
      <c r="P330" s="1004"/>
      <c r="Q330" s="1004"/>
    </row>
    <row r="331" spans="15:17" s="383" customFormat="1">
      <c r="O331" s="1004"/>
      <c r="P331" s="1004"/>
      <c r="Q331" s="1004"/>
    </row>
    <row r="332" spans="15:17" s="383" customFormat="1">
      <c r="O332" s="1004"/>
      <c r="P332" s="1004"/>
      <c r="Q332" s="1004"/>
    </row>
    <row r="333" spans="15:17" s="383" customFormat="1">
      <c r="O333" s="1004"/>
      <c r="P333" s="1004"/>
      <c r="Q333" s="1004"/>
    </row>
    <row r="334" spans="15:17" s="383" customFormat="1">
      <c r="O334" s="1004"/>
      <c r="P334" s="1004"/>
      <c r="Q334" s="1004"/>
    </row>
    <row r="335" spans="15:17" s="383" customFormat="1">
      <c r="O335" s="1004"/>
      <c r="P335" s="1004"/>
      <c r="Q335" s="1004"/>
    </row>
    <row r="336" spans="15:17" s="383" customFormat="1">
      <c r="O336" s="1004"/>
      <c r="P336" s="1004"/>
      <c r="Q336" s="1004"/>
    </row>
    <row r="337" spans="15:17" s="383" customFormat="1">
      <c r="O337" s="1004"/>
      <c r="P337" s="1004"/>
      <c r="Q337" s="1004"/>
    </row>
    <row r="338" spans="15:17" s="383" customFormat="1">
      <c r="O338" s="1004"/>
      <c r="P338" s="1004"/>
      <c r="Q338" s="1004"/>
    </row>
    <row r="339" spans="15:17" s="383" customFormat="1">
      <c r="O339" s="1004"/>
      <c r="P339" s="1004"/>
      <c r="Q339" s="1004"/>
    </row>
    <row r="340" spans="15:17" s="383" customFormat="1">
      <c r="O340" s="1004"/>
      <c r="P340" s="1004"/>
      <c r="Q340" s="1004"/>
    </row>
    <row r="341" spans="15:17" s="383" customFormat="1">
      <c r="O341" s="1004"/>
      <c r="P341" s="1004"/>
      <c r="Q341" s="1004"/>
    </row>
    <row r="342" spans="15:17" s="383" customFormat="1">
      <c r="O342" s="1004"/>
      <c r="P342" s="1004"/>
      <c r="Q342" s="1004"/>
    </row>
    <row r="343" spans="15:17" s="383" customFormat="1">
      <c r="O343" s="1004"/>
      <c r="P343" s="1004"/>
      <c r="Q343" s="1004"/>
    </row>
    <row r="344" spans="15:17" s="383" customFormat="1">
      <c r="O344" s="1004"/>
      <c r="P344" s="1004"/>
      <c r="Q344" s="1004"/>
    </row>
    <row r="345" spans="15:17" s="383" customFormat="1">
      <c r="O345" s="1004"/>
      <c r="P345" s="1004"/>
      <c r="Q345" s="1004"/>
    </row>
    <row r="346" spans="15:17" s="383" customFormat="1">
      <c r="O346" s="1004"/>
      <c r="P346" s="1004"/>
      <c r="Q346" s="1004"/>
    </row>
    <row r="347" spans="15:17" s="383" customFormat="1">
      <c r="O347" s="1004"/>
      <c r="P347" s="1004"/>
      <c r="Q347" s="1004"/>
    </row>
    <row r="348" spans="15:17" s="383" customFormat="1">
      <c r="O348" s="1004"/>
      <c r="P348" s="1004"/>
      <c r="Q348" s="1004"/>
    </row>
    <row r="349" spans="15:17" s="383" customFormat="1">
      <c r="O349" s="1004"/>
      <c r="P349" s="1004"/>
      <c r="Q349" s="1004"/>
    </row>
    <row r="350" spans="15:17" s="383" customFormat="1">
      <c r="O350" s="1004"/>
      <c r="P350" s="1004"/>
      <c r="Q350" s="1004"/>
    </row>
    <row r="351" spans="15:17" s="383" customFormat="1">
      <c r="O351" s="1004"/>
      <c r="P351" s="1004"/>
      <c r="Q351" s="1004"/>
    </row>
    <row r="352" spans="15:17" s="383" customFormat="1">
      <c r="O352" s="1004"/>
      <c r="P352" s="1004"/>
      <c r="Q352" s="1004"/>
    </row>
    <row r="353" spans="15:17" s="383" customFormat="1">
      <c r="O353" s="1004"/>
      <c r="P353" s="1004"/>
      <c r="Q353" s="1004"/>
    </row>
    <row r="354" spans="15:17" s="383" customFormat="1">
      <c r="O354" s="1004"/>
      <c r="P354" s="1004"/>
      <c r="Q354" s="1004"/>
    </row>
    <row r="355" spans="15:17" s="383" customFormat="1">
      <c r="O355" s="1004"/>
      <c r="P355" s="1004"/>
      <c r="Q355" s="1004"/>
    </row>
    <row r="356" spans="15:17" s="383" customFormat="1">
      <c r="O356" s="1004"/>
      <c r="P356" s="1004"/>
      <c r="Q356" s="1004"/>
    </row>
    <row r="357" spans="15:17" s="383" customFormat="1">
      <c r="O357" s="1004"/>
      <c r="P357" s="1004"/>
      <c r="Q357" s="1004"/>
    </row>
    <row r="358" spans="15:17" s="383" customFormat="1">
      <c r="O358" s="1004"/>
      <c r="P358" s="1004"/>
      <c r="Q358" s="1004"/>
    </row>
    <row r="359" spans="15:17" s="383" customFormat="1">
      <c r="O359" s="1004"/>
      <c r="P359" s="1004"/>
      <c r="Q359" s="1004"/>
    </row>
    <row r="360" spans="15:17" s="383" customFormat="1">
      <c r="O360" s="1004"/>
      <c r="P360" s="1004"/>
      <c r="Q360" s="1004"/>
    </row>
    <row r="361" spans="15:17" s="383" customFormat="1">
      <c r="O361" s="1004"/>
      <c r="P361" s="1004"/>
      <c r="Q361" s="1004"/>
    </row>
    <row r="362" spans="15:17" s="383" customFormat="1">
      <c r="O362" s="1004"/>
      <c r="P362" s="1004"/>
      <c r="Q362" s="1004"/>
    </row>
    <row r="363" spans="15:17" s="383" customFormat="1">
      <c r="O363" s="1004"/>
      <c r="P363" s="1004"/>
      <c r="Q363" s="1004"/>
    </row>
    <row r="364" spans="15:17" s="383" customFormat="1">
      <c r="O364" s="1004"/>
      <c r="P364" s="1004"/>
      <c r="Q364" s="1004"/>
    </row>
    <row r="365" spans="15:17" s="383" customFormat="1">
      <c r="O365" s="1004"/>
      <c r="P365" s="1004"/>
      <c r="Q365" s="1004"/>
    </row>
    <row r="366" spans="15:17" s="383" customFormat="1">
      <c r="O366" s="1004"/>
      <c r="P366" s="1004"/>
      <c r="Q366" s="1004"/>
    </row>
    <row r="367" spans="15:17" s="383" customFormat="1">
      <c r="O367" s="1004"/>
      <c r="P367" s="1004"/>
      <c r="Q367" s="1004"/>
    </row>
    <row r="368" spans="15:17" s="383" customFormat="1">
      <c r="O368" s="1004"/>
      <c r="P368" s="1004"/>
      <c r="Q368" s="1004"/>
    </row>
    <row r="369" spans="15:17" s="383" customFormat="1">
      <c r="O369" s="1004"/>
      <c r="P369" s="1004"/>
      <c r="Q369" s="1004"/>
    </row>
    <row r="370" spans="15:17" s="383" customFormat="1">
      <c r="O370" s="1004"/>
      <c r="P370" s="1004"/>
      <c r="Q370" s="1004"/>
    </row>
    <row r="371" spans="15:17" s="383" customFormat="1">
      <c r="O371" s="1004"/>
      <c r="P371" s="1004"/>
      <c r="Q371" s="1004"/>
    </row>
    <row r="372" spans="15:17" s="383" customFormat="1">
      <c r="O372" s="1004"/>
      <c r="P372" s="1004"/>
      <c r="Q372" s="1004"/>
    </row>
    <row r="373" spans="15:17" s="383" customFormat="1">
      <c r="O373" s="1004"/>
      <c r="P373" s="1004"/>
      <c r="Q373" s="1004"/>
    </row>
    <row r="374" spans="15:17" s="383" customFormat="1">
      <c r="O374" s="1004"/>
      <c r="P374" s="1004"/>
      <c r="Q374" s="1004"/>
    </row>
    <row r="375" spans="15:17" s="383" customFormat="1">
      <c r="O375" s="1004"/>
      <c r="P375" s="1004"/>
      <c r="Q375" s="1004"/>
    </row>
    <row r="376" spans="15:17" s="383" customFormat="1">
      <c r="O376" s="1004"/>
      <c r="P376" s="1004"/>
      <c r="Q376" s="1004"/>
    </row>
    <row r="377" spans="15:17" s="383" customFormat="1">
      <c r="O377" s="1004"/>
      <c r="P377" s="1004"/>
      <c r="Q377" s="1004"/>
    </row>
    <row r="378" spans="15:17" s="383" customFormat="1">
      <c r="O378" s="1004"/>
      <c r="P378" s="1004"/>
      <c r="Q378" s="1004"/>
    </row>
    <row r="379" spans="15:17" s="383" customFormat="1">
      <c r="O379" s="1004"/>
      <c r="P379" s="1004"/>
      <c r="Q379" s="1004"/>
    </row>
    <row r="380" spans="15:17" s="383" customFormat="1">
      <c r="O380" s="1004"/>
      <c r="P380" s="1004"/>
      <c r="Q380" s="1004"/>
    </row>
    <row r="381" spans="15:17" s="383" customFormat="1">
      <c r="O381" s="1004"/>
      <c r="P381" s="1004"/>
      <c r="Q381" s="1004"/>
    </row>
    <row r="382" spans="15:17" s="383" customFormat="1">
      <c r="O382" s="1004"/>
      <c r="P382" s="1004"/>
      <c r="Q382" s="1004"/>
    </row>
    <row r="383" spans="15:17" s="383" customFormat="1">
      <c r="O383" s="1004"/>
      <c r="P383" s="1004"/>
      <c r="Q383" s="1004"/>
    </row>
    <row r="384" spans="15:17" s="383" customFormat="1">
      <c r="O384" s="1004"/>
      <c r="P384" s="1004"/>
      <c r="Q384" s="1004"/>
    </row>
    <row r="385" spans="15:17" s="383" customFormat="1">
      <c r="O385" s="1004"/>
      <c r="P385" s="1004"/>
      <c r="Q385" s="1004"/>
    </row>
    <row r="386" spans="15:17" s="383" customFormat="1">
      <c r="O386" s="1004"/>
      <c r="P386" s="1004"/>
      <c r="Q386" s="1004"/>
    </row>
    <row r="387" spans="15:17" s="383" customFormat="1">
      <c r="O387" s="1004"/>
      <c r="P387" s="1004"/>
      <c r="Q387" s="1004"/>
    </row>
    <row r="388" spans="15:17" s="383" customFormat="1">
      <c r="O388" s="1004"/>
      <c r="P388" s="1004"/>
      <c r="Q388" s="1004"/>
    </row>
    <row r="389" spans="15:17" s="383" customFormat="1">
      <c r="O389" s="1004"/>
      <c r="P389" s="1004"/>
      <c r="Q389" s="1004"/>
    </row>
    <row r="390" spans="15:17" s="383" customFormat="1">
      <c r="O390" s="1004"/>
      <c r="P390" s="1004"/>
      <c r="Q390" s="1004"/>
    </row>
    <row r="391" spans="15:17" s="383" customFormat="1">
      <c r="O391" s="1004"/>
      <c r="P391" s="1004"/>
      <c r="Q391" s="1004"/>
    </row>
    <row r="392" spans="15:17" s="383" customFormat="1">
      <c r="O392" s="1004"/>
      <c r="P392" s="1004"/>
      <c r="Q392" s="1004"/>
    </row>
    <row r="393" spans="15:17" s="383" customFormat="1">
      <c r="O393" s="1004"/>
      <c r="P393" s="1004"/>
      <c r="Q393" s="1004"/>
    </row>
    <row r="394" spans="15:17" s="383" customFormat="1">
      <c r="O394" s="1004"/>
      <c r="P394" s="1004"/>
      <c r="Q394" s="1004"/>
    </row>
    <row r="395" spans="15:17" s="383" customFormat="1">
      <c r="O395" s="1004"/>
      <c r="P395" s="1004"/>
      <c r="Q395" s="1004"/>
    </row>
    <row r="396" spans="15:17" s="383" customFormat="1">
      <c r="O396" s="1004"/>
      <c r="P396" s="1004"/>
      <c r="Q396" s="1004"/>
    </row>
    <row r="397" spans="15:17" s="383" customFormat="1">
      <c r="O397" s="1004"/>
      <c r="P397" s="1004"/>
      <c r="Q397" s="1004"/>
    </row>
    <row r="398" spans="15:17" s="383" customFormat="1">
      <c r="O398" s="1004"/>
      <c r="P398" s="1004"/>
      <c r="Q398" s="1004"/>
    </row>
    <row r="399" spans="15:17" s="383" customFormat="1">
      <c r="O399" s="1004"/>
      <c r="P399" s="1004"/>
      <c r="Q399" s="1004"/>
    </row>
    <row r="400" spans="15:17" s="383" customFormat="1">
      <c r="O400" s="1004"/>
      <c r="P400" s="1004"/>
      <c r="Q400" s="1004"/>
    </row>
    <row r="401" spans="15:17" s="383" customFormat="1">
      <c r="O401" s="1004"/>
      <c r="P401" s="1004"/>
      <c r="Q401" s="1004"/>
    </row>
    <row r="402" spans="15:17" s="383" customFormat="1">
      <c r="O402" s="1004"/>
      <c r="P402" s="1004"/>
      <c r="Q402" s="1004"/>
    </row>
    <row r="403" spans="15:17" s="383" customFormat="1">
      <c r="O403" s="1004"/>
      <c r="P403" s="1004"/>
      <c r="Q403" s="1004"/>
    </row>
    <row r="404" spans="15:17" s="383" customFormat="1">
      <c r="O404" s="1004"/>
      <c r="P404" s="1004"/>
      <c r="Q404" s="1004"/>
    </row>
    <row r="405" spans="15:17" s="383" customFormat="1">
      <c r="O405" s="1004"/>
      <c r="P405" s="1004"/>
      <c r="Q405" s="1004"/>
    </row>
    <row r="406" spans="15:17" s="383" customFormat="1">
      <c r="O406" s="1004"/>
      <c r="P406" s="1004"/>
      <c r="Q406" s="1004"/>
    </row>
    <row r="407" spans="15:17" s="383" customFormat="1">
      <c r="O407" s="1004"/>
      <c r="P407" s="1004"/>
      <c r="Q407" s="1004"/>
    </row>
    <row r="408" spans="15:17" s="383" customFormat="1">
      <c r="O408" s="1004"/>
      <c r="P408" s="1004"/>
      <c r="Q408" s="1004"/>
    </row>
    <row r="409" spans="15:17" s="383" customFormat="1">
      <c r="O409" s="1004"/>
      <c r="P409" s="1004"/>
      <c r="Q409" s="1004"/>
    </row>
    <row r="410" spans="15:17" s="383" customFormat="1">
      <c r="O410" s="1004"/>
      <c r="P410" s="1004"/>
      <c r="Q410" s="1004"/>
    </row>
    <row r="411" spans="15:17" s="383" customFormat="1">
      <c r="O411" s="1004"/>
      <c r="P411" s="1004"/>
      <c r="Q411" s="1004"/>
    </row>
    <row r="412" spans="15:17" s="383" customFormat="1">
      <c r="O412" s="1004"/>
      <c r="P412" s="1004"/>
      <c r="Q412" s="1004"/>
    </row>
    <row r="413" spans="15:17" s="383" customFormat="1">
      <c r="O413" s="1004"/>
      <c r="P413" s="1004"/>
      <c r="Q413" s="1004"/>
    </row>
    <row r="414" spans="15:17" s="383" customFormat="1">
      <c r="O414" s="1004"/>
      <c r="P414" s="1004"/>
      <c r="Q414" s="1004"/>
    </row>
    <row r="415" spans="15:17" s="383" customFormat="1">
      <c r="O415" s="1004"/>
      <c r="P415" s="1004"/>
      <c r="Q415" s="1004"/>
    </row>
    <row r="416" spans="15:17" s="383" customFormat="1">
      <c r="O416" s="1004"/>
      <c r="P416" s="1004"/>
      <c r="Q416" s="1004"/>
    </row>
    <row r="417" spans="15:17" s="383" customFormat="1">
      <c r="O417" s="1004"/>
      <c r="P417" s="1004"/>
      <c r="Q417" s="1004"/>
    </row>
    <row r="418" spans="15:17" s="383" customFormat="1">
      <c r="O418" s="1004"/>
      <c r="P418" s="1004"/>
      <c r="Q418" s="1004"/>
    </row>
    <row r="419" spans="15:17" s="383" customFormat="1">
      <c r="O419" s="1004"/>
      <c r="P419" s="1004"/>
      <c r="Q419" s="1004"/>
    </row>
    <row r="420" spans="15:17" s="383" customFormat="1">
      <c r="O420" s="1004"/>
      <c r="P420" s="1004"/>
      <c r="Q420" s="1004"/>
    </row>
    <row r="421" spans="15:17" s="383" customFormat="1">
      <c r="O421" s="1004"/>
      <c r="P421" s="1004"/>
      <c r="Q421" s="1004"/>
    </row>
    <row r="422" spans="15:17" s="383" customFormat="1">
      <c r="O422" s="1004"/>
      <c r="P422" s="1004"/>
      <c r="Q422" s="1004"/>
    </row>
    <row r="423" spans="15:17" s="383" customFormat="1">
      <c r="O423" s="1004"/>
      <c r="P423" s="1004"/>
      <c r="Q423" s="1004"/>
    </row>
    <row r="424" spans="15:17" s="383" customFormat="1">
      <c r="O424" s="1004"/>
      <c r="P424" s="1004"/>
      <c r="Q424" s="1004"/>
    </row>
    <row r="425" spans="15:17" s="383" customFormat="1">
      <c r="O425" s="1004"/>
      <c r="P425" s="1004"/>
      <c r="Q425" s="1004"/>
    </row>
    <row r="426" spans="15:17" s="383" customFormat="1">
      <c r="O426" s="1004"/>
      <c r="P426" s="1004"/>
      <c r="Q426" s="1004"/>
    </row>
    <row r="427" spans="15:17" s="383" customFormat="1">
      <c r="O427" s="1004"/>
      <c r="P427" s="1004"/>
      <c r="Q427" s="1004"/>
    </row>
    <row r="428" spans="15:17" s="383" customFormat="1">
      <c r="O428" s="1004"/>
      <c r="P428" s="1004"/>
      <c r="Q428" s="1004"/>
    </row>
    <row r="429" spans="15:17" s="383" customFormat="1">
      <c r="O429" s="1004"/>
      <c r="P429" s="1004"/>
      <c r="Q429" s="1004"/>
    </row>
    <row r="430" spans="15:17" s="383" customFormat="1">
      <c r="O430" s="1004"/>
      <c r="P430" s="1004"/>
      <c r="Q430" s="1004"/>
    </row>
    <row r="431" spans="15:17" s="383" customFormat="1">
      <c r="O431" s="1004"/>
      <c r="P431" s="1004"/>
      <c r="Q431" s="1004"/>
    </row>
    <row r="432" spans="15:17" s="383" customFormat="1">
      <c r="O432" s="1004"/>
      <c r="P432" s="1004"/>
      <c r="Q432" s="1004"/>
    </row>
    <row r="433" spans="15:17" s="383" customFormat="1">
      <c r="O433" s="1004"/>
      <c r="P433" s="1004"/>
      <c r="Q433" s="1004"/>
    </row>
    <row r="434" spans="15:17" s="383" customFormat="1">
      <c r="O434" s="1004"/>
      <c r="P434" s="1004"/>
      <c r="Q434" s="1004"/>
    </row>
    <row r="435" spans="15:17" s="383" customFormat="1">
      <c r="O435" s="1004"/>
      <c r="P435" s="1004"/>
      <c r="Q435" s="1004"/>
    </row>
    <row r="436" spans="15:17" s="383" customFormat="1">
      <c r="O436" s="1004"/>
      <c r="P436" s="1004"/>
      <c r="Q436" s="1004"/>
    </row>
    <row r="437" spans="15:17" s="383" customFormat="1">
      <c r="O437" s="1004"/>
      <c r="P437" s="1004"/>
      <c r="Q437" s="1004"/>
    </row>
    <row r="438" spans="15:17" s="383" customFormat="1">
      <c r="O438" s="1004"/>
      <c r="P438" s="1004"/>
      <c r="Q438" s="1004"/>
    </row>
    <row r="439" spans="15:17" s="383" customFormat="1">
      <c r="O439" s="1004"/>
      <c r="P439" s="1004"/>
      <c r="Q439" s="1004"/>
    </row>
    <row r="440" spans="15:17" s="383" customFormat="1">
      <c r="O440" s="1004"/>
      <c r="P440" s="1004"/>
      <c r="Q440" s="1004"/>
    </row>
    <row r="441" spans="15:17" s="383" customFormat="1">
      <c r="O441" s="1004"/>
      <c r="P441" s="1004"/>
      <c r="Q441" s="1004"/>
    </row>
    <row r="442" spans="15:17" s="383" customFormat="1">
      <c r="O442" s="1004"/>
      <c r="P442" s="1004"/>
      <c r="Q442" s="1004"/>
    </row>
    <row r="443" spans="15:17" s="383" customFormat="1">
      <c r="O443" s="1004"/>
      <c r="P443" s="1004"/>
      <c r="Q443" s="1004"/>
    </row>
    <row r="444" spans="15:17" s="383" customFormat="1">
      <c r="O444" s="1004"/>
      <c r="P444" s="1004"/>
      <c r="Q444" s="1004"/>
    </row>
    <row r="445" spans="15:17" s="383" customFormat="1">
      <c r="O445" s="1004"/>
      <c r="P445" s="1004"/>
      <c r="Q445" s="1004"/>
    </row>
    <row r="446" spans="15:17" s="383" customFormat="1">
      <c r="O446" s="1004"/>
      <c r="P446" s="1004"/>
      <c r="Q446" s="1004"/>
    </row>
    <row r="447" spans="15:17" s="383" customFormat="1">
      <c r="O447" s="1004"/>
      <c r="P447" s="1004"/>
      <c r="Q447" s="1004"/>
    </row>
    <row r="448" spans="15:17" s="383" customFormat="1">
      <c r="O448" s="1004"/>
      <c r="P448" s="1004"/>
      <c r="Q448" s="1004"/>
    </row>
    <row r="449" spans="15:17" s="383" customFormat="1">
      <c r="O449" s="1004"/>
      <c r="P449" s="1004"/>
      <c r="Q449" s="1004"/>
    </row>
    <row r="450" spans="15:17" s="383" customFormat="1">
      <c r="O450" s="1004"/>
      <c r="P450" s="1004"/>
      <c r="Q450" s="1004"/>
    </row>
    <row r="451" spans="15:17" s="383" customFormat="1">
      <c r="O451" s="1004"/>
      <c r="P451" s="1004"/>
      <c r="Q451" s="1004"/>
    </row>
    <row r="452" spans="15:17" s="383" customFormat="1">
      <c r="O452" s="1004"/>
      <c r="P452" s="1004"/>
      <c r="Q452" s="1004"/>
    </row>
    <row r="453" spans="15:17" s="383" customFormat="1">
      <c r="O453" s="1004"/>
      <c r="P453" s="1004"/>
      <c r="Q453" s="1004"/>
    </row>
    <row r="454" spans="15:17" s="383" customFormat="1">
      <c r="O454" s="1004"/>
      <c r="P454" s="1004"/>
      <c r="Q454" s="1004"/>
    </row>
    <row r="455" spans="15:17" s="383" customFormat="1">
      <c r="O455" s="1004"/>
      <c r="P455" s="1004"/>
      <c r="Q455" s="1004"/>
    </row>
    <row r="456" spans="15:17" s="383" customFormat="1">
      <c r="O456" s="1004"/>
      <c r="P456" s="1004"/>
      <c r="Q456" s="1004"/>
    </row>
    <row r="457" spans="15:17" s="383" customFormat="1">
      <c r="O457" s="1004"/>
      <c r="P457" s="1004"/>
      <c r="Q457" s="1004"/>
    </row>
    <row r="458" spans="15:17" s="383" customFormat="1">
      <c r="O458" s="1004"/>
      <c r="P458" s="1004"/>
      <c r="Q458" s="1004"/>
    </row>
    <row r="459" spans="15:17" s="383" customFormat="1">
      <c r="O459" s="1004"/>
      <c r="P459" s="1004"/>
      <c r="Q459" s="1004"/>
    </row>
    <row r="460" spans="15:17" s="383" customFormat="1">
      <c r="O460" s="1004"/>
      <c r="P460" s="1004"/>
      <c r="Q460" s="1004"/>
    </row>
    <row r="461" spans="15:17" s="383" customFormat="1">
      <c r="O461" s="1004"/>
      <c r="P461" s="1004"/>
      <c r="Q461" s="1004"/>
    </row>
    <row r="462" spans="15:17" s="383" customFormat="1">
      <c r="O462" s="1004"/>
      <c r="P462" s="1004"/>
      <c r="Q462" s="1004"/>
    </row>
    <row r="463" spans="15:17" s="383" customFormat="1">
      <c r="O463" s="1004"/>
      <c r="P463" s="1004"/>
      <c r="Q463" s="1004"/>
    </row>
    <row r="464" spans="15:17" s="383" customFormat="1">
      <c r="O464" s="1004"/>
      <c r="P464" s="1004"/>
      <c r="Q464" s="1004"/>
    </row>
    <row r="465" spans="15:17" s="383" customFormat="1">
      <c r="O465" s="1004"/>
      <c r="P465" s="1004"/>
      <c r="Q465" s="1004"/>
    </row>
    <row r="466" spans="15:17" s="383" customFormat="1">
      <c r="O466" s="1004"/>
      <c r="P466" s="1004"/>
      <c r="Q466" s="1004"/>
    </row>
    <row r="467" spans="15:17" s="383" customFormat="1">
      <c r="O467" s="1004"/>
      <c r="P467" s="1004"/>
      <c r="Q467" s="1004"/>
    </row>
    <row r="468" spans="15:17" s="383" customFormat="1">
      <c r="O468" s="1004"/>
      <c r="P468" s="1004"/>
      <c r="Q468" s="1004"/>
    </row>
    <row r="469" spans="15:17" s="383" customFormat="1">
      <c r="O469" s="1004"/>
      <c r="P469" s="1004"/>
      <c r="Q469" s="1004"/>
    </row>
    <row r="470" spans="15:17" s="383" customFormat="1">
      <c r="O470" s="1004"/>
      <c r="P470" s="1004"/>
      <c r="Q470" s="1004"/>
    </row>
    <row r="471" spans="15:17" s="383" customFormat="1">
      <c r="O471" s="1004"/>
      <c r="P471" s="1004"/>
      <c r="Q471" s="1004"/>
    </row>
    <row r="472" spans="15:17" s="383" customFormat="1">
      <c r="O472" s="1004"/>
      <c r="P472" s="1004"/>
      <c r="Q472" s="1004"/>
    </row>
    <row r="473" spans="15:17" s="383" customFormat="1">
      <c r="O473" s="1004"/>
      <c r="P473" s="1004"/>
      <c r="Q473" s="1004"/>
    </row>
    <row r="474" spans="15:17" s="383" customFormat="1">
      <c r="O474" s="1004"/>
      <c r="P474" s="1004"/>
      <c r="Q474" s="1004"/>
    </row>
    <row r="475" spans="15:17" s="383" customFormat="1">
      <c r="O475" s="1004"/>
      <c r="P475" s="1004"/>
      <c r="Q475" s="1004"/>
    </row>
    <row r="476" spans="15:17" s="383" customFormat="1">
      <c r="O476" s="1004"/>
      <c r="P476" s="1004"/>
      <c r="Q476" s="1004"/>
    </row>
    <row r="477" spans="15:17" s="383" customFormat="1">
      <c r="O477" s="1004"/>
      <c r="P477" s="1004"/>
      <c r="Q477" s="1004"/>
    </row>
    <row r="478" spans="15:17" s="383" customFormat="1">
      <c r="O478" s="1004"/>
      <c r="P478" s="1004"/>
      <c r="Q478" s="1004"/>
    </row>
    <row r="479" spans="15:17" s="383" customFormat="1">
      <c r="O479" s="1004"/>
      <c r="P479" s="1004"/>
      <c r="Q479" s="1004"/>
    </row>
    <row r="480" spans="15:17" s="383" customFormat="1">
      <c r="O480" s="1004"/>
      <c r="P480" s="1004"/>
      <c r="Q480" s="1004"/>
    </row>
    <row r="481" spans="15:17" s="383" customFormat="1">
      <c r="O481" s="1004"/>
      <c r="P481" s="1004"/>
      <c r="Q481" s="1004"/>
    </row>
    <row r="482" spans="15:17" s="383" customFormat="1">
      <c r="O482" s="1004"/>
      <c r="P482" s="1004"/>
      <c r="Q482" s="1004"/>
    </row>
    <row r="483" spans="15:17" s="383" customFormat="1">
      <c r="O483" s="1004"/>
      <c r="P483" s="1004"/>
      <c r="Q483" s="1004"/>
    </row>
    <row r="484" spans="15:17" s="383" customFormat="1">
      <c r="O484" s="1004"/>
      <c r="P484" s="1004"/>
      <c r="Q484" s="1004"/>
    </row>
    <row r="485" spans="15:17" s="383" customFormat="1">
      <c r="O485" s="1004"/>
      <c r="P485" s="1004"/>
      <c r="Q485" s="1004"/>
    </row>
    <row r="486" spans="15:17" s="383" customFormat="1">
      <c r="O486" s="1004"/>
      <c r="P486" s="1004"/>
      <c r="Q486" s="1004"/>
    </row>
    <row r="487" spans="15:17" s="383" customFormat="1">
      <c r="O487" s="1004"/>
      <c r="P487" s="1004"/>
      <c r="Q487" s="1004"/>
    </row>
    <row r="488" spans="15:17" s="383" customFormat="1">
      <c r="O488" s="1004"/>
      <c r="P488" s="1004"/>
      <c r="Q488" s="1004"/>
    </row>
    <row r="489" spans="15:17" s="383" customFormat="1">
      <c r="O489" s="1004"/>
      <c r="P489" s="1004"/>
      <c r="Q489" s="1004"/>
    </row>
    <row r="490" spans="15:17" s="383" customFormat="1">
      <c r="O490" s="1004"/>
      <c r="P490" s="1004"/>
      <c r="Q490" s="1004"/>
    </row>
    <row r="491" spans="15:17" s="383" customFormat="1">
      <c r="O491" s="1004"/>
      <c r="P491" s="1004"/>
      <c r="Q491" s="1004"/>
    </row>
    <row r="492" spans="15:17" s="383" customFormat="1">
      <c r="O492" s="1004"/>
      <c r="P492" s="1004"/>
      <c r="Q492" s="1004"/>
    </row>
    <row r="493" spans="15:17" s="383" customFormat="1">
      <c r="O493" s="1004"/>
      <c r="P493" s="1004"/>
      <c r="Q493" s="1004"/>
    </row>
    <row r="494" spans="15:17" s="383" customFormat="1">
      <c r="O494" s="1004"/>
      <c r="P494" s="1004"/>
      <c r="Q494" s="1004"/>
    </row>
    <row r="495" spans="15:17" s="383" customFormat="1">
      <c r="O495" s="1004"/>
      <c r="P495" s="1004"/>
      <c r="Q495" s="1004"/>
    </row>
    <row r="496" spans="15:17" s="383" customFormat="1">
      <c r="O496" s="1004"/>
      <c r="P496" s="1004"/>
      <c r="Q496" s="1004"/>
    </row>
    <row r="497" spans="15:17" s="383" customFormat="1">
      <c r="O497" s="1004"/>
      <c r="P497" s="1004"/>
      <c r="Q497" s="1004"/>
    </row>
    <row r="498" spans="15:17" s="383" customFormat="1">
      <c r="O498" s="1004"/>
      <c r="P498" s="1004"/>
      <c r="Q498" s="1004"/>
    </row>
    <row r="499" spans="15:17" s="383" customFormat="1">
      <c r="O499" s="1004"/>
      <c r="P499" s="1004"/>
      <c r="Q499" s="1004"/>
    </row>
    <row r="500" spans="15:17" s="383" customFormat="1">
      <c r="O500" s="1004"/>
      <c r="P500" s="1004"/>
      <c r="Q500" s="1004"/>
    </row>
    <row r="501" spans="15:17" s="383" customFormat="1">
      <c r="O501" s="1004"/>
      <c r="P501" s="1004"/>
      <c r="Q501" s="1004"/>
    </row>
    <row r="502" spans="15:17" s="383" customFormat="1">
      <c r="O502" s="1004"/>
      <c r="P502" s="1004"/>
      <c r="Q502" s="1004"/>
    </row>
    <row r="503" spans="15:17" s="383" customFormat="1">
      <c r="O503" s="1004"/>
      <c r="P503" s="1004"/>
      <c r="Q503" s="1004"/>
    </row>
    <row r="504" spans="15:17" s="383" customFormat="1">
      <c r="O504" s="1004"/>
      <c r="P504" s="1004"/>
      <c r="Q504" s="1004"/>
    </row>
    <row r="505" spans="15:17" s="383" customFormat="1">
      <c r="O505" s="1004"/>
      <c r="P505" s="1004"/>
      <c r="Q505" s="1004"/>
    </row>
    <row r="506" spans="15:17" s="383" customFormat="1">
      <c r="O506" s="1004"/>
      <c r="P506" s="1004"/>
      <c r="Q506" s="1004"/>
    </row>
    <row r="507" spans="15:17" s="383" customFormat="1">
      <c r="O507" s="1004"/>
      <c r="P507" s="1004"/>
      <c r="Q507" s="1004"/>
    </row>
    <row r="508" spans="15:17" s="383" customFormat="1">
      <c r="O508" s="1004"/>
      <c r="P508" s="1004"/>
      <c r="Q508" s="1004"/>
    </row>
    <row r="509" spans="15:17" s="383" customFormat="1">
      <c r="O509" s="1004"/>
      <c r="P509" s="1004"/>
      <c r="Q509" s="1004"/>
    </row>
    <row r="510" spans="15:17" s="383" customFormat="1">
      <c r="O510" s="1004"/>
      <c r="P510" s="1004"/>
      <c r="Q510" s="1004"/>
    </row>
    <row r="511" spans="15:17" s="383" customFormat="1">
      <c r="O511" s="1004"/>
      <c r="P511" s="1004"/>
      <c r="Q511" s="1004"/>
    </row>
    <row r="512" spans="15:17" s="383" customFormat="1">
      <c r="O512" s="1004"/>
      <c r="P512" s="1004"/>
      <c r="Q512" s="1004"/>
    </row>
    <row r="513" spans="15:17" s="383" customFormat="1">
      <c r="O513" s="1004"/>
      <c r="P513" s="1004"/>
      <c r="Q513" s="1004"/>
    </row>
    <row r="514" spans="15:17" s="383" customFormat="1">
      <c r="O514" s="1004"/>
      <c r="P514" s="1004"/>
      <c r="Q514" s="1004"/>
    </row>
    <row r="515" spans="15:17" s="383" customFormat="1">
      <c r="O515" s="1004"/>
      <c r="P515" s="1004"/>
      <c r="Q515" s="1004"/>
    </row>
    <row r="516" spans="15:17" s="383" customFormat="1">
      <c r="O516" s="1004"/>
      <c r="P516" s="1004"/>
      <c r="Q516" s="1004"/>
    </row>
    <row r="517" spans="15:17" s="383" customFormat="1">
      <c r="O517" s="1004"/>
      <c r="P517" s="1004"/>
      <c r="Q517" s="1004"/>
    </row>
    <row r="518" spans="15:17" s="383" customFormat="1">
      <c r="O518" s="1004"/>
      <c r="P518" s="1004"/>
      <c r="Q518" s="1004"/>
    </row>
    <row r="519" spans="15:17" s="383" customFormat="1">
      <c r="O519" s="1004"/>
      <c r="P519" s="1004"/>
      <c r="Q519" s="1004"/>
    </row>
    <row r="520" spans="15:17" s="383" customFormat="1">
      <c r="O520" s="1004"/>
      <c r="P520" s="1004"/>
      <c r="Q520" s="1004"/>
    </row>
    <row r="521" spans="15:17" s="383" customFormat="1">
      <c r="O521" s="1004"/>
      <c r="P521" s="1004"/>
      <c r="Q521" s="1004"/>
    </row>
    <row r="522" spans="15:17" s="383" customFormat="1">
      <c r="O522" s="1004"/>
      <c r="P522" s="1004"/>
      <c r="Q522" s="1004"/>
    </row>
    <row r="523" spans="15:17" s="383" customFormat="1">
      <c r="O523" s="1004"/>
      <c r="P523" s="1004"/>
      <c r="Q523" s="1004"/>
    </row>
    <row r="524" spans="15:17" s="383" customFormat="1">
      <c r="O524" s="1004"/>
      <c r="P524" s="1004"/>
      <c r="Q524" s="1004"/>
    </row>
    <row r="525" spans="15:17" s="383" customFormat="1">
      <c r="O525" s="1004"/>
      <c r="P525" s="1004"/>
      <c r="Q525" s="1004"/>
    </row>
    <row r="526" spans="15:17" s="383" customFormat="1">
      <c r="O526" s="1004"/>
      <c r="P526" s="1004"/>
      <c r="Q526" s="1004"/>
    </row>
    <row r="527" spans="15:17" s="383" customFormat="1">
      <c r="O527" s="1004"/>
      <c r="P527" s="1004"/>
      <c r="Q527" s="1004"/>
    </row>
    <row r="528" spans="15:17" s="383" customFormat="1">
      <c r="O528" s="1004"/>
      <c r="P528" s="1004"/>
      <c r="Q528" s="1004"/>
    </row>
    <row r="529" spans="15:17" s="383" customFormat="1">
      <c r="O529" s="1004"/>
      <c r="P529" s="1004"/>
      <c r="Q529" s="1004"/>
    </row>
    <row r="530" spans="15:17" s="383" customFormat="1">
      <c r="O530" s="1004"/>
      <c r="P530" s="1004"/>
      <c r="Q530" s="1004"/>
    </row>
    <row r="531" spans="15:17" s="383" customFormat="1">
      <c r="O531" s="1004"/>
      <c r="P531" s="1004"/>
      <c r="Q531" s="1004"/>
    </row>
    <row r="532" spans="15:17" s="383" customFormat="1">
      <c r="O532" s="1004"/>
      <c r="P532" s="1004"/>
      <c r="Q532" s="1004"/>
    </row>
    <row r="533" spans="15:17" s="383" customFormat="1">
      <c r="O533" s="1004"/>
      <c r="P533" s="1004"/>
      <c r="Q533" s="1004"/>
    </row>
    <row r="534" spans="15:17" s="383" customFormat="1">
      <c r="O534" s="1004"/>
      <c r="P534" s="1004"/>
      <c r="Q534" s="1004"/>
    </row>
    <row r="535" spans="15:17" s="383" customFormat="1">
      <c r="O535" s="1004"/>
      <c r="P535" s="1004"/>
      <c r="Q535" s="1004"/>
    </row>
    <row r="536" spans="15:17" s="383" customFormat="1">
      <c r="O536" s="1004"/>
      <c r="P536" s="1004"/>
      <c r="Q536" s="1004"/>
    </row>
    <row r="537" spans="15:17" s="383" customFormat="1">
      <c r="O537" s="1004"/>
      <c r="P537" s="1004"/>
      <c r="Q537" s="1004"/>
    </row>
    <row r="538" spans="15:17" s="383" customFormat="1">
      <c r="O538" s="1004"/>
      <c r="P538" s="1004"/>
      <c r="Q538" s="1004"/>
    </row>
    <row r="539" spans="15:17" s="383" customFormat="1">
      <c r="O539" s="1004"/>
      <c r="P539" s="1004"/>
      <c r="Q539" s="1004"/>
    </row>
    <row r="540" spans="15:17" s="383" customFormat="1">
      <c r="O540" s="1004"/>
      <c r="P540" s="1004"/>
      <c r="Q540" s="1004"/>
    </row>
    <row r="541" spans="15:17" s="383" customFormat="1">
      <c r="O541" s="1004"/>
      <c r="P541" s="1004"/>
      <c r="Q541" s="1004"/>
    </row>
    <row r="542" spans="15:17" s="383" customFormat="1">
      <c r="O542" s="1004"/>
      <c r="P542" s="1004"/>
      <c r="Q542" s="1004"/>
    </row>
    <row r="543" spans="15:17" s="383" customFormat="1">
      <c r="O543" s="1004"/>
      <c r="P543" s="1004"/>
      <c r="Q543" s="1004"/>
    </row>
    <row r="544" spans="15:17" s="383" customFormat="1">
      <c r="O544" s="1004"/>
      <c r="P544" s="1004"/>
      <c r="Q544" s="1004"/>
    </row>
    <row r="545" spans="15:17" s="383" customFormat="1">
      <c r="O545" s="1004"/>
      <c r="P545" s="1004"/>
      <c r="Q545" s="1004"/>
    </row>
    <row r="546" spans="15:17" s="383" customFormat="1">
      <c r="O546" s="1004"/>
      <c r="P546" s="1004"/>
      <c r="Q546" s="1004"/>
    </row>
    <row r="547" spans="15:17" s="383" customFormat="1">
      <c r="O547" s="1004"/>
      <c r="P547" s="1004"/>
      <c r="Q547" s="1004"/>
    </row>
    <row r="548" spans="15:17" s="383" customFormat="1">
      <c r="O548" s="1004"/>
      <c r="P548" s="1004"/>
      <c r="Q548" s="1004"/>
    </row>
    <row r="549" spans="15:17" s="383" customFormat="1">
      <c r="O549" s="1004"/>
      <c r="P549" s="1004"/>
      <c r="Q549" s="1004"/>
    </row>
    <row r="550" spans="15:17" s="383" customFormat="1">
      <c r="O550" s="1004"/>
      <c r="P550" s="1004"/>
      <c r="Q550" s="1004"/>
    </row>
    <row r="551" spans="15:17" s="383" customFormat="1">
      <c r="O551" s="1004"/>
      <c r="P551" s="1004"/>
      <c r="Q551" s="1004"/>
    </row>
    <row r="552" spans="15:17" s="383" customFormat="1">
      <c r="O552" s="1004"/>
      <c r="P552" s="1004"/>
      <c r="Q552" s="1004"/>
    </row>
    <row r="553" spans="15:17" s="383" customFormat="1">
      <c r="O553" s="1004"/>
      <c r="P553" s="1004"/>
      <c r="Q553" s="1004"/>
    </row>
    <row r="554" spans="15:17" s="383" customFormat="1">
      <c r="O554" s="1004"/>
      <c r="P554" s="1004"/>
      <c r="Q554" s="1004"/>
    </row>
    <row r="555" spans="15:17" s="383" customFormat="1">
      <c r="O555" s="1004"/>
      <c r="P555" s="1004"/>
      <c r="Q555" s="1004"/>
    </row>
    <row r="556" spans="15:17" s="383" customFormat="1">
      <c r="O556" s="1004"/>
      <c r="P556" s="1004"/>
      <c r="Q556" s="1004"/>
    </row>
    <row r="557" spans="15:17" s="383" customFormat="1">
      <c r="O557" s="1004"/>
      <c r="P557" s="1004"/>
      <c r="Q557" s="1004"/>
    </row>
    <row r="558" spans="15:17" s="383" customFormat="1">
      <c r="O558" s="1004"/>
      <c r="P558" s="1004"/>
      <c r="Q558" s="1004"/>
    </row>
    <row r="559" spans="15:17" s="383" customFormat="1">
      <c r="O559" s="1004"/>
      <c r="P559" s="1004"/>
      <c r="Q559" s="1004"/>
    </row>
    <row r="560" spans="15:17" s="383" customFormat="1">
      <c r="O560" s="1004"/>
      <c r="P560" s="1004"/>
      <c r="Q560" s="1004"/>
    </row>
    <row r="561" spans="15:17" s="383" customFormat="1">
      <c r="O561" s="1004"/>
      <c r="P561" s="1004"/>
      <c r="Q561" s="1004"/>
    </row>
    <row r="562" spans="15:17" s="383" customFormat="1">
      <c r="O562" s="1004"/>
      <c r="P562" s="1004"/>
      <c r="Q562" s="1004"/>
    </row>
    <row r="563" spans="15:17" s="383" customFormat="1">
      <c r="O563" s="1004"/>
      <c r="P563" s="1004"/>
      <c r="Q563" s="1004"/>
    </row>
    <row r="564" spans="15:17" s="383" customFormat="1">
      <c r="O564" s="1004"/>
      <c r="P564" s="1004"/>
      <c r="Q564" s="1004"/>
    </row>
    <row r="565" spans="15:17" s="383" customFormat="1">
      <c r="O565" s="1004"/>
      <c r="P565" s="1004"/>
      <c r="Q565" s="1004"/>
    </row>
    <row r="566" spans="15:17" s="383" customFormat="1">
      <c r="O566" s="1004"/>
      <c r="P566" s="1004"/>
      <c r="Q566" s="1004"/>
    </row>
    <row r="567" spans="15:17" s="383" customFormat="1">
      <c r="O567" s="1004"/>
      <c r="P567" s="1004"/>
      <c r="Q567" s="1004"/>
    </row>
    <row r="568" spans="15:17" s="383" customFormat="1">
      <c r="O568" s="1004"/>
      <c r="P568" s="1004"/>
      <c r="Q568" s="1004"/>
    </row>
    <row r="569" spans="15:17" s="383" customFormat="1">
      <c r="O569" s="1004"/>
      <c r="P569" s="1004"/>
      <c r="Q569" s="1004"/>
    </row>
    <row r="570" spans="15:17" s="383" customFormat="1">
      <c r="O570" s="1004"/>
      <c r="P570" s="1004"/>
      <c r="Q570" s="1004"/>
    </row>
    <row r="571" spans="15:17" s="383" customFormat="1">
      <c r="O571" s="1004"/>
      <c r="P571" s="1004"/>
      <c r="Q571" s="1004"/>
    </row>
    <row r="572" spans="15:17" s="383" customFormat="1">
      <c r="O572" s="1004"/>
      <c r="P572" s="1004"/>
      <c r="Q572" s="1004"/>
    </row>
    <row r="573" spans="15:17" s="383" customFormat="1">
      <c r="O573" s="1004"/>
      <c r="P573" s="1004"/>
      <c r="Q573" s="1004"/>
    </row>
    <row r="574" spans="15:17" s="383" customFormat="1">
      <c r="O574" s="1004"/>
      <c r="P574" s="1004"/>
      <c r="Q574" s="1004"/>
    </row>
    <row r="575" spans="15:17" s="383" customFormat="1">
      <c r="O575" s="1004"/>
      <c r="P575" s="1004"/>
      <c r="Q575" s="1004"/>
    </row>
    <row r="576" spans="15:17" s="383" customFormat="1">
      <c r="O576" s="1004"/>
      <c r="P576" s="1004"/>
      <c r="Q576" s="1004"/>
    </row>
    <row r="577" spans="15:17" s="383" customFormat="1">
      <c r="O577" s="1004"/>
      <c r="P577" s="1004"/>
      <c r="Q577" s="1004"/>
    </row>
    <row r="578" spans="15:17" s="383" customFormat="1">
      <c r="O578" s="1004"/>
      <c r="P578" s="1004"/>
      <c r="Q578" s="1004"/>
    </row>
    <row r="579" spans="15:17" s="383" customFormat="1">
      <c r="O579" s="1004"/>
      <c r="P579" s="1004"/>
      <c r="Q579" s="1004"/>
    </row>
    <row r="580" spans="15:17" s="383" customFormat="1">
      <c r="O580" s="1004"/>
      <c r="P580" s="1004"/>
      <c r="Q580" s="1004"/>
    </row>
    <row r="581" spans="15:17" s="383" customFormat="1">
      <c r="O581" s="1004"/>
      <c r="P581" s="1004"/>
      <c r="Q581" s="1004"/>
    </row>
    <row r="582" spans="15:17" s="383" customFormat="1">
      <c r="O582" s="1004"/>
      <c r="P582" s="1004"/>
      <c r="Q582" s="1004"/>
    </row>
    <row r="583" spans="15:17" s="383" customFormat="1">
      <c r="O583" s="1004"/>
      <c r="P583" s="1004"/>
      <c r="Q583" s="1004"/>
    </row>
    <row r="584" spans="15:17" s="383" customFormat="1">
      <c r="O584" s="1004"/>
      <c r="P584" s="1004"/>
      <c r="Q584" s="1004"/>
    </row>
    <row r="585" spans="15:17" s="383" customFormat="1">
      <c r="O585" s="1004"/>
      <c r="P585" s="1004"/>
      <c r="Q585" s="1004"/>
    </row>
    <row r="586" spans="15:17" s="383" customFormat="1">
      <c r="O586" s="1004"/>
      <c r="P586" s="1004"/>
      <c r="Q586" s="1004"/>
    </row>
    <row r="587" spans="15:17" s="383" customFormat="1">
      <c r="O587" s="1004"/>
      <c r="P587" s="1004"/>
      <c r="Q587" s="1004"/>
    </row>
    <row r="588" spans="15:17" s="383" customFormat="1">
      <c r="O588" s="1004"/>
      <c r="P588" s="1004"/>
      <c r="Q588" s="1004"/>
    </row>
    <row r="589" spans="15:17" s="383" customFormat="1">
      <c r="O589" s="1004"/>
      <c r="P589" s="1004"/>
      <c r="Q589" s="1004"/>
    </row>
    <row r="590" spans="15:17" s="383" customFormat="1">
      <c r="O590" s="1004"/>
      <c r="P590" s="1004"/>
      <c r="Q590" s="1004"/>
    </row>
    <row r="591" spans="15:17" s="383" customFormat="1">
      <c r="O591" s="1004"/>
      <c r="P591" s="1004"/>
      <c r="Q591" s="1004"/>
    </row>
    <row r="592" spans="15:17" s="383" customFormat="1">
      <c r="O592" s="1004"/>
      <c r="P592" s="1004"/>
      <c r="Q592" s="1004"/>
    </row>
    <row r="593" spans="15:17" s="383" customFormat="1">
      <c r="O593" s="1004"/>
      <c r="P593" s="1004"/>
      <c r="Q593" s="1004"/>
    </row>
    <row r="594" spans="15:17" s="383" customFormat="1">
      <c r="O594" s="1004"/>
      <c r="P594" s="1004"/>
      <c r="Q594" s="1004"/>
    </row>
    <row r="595" spans="15:17" s="383" customFormat="1">
      <c r="O595" s="1004"/>
      <c r="P595" s="1004"/>
      <c r="Q595" s="1004"/>
    </row>
    <row r="596" spans="15:17" s="383" customFormat="1">
      <c r="O596" s="1004"/>
      <c r="P596" s="1004"/>
      <c r="Q596" s="1004"/>
    </row>
    <row r="597" spans="15:17" s="383" customFormat="1">
      <c r="O597" s="1004"/>
      <c r="P597" s="1004"/>
      <c r="Q597" s="1004"/>
    </row>
    <row r="598" spans="15:17" s="383" customFormat="1">
      <c r="O598" s="1004"/>
      <c r="P598" s="1004"/>
      <c r="Q598" s="1004"/>
    </row>
    <row r="599" spans="15:17" s="383" customFormat="1">
      <c r="O599" s="1004"/>
      <c r="P599" s="1004"/>
      <c r="Q599" s="1004"/>
    </row>
    <row r="600" spans="15:17" s="383" customFormat="1">
      <c r="O600" s="1004"/>
      <c r="P600" s="1004"/>
      <c r="Q600" s="1004"/>
    </row>
    <row r="601" spans="15:17" s="383" customFormat="1">
      <c r="O601" s="1004"/>
      <c r="P601" s="1004"/>
      <c r="Q601" s="1004"/>
    </row>
    <row r="602" spans="15:17" s="383" customFormat="1">
      <c r="O602" s="1004"/>
      <c r="P602" s="1004"/>
      <c r="Q602" s="1004"/>
    </row>
    <row r="603" spans="15:17" s="383" customFormat="1">
      <c r="O603" s="1004"/>
      <c r="P603" s="1004"/>
      <c r="Q603" s="1004"/>
    </row>
    <row r="604" spans="15:17" s="383" customFormat="1">
      <c r="O604" s="1004"/>
      <c r="P604" s="1004"/>
      <c r="Q604" s="1004"/>
    </row>
    <row r="605" spans="15:17" s="383" customFormat="1">
      <c r="O605" s="1004"/>
      <c r="P605" s="1004"/>
      <c r="Q605" s="1004"/>
    </row>
    <row r="606" spans="15:17" s="383" customFormat="1">
      <c r="O606" s="1004"/>
      <c r="P606" s="1004"/>
      <c r="Q606" s="1004"/>
    </row>
    <row r="607" spans="15:17" s="383" customFormat="1">
      <c r="O607" s="1004"/>
      <c r="P607" s="1004"/>
      <c r="Q607" s="1004"/>
    </row>
    <row r="608" spans="15:17" s="383" customFormat="1">
      <c r="O608" s="1004"/>
      <c r="P608" s="1004"/>
      <c r="Q608" s="1004"/>
    </row>
    <row r="609" spans="15:17" s="383" customFormat="1">
      <c r="O609" s="1004"/>
      <c r="P609" s="1004"/>
      <c r="Q609" s="1004"/>
    </row>
    <row r="610" spans="15:17" s="383" customFormat="1">
      <c r="O610" s="1004"/>
      <c r="P610" s="1004"/>
      <c r="Q610" s="1004"/>
    </row>
    <row r="611" spans="15:17" s="383" customFormat="1">
      <c r="O611" s="1004"/>
      <c r="P611" s="1004"/>
      <c r="Q611" s="1004"/>
    </row>
    <row r="612" spans="15:17" s="383" customFormat="1">
      <c r="O612" s="1004"/>
      <c r="P612" s="1004"/>
      <c r="Q612" s="1004"/>
    </row>
    <row r="613" spans="15:17" s="383" customFormat="1">
      <c r="O613" s="1004"/>
      <c r="P613" s="1004"/>
      <c r="Q613" s="1004"/>
    </row>
    <row r="614" spans="15:17" s="383" customFormat="1">
      <c r="O614" s="1004"/>
      <c r="P614" s="1004"/>
      <c r="Q614" s="1004"/>
    </row>
    <row r="615" spans="15:17" s="383" customFormat="1">
      <c r="O615" s="1004"/>
      <c r="P615" s="1004"/>
      <c r="Q615" s="1004"/>
    </row>
    <row r="616" spans="15:17" s="383" customFormat="1">
      <c r="O616" s="1004"/>
      <c r="P616" s="1004"/>
      <c r="Q616" s="1004"/>
    </row>
    <row r="617" spans="15:17" s="383" customFormat="1">
      <c r="O617" s="1004"/>
      <c r="P617" s="1004"/>
      <c r="Q617" s="1004"/>
    </row>
    <row r="618" spans="15:17" s="383" customFormat="1">
      <c r="O618" s="1004"/>
      <c r="P618" s="1004"/>
      <c r="Q618" s="1004"/>
    </row>
    <row r="619" spans="15:17" s="383" customFormat="1">
      <c r="O619" s="1004"/>
      <c r="P619" s="1004"/>
      <c r="Q619" s="1004"/>
    </row>
    <row r="620" spans="15:17" s="383" customFormat="1">
      <c r="O620" s="1004"/>
      <c r="P620" s="1004"/>
      <c r="Q620" s="1004"/>
    </row>
    <row r="621" spans="15:17" s="383" customFormat="1">
      <c r="O621" s="1004"/>
      <c r="P621" s="1004"/>
      <c r="Q621" s="1004"/>
    </row>
    <row r="622" spans="15:17" s="383" customFormat="1">
      <c r="O622" s="1004"/>
      <c r="P622" s="1004"/>
      <c r="Q622" s="1004"/>
    </row>
    <row r="623" spans="15:17" s="383" customFormat="1">
      <c r="O623" s="1004"/>
      <c r="P623" s="1004"/>
      <c r="Q623" s="1004"/>
    </row>
    <row r="624" spans="15:17" s="383" customFormat="1">
      <c r="O624" s="1004"/>
      <c r="P624" s="1004"/>
      <c r="Q624" s="1004"/>
    </row>
    <row r="625" spans="15:17" s="383" customFormat="1">
      <c r="O625" s="1004"/>
      <c r="P625" s="1004"/>
      <c r="Q625" s="1004"/>
    </row>
    <row r="626" spans="15:17" s="383" customFormat="1">
      <c r="O626" s="1004"/>
      <c r="P626" s="1004"/>
      <c r="Q626" s="1004"/>
    </row>
    <row r="627" spans="15:17" s="383" customFormat="1">
      <c r="O627" s="1004"/>
      <c r="P627" s="1004"/>
      <c r="Q627" s="1004"/>
    </row>
    <row r="628" spans="15:17" s="383" customFormat="1">
      <c r="O628" s="1004"/>
      <c r="P628" s="1004"/>
      <c r="Q628" s="1004"/>
    </row>
    <row r="629" spans="15:17" s="383" customFormat="1">
      <c r="O629" s="1004"/>
      <c r="P629" s="1004"/>
      <c r="Q629" s="1004"/>
    </row>
    <row r="630" spans="15:17" s="383" customFormat="1">
      <c r="O630" s="1004"/>
      <c r="P630" s="1004"/>
      <c r="Q630" s="1004"/>
    </row>
    <row r="631" spans="15:17" s="383" customFormat="1">
      <c r="O631" s="1004"/>
      <c r="P631" s="1004"/>
      <c r="Q631" s="1004"/>
    </row>
    <row r="632" spans="15:17" s="383" customFormat="1">
      <c r="O632" s="1004"/>
      <c r="P632" s="1004"/>
      <c r="Q632" s="1004"/>
    </row>
    <row r="633" spans="15:17" s="383" customFormat="1">
      <c r="O633" s="1004"/>
      <c r="P633" s="1004"/>
      <c r="Q633" s="1004"/>
    </row>
    <row r="634" spans="15:17" s="383" customFormat="1">
      <c r="O634" s="1004"/>
      <c r="P634" s="1004"/>
      <c r="Q634" s="1004"/>
    </row>
    <row r="635" spans="15:17" s="383" customFormat="1">
      <c r="O635" s="1004"/>
      <c r="P635" s="1004"/>
      <c r="Q635" s="1004"/>
    </row>
    <row r="636" spans="15:17" s="383" customFormat="1">
      <c r="O636" s="1004"/>
      <c r="P636" s="1004"/>
      <c r="Q636" s="1004"/>
    </row>
    <row r="637" spans="15:17" s="383" customFormat="1">
      <c r="O637" s="1004"/>
      <c r="P637" s="1004"/>
      <c r="Q637" s="1004"/>
    </row>
    <row r="638" spans="15:17" s="383" customFormat="1">
      <c r="O638" s="1004"/>
      <c r="P638" s="1004"/>
      <c r="Q638" s="1004"/>
    </row>
    <row r="639" spans="15:17" s="383" customFormat="1">
      <c r="O639" s="1004"/>
      <c r="P639" s="1004"/>
      <c r="Q639" s="1004"/>
    </row>
    <row r="640" spans="15:17" s="383" customFormat="1">
      <c r="O640" s="1004"/>
      <c r="P640" s="1004"/>
      <c r="Q640" s="1004"/>
    </row>
    <row r="641" spans="15:17" s="383" customFormat="1">
      <c r="O641" s="1004"/>
      <c r="P641" s="1004"/>
      <c r="Q641" s="1004"/>
    </row>
    <row r="642" spans="15:17" s="383" customFormat="1">
      <c r="O642" s="1004"/>
      <c r="P642" s="1004"/>
      <c r="Q642" s="1004"/>
    </row>
    <row r="643" spans="15:17" s="383" customFormat="1">
      <c r="O643" s="1004"/>
      <c r="P643" s="1004"/>
      <c r="Q643" s="1004"/>
    </row>
    <row r="644" spans="15:17" s="383" customFormat="1">
      <c r="O644" s="1004"/>
      <c r="P644" s="1004"/>
      <c r="Q644" s="1004"/>
    </row>
    <row r="645" spans="15:17" s="383" customFormat="1">
      <c r="O645" s="1004"/>
      <c r="P645" s="1004"/>
      <c r="Q645" s="1004"/>
    </row>
    <row r="646" spans="15:17" s="383" customFormat="1">
      <c r="O646" s="1004"/>
      <c r="P646" s="1004"/>
      <c r="Q646" s="1004"/>
    </row>
    <row r="647" spans="15:17" s="383" customFormat="1">
      <c r="O647" s="1004"/>
      <c r="P647" s="1004"/>
      <c r="Q647" s="1004"/>
    </row>
    <row r="648" spans="15:17" s="383" customFormat="1">
      <c r="O648" s="1004"/>
      <c r="P648" s="1004"/>
      <c r="Q648" s="1004"/>
    </row>
    <row r="649" spans="15:17" s="383" customFormat="1">
      <c r="O649" s="1004"/>
      <c r="P649" s="1004"/>
      <c r="Q649" s="1004"/>
    </row>
    <row r="650" spans="15:17" s="383" customFormat="1">
      <c r="O650" s="1004"/>
      <c r="P650" s="1004"/>
      <c r="Q650" s="1004"/>
    </row>
    <row r="651" spans="15:17" s="383" customFormat="1">
      <c r="O651" s="1004"/>
      <c r="P651" s="1004"/>
      <c r="Q651" s="1004"/>
    </row>
    <row r="652" spans="15:17" s="383" customFormat="1">
      <c r="O652" s="1004"/>
      <c r="P652" s="1004"/>
      <c r="Q652" s="1004"/>
    </row>
    <row r="653" spans="15:17" s="383" customFormat="1">
      <c r="O653" s="1004"/>
      <c r="P653" s="1004"/>
      <c r="Q653" s="1004"/>
    </row>
    <row r="654" spans="15:17" s="383" customFormat="1">
      <c r="O654" s="1004"/>
      <c r="P654" s="1004"/>
      <c r="Q654" s="1004"/>
    </row>
    <row r="655" spans="15:17" s="383" customFormat="1">
      <c r="O655" s="1004"/>
      <c r="P655" s="1004"/>
      <c r="Q655" s="1004"/>
    </row>
    <row r="656" spans="15:17" s="383" customFormat="1">
      <c r="O656" s="1004"/>
      <c r="P656" s="1004"/>
      <c r="Q656" s="1004"/>
    </row>
    <row r="657" spans="15:17" s="383" customFormat="1">
      <c r="O657" s="1004"/>
      <c r="P657" s="1004"/>
      <c r="Q657" s="1004"/>
    </row>
    <row r="658" spans="15:17" s="383" customFormat="1">
      <c r="O658" s="1004"/>
      <c r="P658" s="1004"/>
      <c r="Q658" s="1004"/>
    </row>
    <row r="659" spans="15:17" s="383" customFormat="1">
      <c r="O659" s="1004"/>
      <c r="P659" s="1004"/>
      <c r="Q659" s="1004"/>
    </row>
    <row r="660" spans="15:17" s="383" customFormat="1">
      <c r="O660" s="1004"/>
      <c r="P660" s="1004"/>
      <c r="Q660" s="1004"/>
    </row>
    <row r="661" spans="15:17" s="383" customFormat="1">
      <c r="O661" s="1004"/>
      <c r="P661" s="1004"/>
      <c r="Q661" s="1004"/>
    </row>
    <row r="662" spans="15:17" s="383" customFormat="1">
      <c r="O662" s="1004"/>
      <c r="P662" s="1004"/>
      <c r="Q662" s="1004"/>
    </row>
    <row r="663" spans="15:17" s="383" customFormat="1">
      <c r="O663" s="1004"/>
      <c r="P663" s="1004"/>
      <c r="Q663" s="1004"/>
    </row>
    <row r="664" spans="15:17" s="383" customFormat="1">
      <c r="O664" s="1004"/>
      <c r="P664" s="1004"/>
      <c r="Q664" s="1004"/>
    </row>
    <row r="665" spans="15:17" s="383" customFormat="1">
      <c r="O665" s="1004"/>
      <c r="P665" s="1004"/>
      <c r="Q665" s="1004"/>
    </row>
    <row r="666" spans="15:17" s="383" customFormat="1">
      <c r="O666" s="1004"/>
      <c r="P666" s="1004"/>
      <c r="Q666" s="1004"/>
    </row>
    <row r="667" spans="15:17" s="383" customFormat="1">
      <c r="O667" s="1004"/>
      <c r="P667" s="1004"/>
      <c r="Q667" s="1004"/>
    </row>
    <row r="668" spans="15:17" s="383" customFormat="1">
      <c r="O668" s="1004"/>
      <c r="P668" s="1004"/>
      <c r="Q668" s="1004"/>
    </row>
    <row r="669" spans="15:17" s="383" customFormat="1">
      <c r="O669" s="1004"/>
      <c r="P669" s="1004"/>
      <c r="Q669" s="1004"/>
    </row>
    <row r="670" spans="15:17" s="383" customFormat="1">
      <c r="O670" s="1004"/>
      <c r="P670" s="1004"/>
      <c r="Q670" s="1004"/>
    </row>
    <row r="671" spans="15:17" s="383" customFormat="1">
      <c r="O671" s="1004"/>
      <c r="P671" s="1004"/>
      <c r="Q671" s="1004"/>
    </row>
    <row r="672" spans="15:17" s="383" customFormat="1">
      <c r="O672" s="1004"/>
      <c r="P672" s="1004"/>
      <c r="Q672" s="1004"/>
    </row>
    <row r="673" spans="15:17" s="383" customFormat="1">
      <c r="O673" s="1004"/>
      <c r="P673" s="1004"/>
      <c r="Q673" s="1004"/>
    </row>
    <row r="674" spans="15:17" s="383" customFormat="1">
      <c r="O674" s="1004"/>
      <c r="P674" s="1004"/>
      <c r="Q674" s="1004"/>
    </row>
    <row r="675" spans="15:17" s="383" customFormat="1">
      <c r="O675" s="1004"/>
      <c r="P675" s="1004"/>
      <c r="Q675" s="1004"/>
    </row>
    <row r="676" spans="15:17" s="383" customFormat="1">
      <c r="O676" s="1004"/>
      <c r="P676" s="1004"/>
      <c r="Q676" s="1004"/>
    </row>
    <row r="677" spans="15:17" s="383" customFormat="1">
      <c r="O677" s="1004"/>
      <c r="P677" s="1004"/>
      <c r="Q677" s="1004"/>
    </row>
    <row r="678" spans="15:17" s="383" customFormat="1">
      <c r="O678" s="1004"/>
      <c r="P678" s="1004"/>
      <c r="Q678" s="1004"/>
    </row>
    <row r="679" spans="15:17" s="383" customFormat="1">
      <c r="O679" s="1004"/>
      <c r="P679" s="1004"/>
      <c r="Q679" s="1004"/>
    </row>
    <row r="680" spans="15:17" s="383" customFormat="1">
      <c r="O680" s="1004"/>
      <c r="P680" s="1004"/>
      <c r="Q680" s="1004"/>
    </row>
    <row r="681" spans="15:17" s="383" customFormat="1">
      <c r="O681" s="1004"/>
      <c r="P681" s="1004"/>
      <c r="Q681" s="1004"/>
    </row>
    <row r="682" spans="15:17" s="383" customFormat="1">
      <c r="O682" s="1004"/>
      <c r="P682" s="1004"/>
      <c r="Q682" s="1004"/>
    </row>
    <row r="683" spans="15:17" s="383" customFormat="1">
      <c r="O683" s="1004"/>
      <c r="P683" s="1004"/>
      <c r="Q683" s="1004"/>
    </row>
    <row r="684" spans="15:17" s="383" customFormat="1">
      <c r="O684" s="1004"/>
      <c r="P684" s="1004"/>
      <c r="Q684" s="1004"/>
    </row>
    <row r="685" spans="15:17" s="383" customFormat="1">
      <c r="O685" s="1004"/>
      <c r="P685" s="1004"/>
      <c r="Q685" s="1004"/>
    </row>
    <row r="686" spans="15:17" s="383" customFormat="1">
      <c r="O686" s="1004"/>
      <c r="P686" s="1004"/>
      <c r="Q686" s="1004"/>
    </row>
    <row r="687" spans="15:17" s="383" customFormat="1">
      <c r="O687" s="1004"/>
      <c r="P687" s="1004"/>
      <c r="Q687" s="1004"/>
    </row>
    <row r="688" spans="15:17" s="383" customFormat="1">
      <c r="O688" s="1004"/>
      <c r="P688" s="1004"/>
      <c r="Q688" s="1004"/>
    </row>
    <row r="689" spans="15:17" s="383" customFormat="1">
      <c r="O689" s="1004"/>
      <c r="P689" s="1004"/>
      <c r="Q689" s="1004"/>
    </row>
    <row r="690" spans="15:17" s="383" customFormat="1">
      <c r="O690" s="1004"/>
      <c r="P690" s="1004"/>
      <c r="Q690" s="1004"/>
    </row>
    <row r="691" spans="15:17" s="383" customFormat="1">
      <c r="O691" s="1004"/>
      <c r="P691" s="1004"/>
      <c r="Q691" s="1004"/>
    </row>
    <row r="692" spans="15:17" s="383" customFormat="1">
      <c r="O692" s="1004"/>
      <c r="P692" s="1004"/>
      <c r="Q692" s="1004"/>
    </row>
    <row r="693" spans="15:17" s="383" customFormat="1">
      <c r="O693" s="1004"/>
      <c r="P693" s="1004"/>
      <c r="Q693" s="1004"/>
    </row>
    <row r="694" spans="15:17" s="383" customFormat="1">
      <c r="O694" s="1004"/>
      <c r="P694" s="1004"/>
      <c r="Q694" s="1004"/>
    </row>
    <row r="695" spans="15:17" s="383" customFormat="1">
      <c r="O695" s="1004"/>
      <c r="P695" s="1004"/>
      <c r="Q695" s="1004"/>
    </row>
    <row r="696" spans="15:17" s="383" customFormat="1">
      <c r="O696" s="1004"/>
      <c r="P696" s="1004"/>
      <c r="Q696" s="1004"/>
    </row>
    <row r="697" spans="15:17" s="383" customFormat="1">
      <c r="O697" s="1004"/>
      <c r="P697" s="1004"/>
      <c r="Q697" s="1004"/>
    </row>
    <row r="698" spans="15:17" s="383" customFormat="1">
      <c r="O698" s="1004"/>
      <c r="P698" s="1004"/>
      <c r="Q698" s="1004"/>
    </row>
    <row r="699" spans="15:17" s="383" customFormat="1">
      <c r="O699" s="1004"/>
      <c r="P699" s="1004"/>
      <c r="Q699" s="1004"/>
    </row>
    <row r="700" spans="15:17" s="383" customFormat="1">
      <c r="O700" s="1004"/>
      <c r="P700" s="1004"/>
      <c r="Q700" s="1004"/>
    </row>
    <row r="701" spans="15:17" s="383" customFormat="1">
      <c r="O701" s="1004"/>
      <c r="P701" s="1004"/>
      <c r="Q701" s="1004"/>
    </row>
    <row r="702" spans="15:17" s="383" customFormat="1">
      <c r="O702" s="1004"/>
      <c r="P702" s="1004"/>
      <c r="Q702" s="1004"/>
    </row>
    <row r="703" spans="15:17" s="383" customFormat="1">
      <c r="O703" s="1004"/>
      <c r="P703" s="1004"/>
      <c r="Q703" s="1004"/>
    </row>
    <row r="704" spans="15:17" s="383" customFormat="1">
      <c r="O704" s="1004"/>
      <c r="P704" s="1004"/>
      <c r="Q704" s="1004"/>
    </row>
    <row r="705" spans="15:17" s="383" customFormat="1">
      <c r="O705" s="1004"/>
      <c r="P705" s="1004"/>
      <c r="Q705" s="1004"/>
    </row>
    <row r="706" spans="15:17" s="383" customFormat="1">
      <c r="O706" s="1004"/>
      <c r="P706" s="1004"/>
      <c r="Q706" s="1004"/>
    </row>
    <row r="707" spans="15:17" s="383" customFormat="1">
      <c r="O707" s="1004"/>
      <c r="P707" s="1004"/>
      <c r="Q707" s="1004"/>
    </row>
    <row r="708" spans="15:17" s="383" customFormat="1">
      <c r="O708" s="1004"/>
      <c r="P708" s="1004"/>
      <c r="Q708" s="1004"/>
    </row>
    <row r="709" spans="15:17" s="383" customFormat="1">
      <c r="O709" s="1004"/>
      <c r="P709" s="1004"/>
      <c r="Q709" s="1004"/>
    </row>
    <row r="710" spans="15:17" s="383" customFormat="1">
      <c r="O710" s="1004"/>
      <c r="P710" s="1004"/>
      <c r="Q710" s="1004"/>
    </row>
    <row r="711" spans="15:17" s="383" customFormat="1">
      <c r="O711" s="1004"/>
      <c r="P711" s="1004"/>
      <c r="Q711" s="1004"/>
    </row>
    <row r="712" spans="15:17" s="383" customFormat="1">
      <c r="O712" s="1004"/>
      <c r="P712" s="1004"/>
      <c r="Q712" s="1004"/>
    </row>
    <row r="713" spans="15:17" s="383" customFormat="1">
      <c r="O713" s="1004"/>
      <c r="P713" s="1004"/>
      <c r="Q713" s="1004"/>
    </row>
    <row r="714" spans="15:17" s="383" customFormat="1">
      <c r="O714" s="1004"/>
      <c r="P714" s="1004"/>
      <c r="Q714" s="1004"/>
    </row>
    <row r="715" spans="15:17" s="383" customFormat="1">
      <c r="O715" s="1004"/>
      <c r="P715" s="1004"/>
      <c r="Q715" s="1004"/>
    </row>
    <row r="716" spans="15:17" s="383" customFormat="1">
      <c r="O716" s="1004"/>
      <c r="P716" s="1004"/>
      <c r="Q716" s="1004"/>
    </row>
    <row r="717" spans="15:17" s="383" customFormat="1">
      <c r="O717" s="1004"/>
      <c r="P717" s="1004"/>
      <c r="Q717" s="1004"/>
    </row>
    <row r="718" spans="15:17" s="383" customFormat="1">
      <c r="O718" s="1004"/>
      <c r="P718" s="1004"/>
      <c r="Q718" s="1004"/>
    </row>
    <row r="719" spans="15:17" s="383" customFormat="1">
      <c r="O719" s="1004"/>
      <c r="P719" s="1004"/>
      <c r="Q719" s="1004"/>
    </row>
    <row r="720" spans="15:17" s="383" customFormat="1">
      <c r="O720" s="1004"/>
      <c r="P720" s="1004"/>
      <c r="Q720" s="1004"/>
    </row>
    <row r="721" spans="15:17" s="383" customFormat="1">
      <c r="O721" s="1004"/>
      <c r="P721" s="1004"/>
      <c r="Q721" s="1004"/>
    </row>
    <row r="722" spans="15:17" s="383" customFormat="1">
      <c r="O722" s="1004"/>
      <c r="P722" s="1004"/>
      <c r="Q722" s="1004"/>
    </row>
    <row r="723" spans="15:17" s="383" customFormat="1">
      <c r="O723" s="1004"/>
      <c r="P723" s="1004"/>
      <c r="Q723" s="1004"/>
    </row>
    <row r="724" spans="15:17" s="383" customFormat="1">
      <c r="O724" s="1004"/>
      <c r="P724" s="1004"/>
      <c r="Q724" s="1004"/>
    </row>
    <row r="725" spans="15:17" s="383" customFormat="1">
      <c r="O725" s="1004"/>
      <c r="P725" s="1004"/>
      <c r="Q725" s="1004"/>
    </row>
    <row r="726" spans="15:17" s="383" customFormat="1">
      <c r="O726" s="1004"/>
      <c r="P726" s="1004"/>
      <c r="Q726" s="1004"/>
    </row>
    <row r="727" spans="15:17" s="383" customFormat="1">
      <c r="O727" s="1004"/>
      <c r="P727" s="1004"/>
      <c r="Q727" s="1004"/>
    </row>
    <row r="728" spans="15:17" s="383" customFormat="1">
      <c r="O728" s="1004"/>
      <c r="P728" s="1004"/>
      <c r="Q728" s="1004"/>
    </row>
    <row r="729" spans="15:17" s="383" customFormat="1">
      <c r="O729" s="1004"/>
      <c r="P729" s="1004"/>
      <c r="Q729" s="1004"/>
    </row>
    <row r="730" spans="15:17" s="383" customFormat="1">
      <c r="O730" s="1004"/>
      <c r="P730" s="1004"/>
      <c r="Q730" s="1004"/>
    </row>
    <row r="731" spans="15:17" s="383" customFormat="1">
      <c r="O731" s="1004"/>
      <c r="P731" s="1004"/>
      <c r="Q731" s="1004"/>
    </row>
    <row r="732" spans="15:17" s="383" customFormat="1">
      <c r="O732" s="1004"/>
      <c r="P732" s="1004"/>
      <c r="Q732" s="1004"/>
    </row>
    <row r="733" spans="15:17" s="383" customFormat="1">
      <c r="O733" s="1004"/>
      <c r="P733" s="1004"/>
      <c r="Q733" s="1004"/>
    </row>
    <row r="734" spans="15:17" s="383" customFormat="1">
      <c r="O734" s="1004"/>
      <c r="P734" s="1004"/>
      <c r="Q734" s="1004"/>
    </row>
    <row r="735" spans="15:17" s="383" customFormat="1">
      <c r="O735" s="1004"/>
      <c r="P735" s="1004"/>
      <c r="Q735" s="1004"/>
    </row>
    <row r="736" spans="15:17" s="383" customFormat="1">
      <c r="O736" s="1004"/>
      <c r="P736" s="1004"/>
      <c r="Q736" s="1004"/>
    </row>
    <row r="737" spans="15:17" s="383" customFormat="1">
      <c r="O737" s="1004"/>
      <c r="P737" s="1004"/>
      <c r="Q737" s="1004"/>
    </row>
    <row r="738" spans="15:17" s="383" customFormat="1">
      <c r="O738" s="1004"/>
      <c r="P738" s="1004"/>
      <c r="Q738" s="1004"/>
    </row>
    <row r="739" spans="15:17" s="383" customFormat="1">
      <c r="O739" s="1004"/>
      <c r="P739" s="1004"/>
      <c r="Q739" s="1004"/>
    </row>
    <row r="740" spans="15:17" s="383" customFormat="1">
      <c r="O740" s="1004"/>
      <c r="P740" s="1004"/>
      <c r="Q740" s="1004"/>
    </row>
    <row r="741" spans="15:17" s="383" customFormat="1">
      <c r="O741" s="1004"/>
      <c r="P741" s="1004"/>
      <c r="Q741" s="1004"/>
    </row>
    <row r="742" spans="15:17" s="383" customFormat="1">
      <c r="O742" s="1004"/>
      <c r="P742" s="1004"/>
      <c r="Q742" s="1004"/>
    </row>
    <row r="743" spans="15:17" s="383" customFormat="1">
      <c r="O743" s="1004"/>
      <c r="P743" s="1004"/>
      <c r="Q743" s="1004"/>
    </row>
    <row r="744" spans="15:17" s="383" customFormat="1">
      <c r="O744" s="1004"/>
      <c r="P744" s="1004"/>
      <c r="Q744" s="1004"/>
    </row>
    <row r="745" spans="15:17" s="383" customFormat="1">
      <c r="O745" s="1004"/>
      <c r="P745" s="1004"/>
      <c r="Q745" s="1004"/>
    </row>
    <row r="746" spans="15:17" s="383" customFormat="1">
      <c r="O746" s="1004"/>
      <c r="P746" s="1004"/>
      <c r="Q746" s="1004"/>
    </row>
    <row r="747" spans="15:17" s="383" customFormat="1">
      <c r="O747" s="1004"/>
      <c r="P747" s="1004"/>
      <c r="Q747" s="1004"/>
    </row>
    <row r="748" spans="15:17" s="383" customFormat="1">
      <c r="O748" s="1004"/>
      <c r="P748" s="1004"/>
      <c r="Q748" s="1004"/>
    </row>
    <row r="749" spans="15:17" s="383" customFormat="1">
      <c r="O749" s="1004"/>
      <c r="P749" s="1004"/>
      <c r="Q749" s="1004"/>
    </row>
    <row r="750" spans="15:17" s="383" customFormat="1">
      <c r="O750" s="1004"/>
      <c r="P750" s="1004"/>
      <c r="Q750" s="1004"/>
    </row>
    <row r="751" spans="15:17" s="383" customFormat="1">
      <c r="O751" s="1004"/>
      <c r="P751" s="1004"/>
      <c r="Q751" s="1004"/>
    </row>
    <row r="752" spans="15:17" s="383" customFormat="1">
      <c r="O752" s="1004"/>
      <c r="P752" s="1004"/>
      <c r="Q752" s="1004"/>
    </row>
    <row r="753" spans="15:17" s="383" customFormat="1">
      <c r="O753" s="1004"/>
      <c r="P753" s="1004"/>
      <c r="Q753" s="1004"/>
    </row>
    <row r="754" spans="15:17" s="383" customFormat="1">
      <c r="O754" s="1004"/>
      <c r="P754" s="1004"/>
      <c r="Q754" s="1004"/>
    </row>
    <row r="755" spans="15:17" s="383" customFormat="1">
      <c r="O755" s="1004"/>
      <c r="P755" s="1004"/>
      <c r="Q755" s="1004"/>
    </row>
    <row r="756" spans="15:17" s="383" customFormat="1">
      <c r="O756" s="1004"/>
      <c r="P756" s="1004"/>
      <c r="Q756" s="1004"/>
    </row>
    <row r="757" spans="15:17" s="383" customFormat="1">
      <c r="O757" s="1004"/>
      <c r="P757" s="1004"/>
      <c r="Q757" s="1004"/>
    </row>
    <row r="758" spans="15:17" s="383" customFormat="1">
      <c r="O758" s="1004"/>
      <c r="P758" s="1004"/>
      <c r="Q758" s="1004"/>
    </row>
    <row r="759" spans="15:17" s="383" customFormat="1">
      <c r="O759" s="1004"/>
      <c r="P759" s="1004"/>
      <c r="Q759" s="1004"/>
    </row>
    <row r="760" spans="15:17" s="383" customFormat="1">
      <c r="O760" s="1004"/>
      <c r="P760" s="1004"/>
      <c r="Q760" s="1004"/>
    </row>
    <row r="761" spans="15:17" s="383" customFormat="1">
      <c r="O761" s="1004"/>
      <c r="P761" s="1004"/>
      <c r="Q761" s="1004"/>
    </row>
    <row r="762" spans="15:17" s="383" customFormat="1">
      <c r="O762" s="1004"/>
      <c r="P762" s="1004"/>
      <c r="Q762" s="1004"/>
    </row>
    <row r="763" spans="15:17" s="383" customFormat="1">
      <c r="O763" s="1004"/>
      <c r="P763" s="1004"/>
      <c r="Q763" s="1004"/>
    </row>
    <row r="764" spans="15:17" s="383" customFormat="1">
      <c r="O764" s="1004"/>
      <c r="P764" s="1004"/>
      <c r="Q764" s="1004"/>
    </row>
    <row r="765" spans="15:17" s="383" customFormat="1">
      <c r="O765" s="1004"/>
      <c r="P765" s="1004"/>
      <c r="Q765" s="1004"/>
    </row>
    <row r="766" spans="15:17" s="383" customFormat="1">
      <c r="O766" s="1004"/>
      <c r="P766" s="1004"/>
      <c r="Q766" s="1004"/>
    </row>
    <row r="767" spans="15:17" s="383" customFormat="1">
      <c r="O767" s="1004"/>
      <c r="P767" s="1004"/>
      <c r="Q767" s="1004"/>
    </row>
    <row r="768" spans="15:17" s="383" customFormat="1">
      <c r="O768" s="1004"/>
      <c r="P768" s="1004"/>
      <c r="Q768" s="1004"/>
    </row>
    <row r="769" spans="15:17" s="383" customFormat="1">
      <c r="O769" s="1004"/>
      <c r="P769" s="1004"/>
      <c r="Q769" s="1004"/>
    </row>
    <row r="770" spans="15:17" s="383" customFormat="1">
      <c r="O770" s="1004"/>
      <c r="P770" s="1004"/>
      <c r="Q770" s="1004"/>
    </row>
    <row r="771" spans="15:17" s="383" customFormat="1">
      <c r="O771" s="1004"/>
      <c r="P771" s="1004"/>
      <c r="Q771" s="1004"/>
    </row>
    <row r="772" spans="15:17" s="383" customFormat="1">
      <c r="O772" s="1004"/>
      <c r="P772" s="1004"/>
      <c r="Q772" s="1004"/>
    </row>
    <row r="773" spans="15:17" s="383" customFormat="1">
      <c r="O773" s="1004"/>
      <c r="P773" s="1004"/>
      <c r="Q773" s="1004"/>
    </row>
    <row r="774" spans="15:17" s="383" customFormat="1">
      <c r="O774" s="1004"/>
      <c r="P774" s="1004"/>
      <c r="Q774" s="1004"/>
    </row>
    <row r="775" spans="15:17" s="383" customFormat="1">
      <c r="O775" s="1004"/>
      <c r="P775" s="1004"/>
      <c r="Q775" s="1004"/>
    </row>
    <row r="776" spans="15:17" s="383" customFormat="1">
      <c r="O776" s="1004"/>
      <c r="P776" s="1004"/>
      <c r="Q776" s="1004"/>
    </row>
    <row r="777" spans="15:17" s="383" customFormat="1">
      <c r="O777" s="1004"/>
      <c r="P777" s="1004"/>
      <c r="Q777" s="1004"/>
    </row>
    <row r="778" spans="15:17" s="383" customFormat="1">
      <c r="O778" s="1004"/>
      <c r="P778" s="1004"/>
      <c r="Q778" s="1004"/>
    </row>
    <row r="779" spans="15:17" s="383" customFormat="1">
      <c r="O779" s="1004"/>
      <c r="P779" s="1004"/>
      <c r="Q779" s="1004"/>
    </row>
    <row r="780" spans="15:17" s="383" customFormat="1">
      <c r="O780" s="1004"/>
      <c r="P780" s="1004"/>
      <c r="Q780" s="1004"/>
    </row>
    <row r="781" spans="15:17" s="383" customFormat="1">
      <c r="O781" s="1004"/>
      <c r="P781" s="1004"/>
      <c r="Q781" s="1004"/>
    </row>
    <row r="782" spans="15:17" s="383" customFormat="1">
      <c r="O782" s="1004"/>
      <c r="P782" s="1004"/>
      <c r="Q782" s="1004"/>
    </row>
    <row r="783" spans="15:17" s="383" customFormat="1">
      <c r="O783" s="1004"/>
      <c r="P783" s="1004"/>
      <c r="Q783" s="1004"/>
    </row>
    <row r="784" spans="15:17" s="383" customFormat="1">
      <c r="O784" s="1004"/>
      <c r="P784" s="1004"/>
      <c r="Q784" s="1004"/>
    </row>
    <row r="785" spans="15:17" s="383" customFormat="1">
      <c r="O785" s="1004"/>
      <c r="P785" s="1004"/>
      <c r="Q785" s="1004"/>
    </row>
    <row r="786" spans="15:17" s="383" customFormat="1">
      <c r="O786" s="1004"/>
      <c r="P786" s="1004"/>
      <c r="Q786" s="1004"/>
    </row>
    <row r="787" spans="15:17" s="383" customFormat="1">
      <c r="O787" s="1004"/>
      <c r="P787" s="1004"/>
      <c r="Q787" s="1004"/>
    </row>
    <row r="788" spans="15:17" s="383" customFormat="1">
      <c r="O788" s="1004"/>
      <c r="P788" s="1004"/>
      <c r="Q788" s="1004"/>
    </row>
    <row r="789" spans="15:17" s="383" customFormat="1">
      <c r="O789" s="1004"/>
      <c r="P789" s="1004"/>
      <c r="Q789" s="1004"/>
    </row>
    <row r="790" spans="15:17" s="383" customFormat="1">
      <c r="O790" s="1004"/>
      <c r="P790" s="1004"/>
      <c r="Q790" s="1004"/>
    </row>
    <row r="791" spans="15:17" s="383" customFormat="1">
      <c r="O791" s="1004"/>
      <c r="P791" s="1004"/>
      <c r="Q791" s="1004"/>
    </row>
    <row r="792" spans="15:17" s="383" customFormat="1">
      <c r="O792" s="1004"/>
      <c r="P792" s="1004"/>
      <c r="Q792" s="1004"/>
    </row>
    <row r="793" spans="15:17" s="383" customFormat="1">
      <c r="O793" s="1004"/>
      <c r="P793" s="1004"/>
      <c r="Q793" s="1004"/>
    </row>
    <row r="794" spans="15:17" s="383" customFormat="1">
      <c r="O794" s="1004"/>
      <c r="P794" s="1004"/>
      <c r="Q794" s="1004"/>
    </row>
    <row r="795" spans="15:17" s="383" customFormat="1">
      <c r="O795" s="1004"/>
      <c r="P795" s="1004"/>
      <c r="Q795" s="1004"/>
    </row>
    <row r="796" spans="15:17" s="383" customFormat="1">
      <c r="O796" s="1004"/>
      <c r="P796" s="1004"/>
      <c r="Q796" s="1004"/>
    </row>
    <row r="797" spans="15:17" s="383" customFormat="1">
      <c r="O797" s="1004"/>
      <c r="P797" s="1004"/>
      <c r="Q797" s="1004"/>
    </row>
    <row r="798" spans="15:17" s="383" customFormat="1">
      <c r="O798" s="1004"/>
      <c r="P798" s="1004"/>
      <c r="Q798" s="1004"/>
    </row>
    <row r="799" spans="15:17" s="383" customFormat="1">
      <c r="O799" s="1004"/>
      <c r="P799" s="1004"/>
      <c r="Q799" s="1004"/>
    </row>
    <row r="800" spans="15:17" s="383" customFormat="1">
      <c r="O800" s="1004"/>
      <c r="P800" s="1004"/>
      <c r="Q800" s="1004"/>
    </row>
    <row r="801" spans="15:17" s="383" customFormat="1">
      <c r="O801" s="1004"/>
      <c r="P801" s="1004"/>
      <c r="Q801" s="1004"/>
    </row>
    <row r="802" spans="15:17" s="383" customFormat="1">
      <c r="O802" s="1004"/>
      <c r="P802" s="1004"/>
      <c r="Q802" s="1004"/>
    </row>
    <row r="803" spans="15:17" s="383" customFormat="1">
      <c r="O803" s="1004"/>
      <c r="P803" s="1004"/>
      <c r="Q803" s="1004"/>
    </row>
    <row r="804" spans="15:17" s="383" customFormat="1">
      <c r="O804" s="1004"/>
      <c r="P804" s="1004"/>
      <c r="Q804" s="1004"/>
    </row>
    <row r="805" spans="15:17" s="383" customFormat="1">
      <c r="O805" s="1004"/>
      <c r="P805" s="1004"/>
      <c r="Q805" s="1004"/>
    </row>
    <row r="806" spans="15:17" s="383" customFormat="1">
      <c r="O806" s="1004"/>
      <c r="P806" s="1004"/>
      <c r="Q806" s="1004"/>
    </row>
    <row r="807" spans="15:17" s="383" customFormat="1">
      <c r="O807" s="1004"/>
      <c r="P807" s="1004"/>
      <c r="Q807" s="1004"/>
    </row>
    <row r="808" spans="15:17" s="383" customFormat="1">
      <c r="O808" s="1004"/>
      <c r="P808" s="1004"/>
      <c r="Q808" s="1004"/>
    </row>
    <row r="809" spans="15:17" s="383" customFormat="1">
      <c r="O809" s="1004"/>
      <c r="P809" s="1004"/>
      <c r="Q809" s="1004"/>
    </row>
    <row r="810" spans="15:17" s="383" customFormat="1">
      <c r="O810" s="1004"/>
      <c r="P810" s="1004"/>
      <c r="Q810" s="1004"/>
    </row>
    <row r="811" spans="15:17" s="383" customFormat="1">
      <c r="O811" s="1004"/>
      <c r="P811" s="1004"/>
      <c r="Q811" s="1004"/>
    </row>
    <row r="812" spans="15:17" s="383" customFormat="1">
      <c r="O812" s="1004"/>
      <c r="P812" s="1004"/>
      <c r="Q812" s="1004"/>
    </row>
    <row r="813" spans="15:17" s="383" customFormat="1">
      <c r="O813" s="1004"/>
      <c r="P813" s="1004"/>
      <c r="Q813" s="1004"/>
    </row>
    <row r="814" spans="15:17" s="383" customFormat="1">
      <c r="O814" s="1004"/>
      <c r="P814" s="1004"/>
      <c r="Q814" s="1004"/>
    </row>
    <row r="815" spans="15:17" s="383" customFormat="1">
      <c r="O815" s="1004"/>
      <c r="P815" s="1004"/>
      <c r="Q815" s="1004"/>
    </row>
    <row r="816" spans="15:17" s="383" customFormat="1">
      <c r="O816" s="1004"/>
      <c r="P816" s="1004"/>
      <c r="Q816" s="1004"/>
    </row>
    <row r="817" spans="15:17" s="383" customFormat="1">
      <c r="O817" s="1004"/>
      <c r="P817" s="1004"/>
      <c r="Q817" s="1004"/>
    </row>
    <row r="818" spans="15:17" s="383" customFormat="1">
      <c r="O818" s="1004"/>
      <c r="P818" s="1004"/>
      <c r="Q818" s="1004"/>
    </row>
    <row r="819" spans="15:17" s="383" customFormat="1">
      <c r="O819" s="1004"/>
      <c r="P819" s="1004"/>
      <c r="Q819" s="1004"/>
    </row>
    <row r="820" spans="15:17" s="383" customFormat="1">
      <c r="O820" s="1004"/>
      <c r="P820" s="1004"/>
      <c r="Q820" s="1004"/>
    </row>
    <row r="821" spans="15:17" s="383" customFormat="1">
      <c r="O821" s="1004"/>
      <c r="P821" s="1004"/>
      <c r="Q821" s="1004"/>
    </row>
    <row r="822" spans="15:17" s="383" customFormat="1">
      <c r="O822" s="1004"/>
      <c r="P822" s="1004"/>
      <c r="Q822" s="1004"/>
    </row>
    <row r="823" spans="15:17" s="383" customFormat="1">
      <c r="O823" s="1004"/>
      <c r="P823" s="1004"/>
      <c r="Q823" s="1004"/>
    </row>
    <row r="824" spans="15:17" s="383" customFormat="1">
      <c r="O824" s="1004"/>
      <c r="P824" s="1004"/>
      <c r="Q824" s="1004"/>
    </row>
    <row r="825" spans="15:17" s="383" customFormat="1">
      <c r="O825" s="1004"/>
      <c r="P825" s="1004"/>
      <c r="Q825" s="1004"/>
    </row>
    <row r="826" spans="15:17" s="383" customFormat="1">
      <c r="O826" s="1004"/>
      <c r="P826" s="1004"/>
      <c r="Q826" s="1004"/>
    </row>
    <row r="827" spans="15:17" s="383" customFormat="1">
      <c r="O827" s="1004"/>
      <c r="P827" s="1004"/>
      <c r="Q827" s="1004"/>
    </row>
    <row r="828" spans="15:17" s="383" customFormat="1">
      <c r="O828" s="1004"/>
      <c r="P828" s="1004"/>
      <c r="Q828" s="1004"/>
    </row>
    <row r="829" spans="15:17" s="383" customFormat="1">
      <c r="O829" s="1004"/>
      <c r="P829" s="1004"/>
      <c r="Q829" s="1004"/>
    </row>
    <row r="830" spans="15:17" s="383" customFormat="1">
      <c r="O830" s="1004"/>
      <c r="P830" s="1004"/>
      <c r="Q830" s="1004"/>
    </row>
    <row r="831" spans="15:17" s="383" customFormat="1">
      <c r="O831" s="1004"/>
      <c r="P831" s="1004"/>
      <c r="Q831" s="1004"/>
    </row>
    <row r="832" spans="15:17" s="383" customFormat="1">
      <c r="O832" s="1004"/>
      <c r="P832" s="1004"/>
      <c r="Q832" s="1004"/>
    </row>
    <row r="833" spans="15:17" s="383" customFormat="1">
      <c r="O833" s="1004"/>
      <c r="P833" s="1004"/>
      <c r="Q833" s="1004"/>
    </row>
    <row r="834" spans="15:17" s="383" customFormat="1">
      <c r="O834" s="1004"/>
      <c r="P834" s="1004"/>
      <c r="Q834" s="1004"/>
    </row>
    <row r="835" spans="15:17" s="383" customFormat="1">
      <c r="O835" s="1004"/>
      <c r="P835" s="1004"/>
      <c r="Q835" s="1004"/>
    </row>
    <row r="836" spans="15:17" s="383" customFormat="1">
      <c r="O836" s="1004"/>
      <c r="P836" s="1004"/>
      <c r="Q836" s="1004"/>
    </row>
    <row r="837" spans="15:17" s="383" customFormat="1">
      <c r="O837" s="1004"/>
      <c r="P837" s="1004"/>
      <c r="Q837" s="1004"/>
    </row>
    <row r="838" spans="15:17" s="383" customFormat="1">
      <c r="O838" s="1004"/>
      <c r="P838" s="1004"/>
      <c r="Q838" s="1004"/>
    </row>
    <row r="839" spans="15:17" s="383" customFormat="1">
      <c r="O839" s="1004"/>
      <c r="P839" s="1004"/>
      <c r="Q839" s="1004"/>
    </row>
    <row r="840" spans="15:17" s="383" customFormat="1">
      <c r="O840" s="1004"/>
      <c r="P840" s="1004"/>
      <c r="Q840" s="1004"/>
    </row>
    <row r="841" spans="15:17" s="383" customFormat="1">
      <c r="O841" s="1004"/>
      <c r="P841" s="1004"/>
      <c r="Q841" s="1004"/>
    </row>
    <row r="842" spans="15:17" s="383" customFormat="1">
      <c r="O842" s="1004"/>
      <c r="P842" s="1004"/>
      <c r="Q842" s="1004"/>
    </row>
    <row r="843" spans="15:17" s="383" customFormat="1">
      <c r="O843" s="1004"/>
      <c r="P843" s="1004"/>
      <c r="Q843" s="1004"/>
    </row>
    <row r="844" spans="15:17" s="383" customFormat="1">
      <c r="O844" s="1004"/>
      <c r="P844" s="1004"/>
      <c r="Q844" s="1004"/>
    </row>
    <row r="845" spans="15:17" s="383" customFormat="1">
      <c r="O845" s="1004"/>
      <c r="P845" s="1004"/>
      <c r="Q845" s="1004"/>
    </row>
    <row r="846" spans="15:17" s="383" customFormat="1">
      <c r="O846" s="1004"/>
      <c r="P846" s="1004"/>
      <c r="Q846" s="1004"/>
    </row>
    <row r="847" spans="15:17" s="383" customFormat="1">
      <c r="O847" s="1004"/>
      <c r="P847" s="1004"/>
      <c r="Q847" s="1004"/>
    </row>
    <row r="848" spans="15:17" s="383" customFormat="1">
      <c r="O848" s="1004"/>
      <c r="P848" s="1004"/>
      <c r="Q848" s="1004"/>
    </row>
    <row r="849" spans="15:17" s="383" customFormat="1">
      <c r="O849" s="1004"/>
      <c r="P849" s="1004"/>
      <c r="Q849" s="1004"/>
    </row>
    <row r="850" spans="15:17" s="383" customFormat="1">
      <c r="O850" s="1004"/>
      <c r="P850" s="1004"/>
      <c r="Q850" s="1004"/>
    </row>
    <row r="851" spans="15:17" s="383" customFormat="1">
      <c r="O851" s="1004"/>
      <c r="P851" s="1004"/>
      <c r="Q851" s="1004"/>
    </row>
    <row r="852" spans="15:17" s="383" customFormat="1">
      <c r="O852" s="1004"/>
      <c r="P852" s="1004"/>
      <c r="Q852" s="1004"/>
    </row>
    <row r="853" spans="15:17" s="383" customFormat="1">
      <c r="O853" s="1004"/>
      <c r="P853" s="1004"/>
      <c r="Q853" s="1004"/>
    </row>
    <row r="854" spans="15:17" s="383" customFormat="1">
      <c r="O854" s="1004"/>
      <c r="P854" s="1004"/>
      <c r="Q854" s="1004"/>
    </row>
    <row r="855" spans="15:17" s="383" customFormat="1">
      <c r="O855" s="1004"/>
      <c r="P855" s="1004"/>
      <c r="Q855" s="1004"/>
    </row>
    <row r="856" spans="15:17" s="383" customFormat="1">
      <c r="O856" s="1004"/>
      <c r="P856" s="1004"/>
      <c r="Q856" s="1004"/>
    </row>
    <row r="857" spans="15:17" s="383" customFormat="1">
      <c r="O857" s="1004"/>
      <c r="P857" s="1004"/>
      <c r="Q857" s="1004"/>
    </row>
    <row r="858" spans="15:17" s="383" customFormat="1">
      <c r="O858" s="1004"/>
      <c r="P858" s="1004"/>
      <c r="Q858" s="1004"/>
    </row>
    <row r="859" spans="15:17" s="383" customFormat="1">
      <c r="O859" s="1004"/>
      <c r="P859" s="1004"/>
      <c r="Q859" s="1004"/>
    </row>
    <row r="860" spans="15:17" s="383" customFormat="1">
      <c r="O860" s="1004"/>
      <c r="P860" s="1004"/>
      <c r="Q860" s="1004"/>
    </row>
    <row r="861" spans="15:17" s="383" customFormat="1">
      <c r="O861" s="1004"/>
      <c r="P861" s="1004"/>
      <c r="Q861" s="1004"/>
    </row>
    <row r="862" spans="15:17" s="383" customFormat="1">
      <c r="O862" s="1004"/>
      <c r="P862" s="1004"/>
      <c r="Q862" s="1004"/>
    </row>
    <row r="863" spans="15:17" s="383" customFormat="1">
      <c r="O863" s="1004"/>
      <c r="P863" s="1004"/>
      <c r="Q863" s="1004"/>
    </row>
    <row r="864" spans="15:17" s="383" customFormat="1">
      <c r="O864" s="1004"/>
      <c r="P864" s="1004"/>
      <c r="Q864" s="1004"/>
    </row>
    <row r="865" spans="15:17" s="383" customFormat="1">
      <c r="O865" s="1004"/>
      <c r="P865" s="1004"/>
      <c r="Q865" s="1004"/>
    </row>
    <row r="866" spans="15:17" s="383" customFormat="1">
      <c r="O866" s="1004"/>
      <c r="P866" s="1004"/>
      <c r="Q866" s="1004"/>
    </row>
    <row r="867" spans="15:17" s="383" customFormat="1">
      <c r="O867" s="1004"/>
      <c r="P867" s="1004"/>
      <c r="Q867" s="1004"/>
    </row>
    <row r="868" spans="15:17" s="383" customFormat="1">
      <c r="O868" s="1004"/>
      <c r="P868" s="1004"/>
      <c r="Q868" s="1004"/>
    </row>
    <row r="869" spans="15:17" s="383" customFormat="1">
      <c r="O869" s="1004"/>
      <c r="P869" s="1004"/>
      <c r="Q869" s="1004"/>
    </row>
    <row r="870" spans="15:17" s="383" customFormat="1">
      <c r="O870" s="1004"/>
      <c r="P870" s="1004"/>
      <c r="Q870" s="1004"/>
    </row>
    <row r="871" spans="15:17" s="383" customFormat="1">
      <c r="O871" s="1004"/>
      <c r="P871" s="1004"/>
      <c r="Q871" s="1004"/>
    </row>
    <row r="872" spans="15:17" s="383" customFormat="1">
      <c r="O872" s="1004"/>
      <c r="P872" s="1004"/>
      <c r="Q872" s="1004"/>
    </row>
    <row r="873" spans="15:17" s="383" customFormat="1">
      <c r="O873" s="1004"/>
      <c r="P873" s="1004"/>
      <c r="Q873" s="1004"/>
    </row>
    <row r="874" spans="15:17" s="383" customFormat="1">
      <c r="O874" s="1004"/>
      <c r="P874" s="1004"/>
      <c r="Q874" s="1004"/>
    </row>
    <row r="875" spans="15:17" s="383" customFormat="1">
      <c r="O875" s="1004"/>
      <c r="P875" s="1004"/>
      <c r="Q875" s="1004"/>
    </row>
    <row r="876" spans="15:17" s="383" customFormat="1">
      <c r="O876" s="1004"/>
      <c r="P876" s="1004"/>
      <c r="Q876" s="1004"/>
    </row>
    <row r="877" spans="15:17" s="383" customFormat="1">
      <c r="O877" s="1004"/>
      <c r="P877" s="1004"/>
      <c r="Q877" s="1004"/>
    </row>
    <row r="878" spans="15:17" s="383" customFormat="1">
      <c r="O878" s="1004"/>
      <c r="P878" s="1004"/>
      <c r="Q878" s="1004"/>
    </row>
    <row r="879" spans="15:17" s="383" customFormat="1">
      <c r="O879" s="1004"/>
      <c r="P879" s="1004"/>
      <c r="Q879" s="1004"/>
    </row>
    <row r="880" spans="15:17" s="383" customFormat="1">
      <c r="O880" s="1004"/>
      <c r="P880" s="1004"/>
      <c r="Q880" s="1004"/>
    </row>
    <row r="881" spans="15:17" s="383" customFormat="1">
      <c r="O881" s="1004"/>
      <c r="P881" s="1004"/>
      <c r="Q881" s="1004"/>
    </row>
    <row r="882" spans="15:17" s="383" customFormat="1">
      <c r="O882" s="1004"/>
      <c r="P882" s="1004"/>
      <c r="Q882" s="1004"/>
    </row>
    <row r="883" spans="15:17" s="383" customFormat="1">
      <c r="O883" s="1004"/>
      <c r="P883" s="1004"/>
      <c r="Q883" s="1004"/>
    </row>
    <row r="884" spans="15:17" s="383" customFormat="1">
      <c r="O884" s="1004"/>
      <c r="P884" s="1004"/>
      <c r="Q884" s="1004"/>
    </row>
    <row r="885" spans="15:17" s="383" customFormat="1">
      <c r="O885" s="1004"/>
      <c r="P885" s="1004"/>
      <c r="Q885" s="1004"/>
    </row>
    <row r="886" spans="15:17" s="383" customFormat="1">
      <c r="O886" s="1004"/>
      <c r="P886" s="1004"/>
      <c r="Q886" s="1004"/>
    </row>
    <row r="887" spans="15:17" s="383" customFormat="1">
      <c r="O887" s="1004"/>
      <c r="P887" s="1004"/>
      <c r="Q887" s="1004"/>
    </row>
    <row r="888" spans="15:17" s="383" customFormat="1">
      <c r="O888" s="1004"/>
      <c r="P888" s="1004"/>
      <c r="Q888" s="1004"/>
    </row>
    <row r="889" spans="15:17" s="383" customFormat="1">
      <c r="O889" s="1004"/>
      <c r="P889" s="1004"/>
      <c r="Q889" s="1004"/>
    </row>
    <row r="890" spans="15:17" s="383" customFormat="1">
      <c r="O890" s="1004"/>
      <c r="P890" s="1004"/>
      <c r="Q890" s="1004"/>
    </row>
    <row r="891" spans="15:17" s="383" customFormat="1">
      <c r="O891" s="1004"/>
      <c r="P891" s="1004"/>
      <c r="Q891" s="1004"/>
    </row>
    <row r="892" spans="15:17" s="383" customFormat="1">
      <c r="O892" s="1004"/>
      <c r="P892" s="1004"/>
      <c r="Q892" s="1004"/>
    </row>
    <row r="893" spans="15:17" s="383" customFormat="1">
      <c r="O893" s="1004"/>
      <c r="P893" s="1004"/>
      <c r="Q893" s="1004"/>
    </row>
    <row r="894" spans="15:17" s="383" customFormat="1">
      <c r="O894" s="1004"/>
      <c r="P894" s="1004"/>
      <c r="Q894" s="1004"/>
    </row>
    <row r="895" spans="15:17" s="383" customFormat="1">
      <c r="O895" s="1004"/>
      <c r="P895" s="1004"/>
      <c r="Q895" s="1004"/>
    </row>
    <row r="896" spans="15:17" s="383" customFormat="1">
      <c r="O896" s="1004"/>
      <c r="P896" s="1004"/>
      <c r="Q896" s="1004"/>
    </row>
    <row r="897" spans="15:17" s="383" customFormat="1">
      <c r="O897" s="1004"/>
      <c r="P897" s="1004"/>
      <c r="Q897" s="1004"/>
    </row>
    <row r="898" spans="15:17" s="383" customFormat="1">
      <c r="O898" s="1004"/>
      <c r="P898" s="1004"/>
      <c r="Q898" s="1004"/>
    </row>
    <row r="899" spans="15:17" s="383" customFormat="1">
      <c r="O899" s="1004"/>
      <c r="P899" s="1004"/>
      <c r="Q899" s="1004"/>
    </row>
    <row r="900" spans="15:17" s="383" customFormat="1">
      <c r="O900" s="1004"/>
      <c r="P900" s="1004"/>
      <c r="Q900" s="1004"/>
    </row>
    <row r="901" spans="15:17" s="383" customFormat="1">
      <c r="O901" s="1004"/>
      <c r="P901" s="1004"/>
      <c r="Q901" s="1004"/>
    </row>
    <row r="902" spans="15:17" s="383" customFormat="1">
      <c r="O902" s="1004"/>
      <c r="P902" s="1004"/>
      <c r="Q902" s="1004"/>
    </row>
    <row r="903" spans="15:17" s="383" customFormat="1">
      <c r="O903" s="1004"/>
      <c r="P903" s="1004"/>
      <c r="Q903" s="1004"/>
    </row>
    <row r="904" spans="15:17" s="383" customFormat="1">
      <c r="O904" s="1004"/>
      <c r="P904" s="1004"/>
      <c r="Q904" s="1004"/>
    </row>
    <row r="905" spans="15:17" s="383" customFormat="1">
      <c r="O905" s="1004"/>
      <c r="P905" s="1004"/>
      <c r="Q905" s="1004"/>
    </row>
    <row r="906" spans="15:17" s="383" customFormat="1">
      <c r="O906" s="1004"/>
      <c r="P906" s="1004"/>
      <c r="Q906" s="1004"/>
    </row>
    <row r="907" spans="15:17" s="383" customFormat="1">
      <c r="O907" s="1004"/>
      <c r="P907" s="1004"/>
      <c r="Q907" s="1004"/>
    </row>
    <row r="908" spans="15:17" s="383" customFormat="1">
      <c r="O908" s="1004"/>
      <c r="P908" s="1004"/>
      <c r="Q908" s="1004"/>
    </row>
    <row r="909" spans="15:17" s="383" customFormat="1">
      <c r="O909" s="1004"/>
      <c r="P909" s="1004"/>
      <c r="Q909" s="1004"/>
    </row>
    <row r="910" spans="15:17" s="383" customFormat="1">
      <c r="O910" s="1004"/>
      <c r="P910" s="1004"/>
      <c r="Q910" s="1004"/>
    </row>
    <row r="911" spans="15:17" s="383" customFormat="1">
      <c r="O911" s="1004"/>
      <c r="P911" s="1004"/>
      <c r="Q911" s="1004"/>
    </row>
    <row r="912" spans="15:17" s="383" customFormat="1">
      <c r="O912" s="1004"/>
      <c r="P912" s="1004"/>
      <c r="Q912" s="1004"/>
    </row>
    <row r="913" spans="15:17" s="383" customFormat="1">
      <c r="O913" s="1004"/>
      <c r="P913" s="1004"/>
      <c r="Q913" s="1004"/>
    </row>
    <row r="914" spans="15:17" s="383" customFormat="1">
      <c r="O914" s="1004"/>
      <c r="P914" s="1004"/>
      <c r="Q914" s="1004"/>
    </row>
    <row r="915" spans="15:17" s="383" customFormat="1">
      <c r="O915" s="1004"/>
      <c r="P915" s="1004"/>
      <c r="Q915" s="1004"/>
    </row>
    <row r="916" spans="15:17" s="383" customFormat="1">
      <c r="O916" s="1004"/>
      <c r="P916" s="1004"/>
      <c r="Q916" s="1004"/>
    </row>
    <row r="917" spans="15:17" s="383" customFormat="1">
      <c r="O917" s="1004"/>
      <c r="P917" s="1004"/>
      <c r="Q917" s="1004"/>
    </row>
    <row r="918" spans="15:17" s="383" customFormat="1">
      <c r="O918" s="1004"/>
      <c r="P918" s="1004"/>
      <c r="Q918" s="1004"/>
    </row>
    <row r="919" spans="15:17" s="383" customFormat="1">
      <c r="O919" s="1004"/>
      <c r="P919" s="1004"/>
      <c r="Q919" s="1004"/>
    </row>
    <row r="920" spans="15:17" s="383" customFormat="1">
      <c r="O920" s="1004"/>
      <c r="P920" s="1004"/>
      <c r="Q920" s="1004"/>
    </row>
    <row r="921" spans="15:17" s="383" customFormat="1">
      <c r="O921" s="1004"/>
      <c r="P921" s="1004"/>
      <c r="Q921" s="1004"/>
    </row>
    <row r="922" spans="15:17" s="383" customFormat="1">
      <c r="O922" s="1004"/>
      <c r="P922" s="1004"/>
      <c r="Q922" s="1004"/>
    </row>
    <row r="923" spans="15:17" s="383" customFormat="1">
      <c r="O923" s="1004"/>
      <c r="P923" s="1004"/>
      <c r="Q923" s="1004"/>
    </row>
    <row r="924" spans="15:17" s="383" customFormat="1">
      <c r="O924" s="1004"/>
      <c r="P924" s="1004"/>
      <c r="Q924" s="1004"/>
    </row>
    <row r="925" spans="15:17" s="383" customFormat="1">
      <c r="O925" s="1004"/>
      <c r="P925" s="1004"/>
      <c r="Q925" s="1004"/>
    </row>
    <row r="926" spans="15:17" s="383" customFormat="1">
      <c r="O926" s="1004"/>
      <c r="P926" s="1004"/>
      <c r="Q926" s="1004"/>
    </row>
    <row r="927" spans="15:17" s="383" customFormat="1">
      <c r="O927" s="1004"/>
      <c r="P927" s="1004"/>
      <c r="Q927" s="1004"/>
    </row>
    <row r="928" spans="15:17" s="383" customFormat="1">
      <c r="O928" s="1004"/>
      <c r="P928" s="1004"/>
      <c r="Q928" s="1004"/>
    </row>
    <row r="929" spans="15:17" s="383" customFormat="1">
      <c r="O929" s="1004"/>
      <c r="P929" s="1004"/>
      <c r="Q929" s="1004"/>
    </row>
    <row r="930" spans="15:17" s="383" customFormat="1">
      <c r="O930" s="1004"/>
      <c r="P930" s="1004"/>
      <c r="Q930" s="1004"/>
    </row>
    <row r="931" spans="15:17" s="383" customFormat="1">
      <c r="O931" s="1004"/>
      <c r="P931" s="1004"/>
      <c r="Q931" s="1004"/>
    </row>
    <row r="932" spans="15:17" s="383" customFormat="1">
      <c r="O932" s="1004"/>
      <c r="P932" s="1004"/>
      <c r="Q932" s="1004"/>
    </row>
    <row r="933" spans="15:17" s="383" customFormat="1">
      <c r="O933" s="1004"/>
      <c r="P933" s="1004"/>
      <c r="Q933" s="1004"/>
    </row>
    <row r="934" spans="15:17" s="383" customFormat="1">
      <c r="O934" s="1004"/>
      <c r="P934" s="1004"/>
      <c r="Q934" s="1004"/>
    </row>
    <row r="935" spans="15:17" s="383" customFormat="1">
      <c r="O935" s="1004"/>
      <c r="P935" s="1004"/>
      <c r="Q935" s="1004"/>
    </row>
    <row r="936" spans="15:17" s="383" customFormat="1">
      <c r="O936" s="1004"/>
      <c r="P936" s="1004"/>
      <c r="Q936" s="1004"/>
    </row>
    <row r="937" spans="15:17" s="383" customFormat="1">
      <c r="O937" s="1004"/>
      <c r="P937" s="1004"/>
      <c r="Q937" s="1004"/>
    </row>
    <row r="938" spans="15:17" s="383" customFormat="1">
      <c r="O938" s="1004"/>
      <c r="P938" s="1004"/>
      <c r="Q938" s="1004"/>
    </row>
    <row r="939" spans="15:17" s="383" customFormat="1">
      <c r="O939" s="1004"/>
      <c r="P939" s="1004"/>
      <c r="Q939" s="1004"/>
    </row>
    <row r="940" spans="15:17" s="383" customFormat="1">
      <c r="O940" s="1004"/>
      <c r="P940" s="1004"/>
      <c r="Q940" s="1004"/>
    </row>
    <row r="941" spans="15:17" s="383" customFormat="1">
      <c r="O941" s="1004"/>
      <c r="P941" s="1004"/>
      <c r="Q941" s="1004"/>
    </row>
    <row r="942" spans="15:17" s="383" customFormat="1">
      <c r="O942" s="1004"/>
      <c r="P942" s="1004"/>
      <c r="Q942" s="1004"/>
    </row>
    <row r="943" spans="15:17" s="383" customFormat="1">
      <c r="O943" s="1004"/>
      <c r="P943" s="1004"/>
      <c r="Q943" s="1004"/>
    </row>
    <row r="944" spans="15:17" s="383" customFormat="1">
      <c r="O944" s="1004"/>
      <c r="P944" s="1004"/>
      <c r="Q944" s="1004"/>
    </row>
    <row r="945" spans="15:17" s="383" customFormat="1">
      <c r="O945" s="1004"/>
      <c r="P945" s="1004"/>
      <c r="Q945" s="1004"/>
    </row>
    <row r="946" spans="15:17" s="383" customFormat="1">
      <c r="O946" s="1004"/>
      <c r="P946" s="1004"/>
      <c r="Q946" s="1004"/>
    </row>
    <row r="947" spans="15:17" s="383" customFormat="1">
      <c r="O947" s="1004"/>
      <c r="P947" s="1004"/>
      <c r="Q947" s="1004"/>
    </row>
    <row r="948" spans="15:17" s="383" customFormat="1">
      <c r="O948" s="1004"/>
      <c r="P948" s="1004"/>
      <c r="Q948" s="1004"/>
    </row>
    <row r="949" spans="15:17" s="383" customFormat="1">
      <c r="O949" s="1004"/>
      <c r="P949" s="1004"/>
      <c r="Q949" s="1004"/>
    </row>
    <row r="950" spans="15:17" s="383" customFormat="1">
      <c r="O950" s="1004"/>
      <c r="P950" s="1004"/>
      <c r="Q950" s="1004"/>
    </row>
    <row r="951" spans="15:17" s="383" customFormat="1">
      <c r="O951" s="1004"/>
      <c r="P951" s="1004"/>
      <c r="Q951" s="1004"/>
    </row>
    <row r="952" spans="15:17" s="383" customFormat="1">
      <c r="O952" s="1004"/>
      <c r="P952" s="1004"/>
      <c r="Q952" s="1004"/>
    </row>
    <row r="953" spans="15:17" s="383" customFormat="1">
      <c r="O953" s="1004"/>
      <c r="P953" s="1004"/>
      <c r="Q953" s="1004"/>
    </row>
    <row r="954" spans="15:17" s="383" customFormat="1">
      <c r="O954" s="1004"/>
      <c r="P954" s="1004"/>
      <c r="Q954" s="1004"/>
    </row>
    <row r="955" spans="15:17" s="383" customFormat="1">
      <c r="O955" s="1004"/>
      <c r="P955" s="1004"/>
      <c r="Q955" s="1004"/>
    </row>
    <row r="956" spans="15:17" s="383" customFormat="1">
      <c r="O956" s="1004"/>
      <c r="P956" s="1004"/>
      <c r="Q956" s="1004"/>
    </row>
    <row r="957" spans="15:17" s="383" customFormat="1">
      <c r="O957" s="1004"/>
      <c r="P957" s="1004"/>
      <c r="Q957" s="1004"/>
    </row>
    <row r="958" spans="15:17" s="383" customFormat="1">
      <c r="O958" s="1004"/>
      <c r="P958" s="1004"/>
      <c r="Q958" s="1004"/>
    </row>
    <row r="959" spans="15:17" s="383" customFormat="1">
      <c r="O959" s="1004"/>
      <c r="P959" s="1004"/>
      <c r="Q959" s="1004"/>
    </row>
    <row r="960" spans="15:17" s="383" customFormat="1">
      <c r="O960" s="1004"/>
      <c r="P960" s="1004"/>
      <c r="Q960" s="1004"/>
    </row>
    <row r="961" spans="15:17" s="383" customFormat="1">
      <c r="O961" s="1004"/>
      <c r="P961" s="1004"/>
      <c r="Q961" s="1004"/>
    </row>
    <row r="962" spans="15:17" s="383" customFormat="1">
      <c r="O962" s="1004"/>
      <c r="P962" s="1004"/>
      <c r="Q962" s="1004"/>
    </row>
    <row r="963" spans="15:17" s="383" customFormat="1">
      <c r="O963" s="1004"/>
      <c r="P963" s="1004"/>
      <c r="Q963" s="1004"/>
    </row>
    <row r="964" spans="15:17" s="383" customFormat="1">
      <c r="O964" s="1004"/>
      <c r="P964" s="1004"/>
      <c r="Q964" s="1004"/>
    </row>
    <row r="965" spans="15:17" s="383" customFormat="1">
      <c r="O965" s="1004"/>
      <c r="P965" s="1004"/>
      <c r="Q965" s="1004"/>
    </row>
    <row r="966" spans="15:17" s="383" customFormat="1">
      <c r="O966" s="1004"/>
      <c r="P966" s="1004"/>
      <c r="Q966" s="1004"/>
    </row>
    <row r="967" spans="15:17" s="383" customFormat="1">
      <c r="O967" s="1004"/>
      <c r="P967" s="1004"/>
      <c r="Q967" s="1004"/>
    </row>
    <row r="968" spans="15:17" s="383" customFormat="1">
      <c r="O968" s="1004"/>
      <c r="P968" s="1004"/>
      <c r="Q968" s="1004"/>
    </row>
    <row r="969" spans="15:17" s="383" customFormat="1">
      <c r="O969" s="1004"/>
      <c r="P969" s="1004"/>
      <c r="Q969" s="1004"/>
    </row>
    <row r="970" spans="15:17" s="383" customFormat="1">
      <c r="O970" s="1004"/>
      <c r="P970" s="1004"/>
      <c r="Q970" s="1004"/>
    </row>
    <row r="971" spans="15:17" s="383" customFormat="1">
      <c r="O971" s="1004"/>
      <c r="P971" s="1004"/>
      <c r="Q971" s="1004"/>
    </row>
    <row r="972" spans="15:17" s="383" customFormat="1">
      <c r="O972" s="1004"/>
      <c r="P972" s="1004"/>
      <c r="Q972" s="1004"/>
    </row>
    <row r="973" spans="15:17" s="383" customFormat="1">
      <c r="O973" s="1004"/>
      <c r="P973" s="1004"/>
      <c r="Q973" s="1004"/>
    </row>
    <row r="974" spans="15:17" s="383" customFormat="1">
      <c r="O974" s="1004"/>
      <c r="P974" s="1004"/>
      <c r="Q974" s="1004"/>
    </row>
    <row r="975" spans="15:17" s="383" customFormat="1">
      <c r="O975" s="1004"/>
      <c r="P975" s="1004"/>
      <c r="Q975" s="1004"/>
    </row>
    <row r="976" spans="15:17" s="383" customFormat="1">
      <c r="O976" s="1004"/>
      <c r="P976" s="1004"/>
      <c r="Q976" s="1004"/>
    </row>
    <row r="977" spans="15:17" s="383" customFormat="1">
      <c r="O977" s="1004"/>
      <c r="P977" s="1004"/>
      <c r="Q977" s="1004"/>
    </row>
    <row r="978" spans="15:17" s="383" customFormat="1">
      <c r="O978" s="1004"/>
      <c r="P978" s="1004"/>
      <c r="Q978" s="1004"/>
    </row>
    <row r="979" spans="15:17" s="383" customFormat="1">
      <c r="O979" s="1004"/>
      <c r="P979" s="1004"/>
      <c r="Q979" s="1004"/>
    </row>
    <row r="980" spans="15:17" s="383" customFormat="1">
      <c r="O980" s="1004"/>
      <c r="P980" s="1004"/>
      <c r="Q980" s="1004"/>
    </row>
    <row r="981" spans="15:17" s="383" customFormat="1">
      <c r="O981" s="1004"/>
      <c r="P981" s="1004"/>
      <c r="Q981" s="1004"/>
    </row>
    <row r="982" spans="15:17" s="383" customFormat="1">
      <c r="O982" s="1004"/>
      <c r="P982" s="1004"/>
      <c r="Q982" s="1004"/>
    </row>
    <row r="983" spans="15:17" s="383" customFormat="1">
      <c r="O983" s="1004"/>
      <c r="P983" s="1004"/>
      <c r="Q983" s="1004"/>
    </row>
    <row r="984" spans="15:17" s="383" customFormat="1">
      <c r="O984" s="1004"/>
      <c r="P984" s="1004"/>
      <c r="Q984" s="1004"/>
    </row>
    <row r="985" spans="15:17" s="383" customFormat="1">
      <c r="O985" s="1004"/>
      <c r="P985" s="1004"/>
      <c r="Q985" s="1004"/>
    </row>
    <row r="986" spans="15:17" s="383" customFormat="1">
      <c r="O986" s="1004"/>
      <c r="P986" s="1004"/>
      <c r="Q986" s="1004"/>
    </row>
    <row r="987" spans="15:17" s="383" customFormat="1">
      <c r="O987" s="1004"/>
      <c r="P987" s="1004"/>
      <c r="Q987" s="1004"/>
    </row>
    <row r="988" spans="15:17" s="383" customFormat="1">
      <c r="O988" s="1004"/>
      <c r="P988" s="1004"/>
      <c r="Q988" s="1004"/>
    </row>
    <row r="989" spans="15:17" s="383" customFormat="1">
      <c r="O989" s="1004"/>
      <c r="P989" s="1004"/>
      <c r="Q989" s="1004"/>
    </row>
    <row r="990" spans="15:17" s="383" customFormat="1">
      <c r="O990" s="1004"/>
      <c r="P990" s="1004"/>
      <c r="Q990" s="1004"/>
    </row>
    <row r="991" spans="15:17" s="383" customFormat="1">
      <c r="O991" s="1004"/>
      <c r="P991" s="1004"/>
      <c r="Q991" s="1004"/>
    </row>
    <row r="992" spans="15:17" s="383" customFormat="1">
      <c r="O992" s="1004"/>
      <c r="P992" s="1004"/>
      <c r="Q992" s="1004"/>
    </row>
    <row r="993" spans="15:17" s="383" customFormat="1">
      <c r="O993" s="1004"/>
      <c r="P993" s="1004"/>
      <c r="Q993" s="1004"/>
    </row>
    <row r="994" spans="15:17" s="383" customFormat="1">
      <c r="O994" s="1004"/>
      <c r="P994" s="1004"/>
      <c r="Q994" s="1004"/>
    </row>
    <row r="995" spans="15:17" s="383" customFormat="1">
      <c r="O995" s="1004"/>
      <c r="P995" s="1004"/>
      <c r="Q995" s="1004"/>
    </row>
    <row r="996" spans="15:17" s="383" customFormat="1">
      <c r="O996" s="1004"/>
      <c r="P996" s="1004"/>
      <c r="Q996" s="1004"/>
    </row>
    <row r="997" spans="15:17" s="383" customFormat="1">
      <c r="O997" s="1004"/>
      <c r="P997" s="1004"/>
      <c r="Q997" s="1004"/>
    </row>
    <row r="998" spans="15:17" s="383" customFormat="1">
      <c r="O998" s="1004"/>
      <c r="P998" s="1004"/>
      <c r="Q998" s="1004"/>
    </row>
    <row r="999" spans="15:17" s="383" customFormat="1">
      <c r="O999" s="1004"/>
      <c r="P999" s="1004"/>
      <c r="Q999" s="1004"/>
    </row>
    <row r="1000" spans="15:17" s="383" customFormat="1">
      <c r="O1000" s="1004"/>
      <c r="P1000" s="1004"/>
      <c r="Q1000" s="1004"/>
    </row>
    <row r="1001" spans="15:17" s="383" customFormat="1">
      <c r="O1001" s="1004"/>
      <c r="P1001" s="1004"/>
      <c r="Q1001" s="1004"/>
    </row>
    <row r="1002" spans="15:17" s="383" customFormat="1">
      <c r="O1002" s="1004"/>
      <c r="P1002" s="1004"/>
      <c r="Q1002" s="1004"/>
    </row>
    <row r="1003" spans="15:17" s="383" customFormat="1">
      <c r="O1003" s="1004"/>
      <c r="P1003" s="1004"/>
      <c r="Q1003" s="1004"/>
    </row>
    <row r="1004" spans="15:17" s="383" customFormat="1">
      <c r="O1004" s="1004"/>
      <c r="P1004" s="1004"/>
      <c r="Q1004" s="1004"/>
    </row>
    <row r="1005" spans="15:17" s="383" customFormat="1">
      <c r="O1005" s="1004"/>
      <c r="P1005" s="1004"/>
      <c r="Q1005" s="1004"/>
    </row>
    <row r="1006" spans="15:17" s="383" customFormat="1">
      <c r="O1006" s="1004"/>
      <c r="P1006" s="1004"/>
      <c r="Q1006" s="1004"/>
    </row>
    <row r="1007" spans="15:17" s="383" customFormat="1">
      <c r="O1007" s="1004"/>
      <c r="P1007" s="1004"/>
      <c r="Q1007" s="1004"/>
    </row>
    <row r="1008" spans="15:17" s="383" customFormat="1">
      <c r="O1008" s="1004"/>
      <c r="P1008" s="1004"/>
      <c r="Q1008" s="1004"/>
    </row>
    <row r="1009" spans="15:17" s="383" customFormat="1">
      <c r="O1009" s="1004"/>
      <c r="P1009" s="1004"/>
      <c r="Q1009" s="1004"/>
    </row>
    <row r="1010" spans="15:17" s="383" customFormat="1">
      <c r="O1010" s="1004"/>
      <c r="P1010" s="1004"/>
      <c r="Q1010" s="1004"/>
    </row>
    <row r="1011" spans="15:17" s="383" customFormat="1">
      <c r="O1011" s="1004"/>
      <c r="P1011" s="1004"/>
      <c r="Q1011" s="1004"/>
    </row>
    <row r="1012" spans="15:17" s="383" customFormat="1">
      <c r="O1012" s="1004"/>
      <c r="P1012" s="1004"/>
      <c r="Q1012" s="1004"/>
    </row>
    <row r="1013" spans="15:17" s="383" customFormat="1">
      <c r="O1013" s="1004"/>
      <c r="P1013" s="1004"/>
      <c r="Q1013" s="1004"/>
    </row>
    <row r="1014" spans="15:17" s="383" customFormat="1">
      <c r="O1014" s="1004"/>
      <c r="P1014" s="1004"/>
      <c r="Q1014" s="1004"/>
    </row>
    <row r="1015" spans="15:17" s="383" customFormat="1">
      <c r="O1015" s="1004"/>
      <c r="P1015" s="1004"/>
      <c r="Q1015" s="1004"/>
    </row>
    <row r="1016" spans="15:17" s="383" customFormat="1">
      <c r="O1016" s="1004"/>
      <c r="P1016" s="1004"/>
      <c r="Q1016" s="1004"/>
    </row>
    <row r="1017" spans="15:17" s="383" customFormat="1">
      <c r="O1017" s="1004"/>
      <c r="P1017" s="1004"/>
      <c r="Q1017" s="1004"/>
    </row>
    <row r="1018" spans="15:17" s="383" customFormat="1">
      <c r="O1018" s="1004"/>
      <c r="P1018" s="1004"/>
      <c r="Q1018" s="1004"/>
    </row>
    <row r="1019" spans="15:17" s="383" customFormat="1">
      <c r="O1019" s="1004"/>
      <c r="P1019" s="1004"/>
      <c r="Q1019" s="1004"/>
    </row>
    <row r="1020" spans="15:17" s="383" customFormat="1">
      <c r="O1020" s="1004"/>
      <c r="P1020" s="1004"/>
      <c r="Q1020" s="1004"/>
    </row>
    <row r="1021" spans="15:17" s="383" customFormat="1">
      <c r="O1021" s="1004"/>
      <c r="P1021" s="1004"/>
      <c r="Q1021" s="1004"/>
    </row>
    <row r="1022" spans="15:17" s="383" customFormat="1">
      <c r="O1022" s="1004"/>
      <c r="P1022" s="1004"/>
      <c r="Q1022" s="1004"/>
    </row>
    <row r="1023" spans="15:17" s="383" customFormat="1">
      <c r="O1023" s="1004"/>
      <c r="P1023" s="1004"/>
      <c r="Q1023" s="1004"/>
    </row>
    <row r="1024" spans="15:17" s="383" customFormat="1">
      <c r="O1024" s="1004"/>
      <c r="P1024" s="1004"/>
      <c r="Q1024" s="1004"/>
    </row>
    <row r="1025" spans="15:17" s="383" customFormat="1">
      <c r="O1025" s="1004"/>
      <c r="P1025" s="1004"/>
      <c r="Q1025" s="1004"/>
    </row>
    <row r="1026" spans="15:17" s="383" customFormat="1">
      <c r="O1026" s="1004"/>
      <c r="P1026" s="1004"/>
      <c r="Q1026" s="1004"/>
    </row>
    <row r="1027" spans="15:17" s="383" customFormat="1">
      <c r="O1027" s="1004"/>
      <c r="P1027" s="1004"/>
      <c r="Q1027" s="1004"/>
    </row>
    <row r="1028" spans="15:17" s="383" customFormat="1">
      <c r="O1028" s="1004"/>
      <c r="P1028" s="1004"/>
      <c r="Q1028" s="1004"/>
    </row>
    <row r="1029" spans="15:17" s="383" customFormat="1">
      <c r="O1029" s="1004"/>
      <c r="P1029" s="1004"/>
      <c r="Q1029" s="1004"/>
    </row>
    <row r="1030" spans="15:17" s="383" customFormat="1">
      <c r="O1030" s="1004"/>
      <c r="P1030" s="1004"/>
      <c r="Q1030" s="1004"/>
    </row>
    <row r="1031" spans="15:17" s="383" customFormat="1">
      <c r="O1031" s="1004"/>
      <c r="P1031" s="1004"/>
      <c r="Q1031" s="1004"/>
    </row>
    <row r="1032" spans="15:17" s="383" customFormat="1">
      <c r="O1032" s="1004"/>
      <c r="P1032" s="1004"/>
      <c r="Q1032" s="1004"/>
    </row>
    <row r="1033" spans="15:17" s="383" customFormat="1">
      <c r="O1033" s="1004"/>
      <c r="P1033" s="1004"/>
      <c r="Q1033" s="1004"/>
    </row>
    <row r="1034" spans="15:17" s="383" customFormat="1">
      <c r="O1034" s="1004"/>
      <c r="P1034" s="1004"/>
      <c r="Q1034" s="1004"/>
    </row>
    <row r="1035" spans="15:17" s="383" customFormat="1">
      <c r="O1035" s="1004"/>
      <c r="P1035" s="1004"/>
      <c r="Q1035" s="1004"/>
    </row>
    <row r="1036" spans="15:17" s="383" customFormat="1">
      <c r="O1036" s="1004"/>
      <c r="P1036" s="1004"/>
      <c r="Q1036" s="1004"/>
    </row>
    <row r="1037" spans="15:17" s="383" customFormat="1">
      <c r="O1037" s="1004"/>
      <c r="P1037" s="1004"/>
      <c r="Q1037" s="1004"/>
    </row>
    <row r="1038" spans="15:17" s="383" customFormat="1">
      <c r="O1038" s="1004"/>
      <c r="P1038" s="1004"/>
      <c r="Q1038" s="1004"/>
    </row>
    <row r="1039" spans="15:17" s="383" customFormat="1">
      <c r="O1039" s="1004"/>
      <c r="P1039" s="1004"/>
      <c r="Q1039" s="1004"/>
    </row>
    <row r="1040" spans="15:17" s="383" customFormat="1">
      <c r="O1040" s="1004"/>
      <c r="P1040" s="1004"/>
      <c r="Q1040" s="1004"/>
    </row>
    <row r="1041" spans="15:17" s="383" customFormat="1">
      <c r="O1041" s="1004"/>
      <c r="P1041" s="1004"/>
      <c r="Q1041" s="1004"/>
    </row>
    <row r="1042" spans="15:17" s="383" customFormat="1">
      <c r="O1042" s="1004"/>
      <c r="P1042" s="1004"/>
      <c r="Q1042" s="1004"/>
    </row>
    <row r="1043" spans="15:17" s="383" customFormat="1">
      <c r="O1043" s="1004"/>
      <c r="P1043" s="1004"/>
      <c r="Q1043" s="1004"/>
    </row>
    <row r="1044" spans="15:17" s="383" customFormat="1">
      <c r="O1044" s="1004"/>
      <c r="P1044" s="1004"/>
      <c r="Q1044" s="1004"/>
    </row>
    <row r="1045" spans="15:17" s="383" customFormat="1">
      <c r="O1045" s="1004"/>
      <c r="P1045" s="1004"/>
      <c r="Q1045" s="1004"/>
    </row>
    <row r="1046" spans="15:17" s="383" customFormat="1">
      <c r="O1046" s="1004"/>
      <c r="P1046" s="1004"/>
      <c r="Q1046" s="1004"/>
    </row>
    <row r="1047" spans="15:17" s="383" customFormat="1">
      <c r="O1047" s="1004"/>
      <c r="P1047" s="1004"/>
      <c r="Q1047" s="1004"/>
    </row>
    <row r="1048" spans="15:17" s="383" customFormat="1">
      <c r="O1048" s="1004"/>
      <c r="P1048" s="1004"/>
      <c r="Q1048" s="1004"/>
    </row>
    <row r="1049" spans="15:17" s="383" customFormat="1">
      <c r="O1049" s="1004"/>
      <c r="P1049" s="1004"/>
      <c r="Q1049" s="1004"/>
    </row>
    <row r="1050" spans="15:17" s="383" customFormat="1">
      <c r="O1050" s="1004"/>
      <c r="P1050" s="1004"/>
      <c r="Q1050" s="1004"/>
    </row>
    <row r="1051" spans="15:17" s="383" customFormat="1">
      <c r="O1051" s="1004"/>
      <c r="P1051" s="1004"/>
      <c r="Q1051" s="1004"/>
    </row>
    <row r="1052" spans="15:17" s="383" customFormat="1">
      <c r="O1052" s="1004"/>
      <c r="P1052" s="1004"/>
      <c r="Q1052" s="1004"/>
    </row>
    <row r="1053" spans="15:17" s="383" customFormat="1">
      <c r="O1053" s="1004"/>
      <c r="P1053" s="1004"/>
      <c r="Q1053" s="1004"/>
    </row>
    <row r="1054" spans="15:17" s="383" customFormat="1">
      <c r="O1054" s="1004"/>
      <c r="P1054" s="1004"/>
      <c r="Q1054" s="1004"/>
    </row>
    <row r="1055" spans="15:17" s="383" customFormat="1">
      <c r="O1055" s="1004"/>
      <c r="P1055" s="1004"/>
      <c r="Q1055" s="1004"/>
    </row>
    <row r="1056" spans="15:17" s="383" customFormat="1">
      <c r="O1056" s="1004"/>
      <c r="P1056" s="1004"/>
      <c r="Q1056" s="1004"/>
    </row>
    <row r="1057" spans="15:17" s="383" customFormat="1">
      <c r="O1057" s="1004"/>
      <c r="P1057" s="1004"/>
      <c r="Q1057" s="1004"/>
    </row>
    <row r="1058" spans="15:17" s="383" customFormat="1">
      <c r="O1058" s="1004"/>
      <c r="P1058" s="1004"/>
      <c r="Q1058" s="1004"/>
    </row>
    <row r="1059" spans="15:17" s="383" customFormat="1">
      <c r="O1059" s="1004"/>
      <c r="P1059" s="1004"/>
      <c r="Q1059" s="1004"/>
    </row>
    <row r="1060" spans="15:17" s="383" customFormat="1">
      <c r="O1060" s="1004"/>
      <c r="P1060" s="1004"/>
      <c r="Q1060" s="1004"/>
    </row>
    <row r="1061" spans="15:17" s="383" customFormat="1">
      <c r="O1061" s="1004"/>
      <c r="P1061" s="1004"/>
      <c r="Q1061" s="1004"/>
    </row>
    <row r="1062" spans="15:17" s="383" customFormat="1">
      <c r="O1062" s="1004"/>
      <c r="P1062" s="1004"/>
      <c r="Q1062" s="1004"/>
    </row>
    <row r="1063" spans="15:17" s="383" customFormat="1">
      <c r="O1063" s="1004"/>
      <c r="P1063" s="1004"/>
      <c r="Q1063" s="1004"/>
    </row>
    <row r="1064" spans="15:17" s="383" customFormat="1">
      <c r="O1064" s="1004"/>
      <c r="P1064" s="1004"/>
      <c r="Q1064" s="1004"/>
    </row>
    <row r="1065" spans="15:17" s="383" customFormat="1">
      <c r="O1065" s="1004"/>
      <c r="P1065" s="1004"/>
      <c r="Q1065" s="1004"/>
    </row>
    <row r="1066" spans="15:17" s="383" customFormat="1">
      <c r="O1066" s="1004"/>
      <c r="P1066" s="1004"/>
      <c r="Q1066" s="1004"/>
    </row>
    <row r="1067" spans="15:17" s="383" customFormat="1">
      <c r="O1067" s="1004"/>
      <c r="P1067" s="1004"/>
      <c r="Q1067" s="1004"/>
    </row>
    <row r="1068" spans="15:17" s="383" customFormat="1">
      <c r="O1068" s="1004"/>
      <c r="P1068" s="1004"/>
      <c r="Q1068" s="1004"/>
    </row>
    <row r="1069" spans="15:17" s="383" customFormat="1">
      <c r="O1069" s="1004"/>
      <c r="P1069" s="1004"/>
      <c r="Q1069" s="1004"/>
    </row>
    <row r="1070" spans="15:17" s="383" customFormat="1">
      <c r="O1070" s="1004"/>
      <c r="P1070" s="1004"/>
      <c r="Q1070" s="1004"/>
    </row>
    <row r="1071" spans="15:17" s="383" customFormat="1">
      <c r="O1071" s="1004"/>
      <c r="P1071" s="1004"/>
      <c r="Q1071" s="1004"/>
    </row>
    <row r="1072" spans="15:17" s="383" customFormat="1">
      <c r="O1072" s="1004"/>
      <c r="P1072" s="1004"/>
      <c r="Q1072" s="1004"/>
    </row>
    <row r="1073" spans="15:17" s="383" customFormat="1">
      <c r="O1073" s="1004"/>
      <c r="P1073" s="1004"/>
      <c r="Q1073" s="1004"/>
    </row>
    <row r="1074" spans="15:17" s="383" customFormat="1">
      <c r="O1074" s="1004"/>
      <c r="P1074" s="1004"/>
      <c r="Q1074" s="1004"/>
    </row>
    <row r="1075" spans="15:17" s="383" customFormat="1">
      <c r="O1075" s="1004"/>
      <c r="P1075" s="1004"/>
      <c r="Q1075" s="1004"/>
    </row>
    <row r="1076" spans="15:17" s="383" customFormat="1">
      <c r="O1076" s="1004"/>
      <c r="P1076" s="1004"/>
      <c r="Q1076" s="1004"/>
    </row>
    <row r="1077" spans="15:17" s="383" customFormat="1">
      <c r="O1077" s="1004"/>
      <c r="P1077" s="1004"/>
      <c r="Q1077" s="1004"/>
    </row>
    <row r="1078" spans="15:17" s="383" customFormat="1">
      <c r="O1078" s="1004"/>
      <c r="P1078" s="1004"/>
      <c r="Q1078" s="1004"/>
    </row>
    <row r="1079" spans="15:17" s="383" customFormat="1">
      <c r="O1079" s="1004"/>
      <c r="P1079" s="1004"/>
      <c r="Q1079" s="1004"/>
    </row>
    <row r="1080" spans="15:17" s="383" customFormat="1">
      <c r="O1080" s="1004"/>
      <c r="P1080" s="1004"/>
      <c r="Q1080" s="1004"/>
    </row>
    <row r="1081" spans="15:17" s="383" customFormat="1">
      <c r="O1081" s="1004"/>
      <c r="P1081" s="1004"/>
      <c r="Q1081" s="1004"/>
    </row>
    <row r="1082" spans="15:17" s="383" customFormat="1">
      <c r="O1082" s="1004"/>
      <c r="P1082" s="1004"/>
      <c r="Q1082" s="1004"/>
    </row>
    <row r="1083" spans="15:17" s="383" customFormat="1">
      <c r="O1083" s="1004"/>
      <c r="P1083" s="1004"/>
      <c r="Q1083" s="1004"/>
    </row>
    <row r="1084" spans="15:17" s="383" customFormat="1">
      <c r="O1084" s="1004"/>
      <c r="P1084" s="1004"/>
      <c r="Q1084" s="1004"/>
    </row>
    <row r="1085" spans="15:17" s="383" customFormat="1">
      <c r="O1085" s="1004"/>
      <c r="P1085" s="1004"/>
      <c r="Q1085" s="1004"/>
    </row>
    <row r="1086" spans="15:17" s="383" customFormat="1">
      <c r="O1086" s="1004"/>
      <c r="P1086" s="1004"/>
      <c r="Q1086" s="1004"/>
    </row>
    <row r="1087" spans="15:17" s="383" customFormat="1">
      <c r="O1087" s="1004"/>
      <c r="P1087" s="1004"/>
      <c r="Q1087" s="1004"/>
    </row>
    <row r="1088" spans="15:17" s="383" customFormat="1">
      <c r="O1088" s="1004"/>
      <c r="P1088" s="1004"/>
      <c r="Q1088" s="1004"/>
    </row>
    <row r="1089" spans="15:17" s="383" customFormat="1">
      <c r="O1089" s="1004"/>
      <c r="P1089" s="1004"/>
      <c r="Q1089" s="1004"/>
    </row>
    <row r="1090" spans="15:17" s="383" customFormat="1">
      <c r="O1090" s="1004"/>
      <c r="P1090" s="1004"/>
      <c r="Q1090" s="1004"/>
    </row>
    <row r="1091" spans="15:17" s="383" customFormat="1">
      <c r="O1091" s="1004"/>
      <c r="P1091" s="1004"/>
      <c r="Q1091" s="1004"/>
    </row>
    <row r="1092" spans="15:17" s="383" customFormat="1">
      <c r="O1092" s="1004"/>
      <c r="P1092" s="1004"/>
      <c r="Q1092" s="1004"/>
    </row>
    <row r="1093" spans="15:17" s="383" customFormat="1">
      <c r="O1093" s="1004"/>
      <c r="P1093" s="1004"/>
      <c r="Q1093" s="1004"/>
    </row>
    <row r="1094" spans="15:17" s="383" customFormat="1">
      <c r="O1094" s="1004"/>
      <c r="P1094" s="1004"/>
      <c r="Q1094" s="1004"/>
    </row>
    <row r="1095" spans="15:17" s="383" customFormat="1">
      <c r="O1095" s="1004"/>
      <c r="P1095" s="1004"/>
      <c r="Q1095" s="1004"/>
    </row>
    <row r="1096" spans="15:17" s="383" customFormat="1">
      <c r="O1096" s="1004"/>
      <c r="P1096" s="1004"/>
      <c r="Q1096" s="1004"/>
    </row>
    <row r="1097" spans="15:17" s="383" customFormat="1">
      <c r="O1097" s="1004"/>
      <c r="P1097" s="1004"/>
      <c r="Q1097" s="1004"/>
    </row>
    <row r="1098" spans="15:17" s="383" customFormat="1">
      <c r="O1098" s="1004"/>
      <c r="P1098" s="1004"/>
      <c r="Q1098" s="1004"/>
    </row>
    <row r="1099" spans="15:17" s="383" customFormat="1">
      <c r="O1099" s="1004"/>
      <c r="P1099" s="1004"/>
      <c r="Q1099" s="1004"/>
    </row>
    <row r="1100" spans="15:17" s="383" customFormat="1">
      <c r="O1100" s="1004"/>
      <c r="P1100" s="1004"/>
      <c r="Q1100" s="1004"/>
    </row>
    <row r="1101" spans="15:17" s="383" customFormat="1">
      <c r="O1101" s="1004"/>
      <c r="P1101" s="1004"/>
      <c r="Q1101" s="1004"/>
    </row>
    <row r="1102" spans="15:17" s="383" customFormat="1">
      <c r="O1102" s="1004"/>
      <c r="P1102" s="1004"/>
      <c r="Q1102" s="1004"/>
    </row>
    <row r="1103" spans="15:17" s="383" customFormat="1">
      <c r="O1103" s="1004"/>
      <c r="P1103" s="1004"/>
      <c r="Q1103" s="1004"/>
    </row>
    <row r="1104" spans="15:17" s="383" customFormat="1">
      <c r="O1104" s="1004"/>
      <c r="P1104" s="1004"/>
      <c r="Q1104" s="1004"/>
    </row>
    <row r="1105" spans="15:17" s="383" customFormat="1">
      <c r="O1105" s="1004"/>
      <c r="P1105" s="1004"/>
      <c r="Q1105" s="1004"/>
    </row>
    <row r="1106" spans="15:17" s="383" customFormat="1">
      <c r="O1106" s="1004"/>
      <c r="P1106" s="1004"/>
      <c r="Q1106" s="1004"/>
    </row>
    <row r="1107" spans="15:17" s="383" customFormat="1">
      <c r="O1107" s="1004"/>
      <c r="P1107" s="1004"/>
      <c r="Q1107" s="1004"/>
    </row>
    <row r="1108" spans="15:17" s="383" customFormat="1">
      <c r="O1108" s="1004"/>
      <c r="P1108" s="1004"/>
      <c r="Q1108" s="1004"/>
    </row>
    <row r="1109" spans="15:17" s="383" customFormat="1">
      <c r="O1109" s="1004"/>
      <c r="P1109" s="1004"/>
      <c r="Q1109" s="1004"/>
    </row>
    <row r="1110" spans="15:17" s="383" customFormat="1">
      <c r="O1110" s="1004"/>
      <c r="P1110" s="1004"/>
      <c r="Q1110" s="1004"/>
    </row>
    <row r="1111" spans="15:17" s="383" customFormat="1">
      <c r="O1111" s="1004"/>
      <c r="P1111" s="1004"/>
      <c r="Q1111" s="1004"/>
    </row>
    <row r="1112" spans="15:17" s="383" customFormat="1">
      <c r="O1112" s="1004"/>
      <c r="P1112" s="1004"/>
      <c r="Q1112" s="1004"/>
    </row>
    <row r="1113" spans="15:17" s="383" customFormat="1">
      <c r="O1113" s="1004"/>
      <c r="P1113" s="1004"/>
      <c r="Q1113" s="1004"/>
    </row>
    <row r="1114" spans="15:17" s="383" customFormat="1">
      <c r="O1114" s="1004"/>
      <c r="P1114" s="1004"/>
      <c r="Q1114" s="1004"/>
    </row>
    <row r="1115" spans="15:17" s="383" customFormat="1">
      <c r="O1115" s="1004"/>
      <c r="P1115" s="1004"/>
      <c r="Q1115" s="1004"/>
    </row>
    <row r="1116" spans="15:17" s="383" customFormat="1">
      <c r="O1116" s="1004"/>
      <c r="P1116" s="1004"/>
      <c r="Q1116" s="1004"/>
    </row>
    <row r="1117" spans="15:17" s="383" customFormat="1">
      <c r="O1117" s="1004"/>
      <c r="P1117" s="1004"/>
      <c r="Q1117" s="1004"/>
    </row>
    <row r="1118" spans="15:17" s="383" customFormat="1">
      <c r="O1118" s="1004"/>
      <c r="P1118" s="1004"/>
      <c r="Q1118" s="1004"/>
    </row>
    <row r="1119" spans="15:17" s="383" customFormat="1">
      <c r="O1119" s="1004"/>
      <c r="P1119" s="1004"/>
      <c r="Q1119" s="1004"/>
    </row>
    <row r="1120" spans="15:17" s="383" customFormat="1">
      <c r="O1120" s="1004"/>
      <c r="P1120" s="1004"/>
      <c r="Q1120" s="1004"/>
    </row>
    <row r="1121" spans="15:17" s="383" customFormat="1">
      <c r="O1121" s="1004"/>
      <c r="P1121" s="1004"/>
      <c r="Q1121" s="1004"/>
    </row>
    <row r="1122" spans="15:17" s="383" customFormat="1">
      <c r="O1122" s="1004"/>
      <c r="P1122" s="1004"/>
      <c r="Q1122" s="1004"/>
    </row>
    <row r="1123" spans="15:17" s="383" customFormat="1">
      <c r="O1123" s="1004"/>
      <c r="P1123" s="1004"/>
      <c r="Q1123" s="1004"/>
    </row>
    <row r="1124" spans="15:17" s="383" customFormat="1">
      <c r="O1124" s="1004"/>
      <c r="P1124" s="1004"/>
      <c r="Q1124" s="1004"/>
    </row>
    <row r="1125" spans="15:17" s="383" customFormat="1">
      <c r="O1125" s="1004"/>
      <c r="P1125" s="1004"/>
      <c r="Q1125" s="1004"/>
    </row>
    <row r="1126" spans="15:17" s="383" customFormat="1">
      <c r="O1126" s="1004"/>
      <c r="P1126" s="1004"/>
      <c r="Q1126" s="1004"/>
    </row>
    <row r="1127" spans="15:17" s="383" customFormat="1">
      <c r="O1127" s="1004"/>
      <c r="P1127" s="1004"/>
      <c r="Q1127" s="1004"/>
    </row>
    <row r="1128" spans="15:17" s="383" customFormat="1">
      <c r="O1128" s="1004"/>
      <c r="P1128" s="1004"/>
      <c r="Q1128" s="1004"/>
    </row>
    <row r="1129" spans="15:17" s="383" customFormat="1">
      <c r="O1129" s="1004"/>
      <c r="P1129" s="1004"/>
      <c r="Q1129" s="1004"/>
    </row>
    <row r="1130" spans="15:17" s="383" customFormat="1">
      <c r="O1130" s="1004"/>
      <c r="P1130" s="1004"/>
      <c r="Q1130" s="1004"/>
    </row>
    <row r="1131" spans="15:17" s="383" customFormat="1">
      <c r="O1131" s="1004"/>
      <c r="P1131" s="1004"/>
      <c r="Q1131" s="1004"/>
    </row>
    <row r="1132" spans="15:17" s="383" customFormat="1">
      <c r="O1132" s="1004"/>
      <c r="P1132" s="1004"/>
      <c r="Q1132" s="1004"/>
    </row>
    <row r="1133" spans="15:17" s="383" customFormat="1">
      <c r="O1133" s="1004"/>
      <c r="P1133" s="1004"/>
      <c r="Q1133" s="1004"/>
    </row>
    <row r="1134" spans="15:17" s="383" customFormat="1">
      <c r="O1134" s="1004"/>
      <c r="P1134" s="1004"/>
      <c r="Q1134" s="1004"/>
    </row>
    <row r="1135" spans="15:17" s="383" customFormat="1">
      <c r="O1135" s="1004"/>
      <c r="P1135" s="1004"/>
      <c r="Q1135" s="1004"/>
    </row>
    <row r="1136" spans="15:17" s="383" customFormat="1">
      <c r="O1136" s="1004"/>
      <c r="P1136" s="1004"/>
      <c r="Q1136" s="1004"/>
    </row>
    <row r="1137" spans="15:17" s="383" customFormat="1">
      <c r="O1137" s="1004"/>
      <c r="P1137" s="1004"/>
      <c r="Q1137" s="1004"/>
    </row>
    <row r="1138" spans="15:17" s="383" customFormat="1">
      <c r="O1138" s="1004"/>
      <c r="P1138" s="1004"/>
      <c r="Q1138" s="1004"/>
    </row>
    <row r="1139" spans="15:17" s="383" customFormat="1">
      <c r="O1139" s="1004"/>
      <c r="P1139" s="1004"/>
      <c r="Q1139" s="1004"/>
    </row>
    <row r="1140" spans="15:17" s="383" customFormat="1">
      <c r="O1140" s="1004"/>
      <c r="P1140" s="1004"/>
      <c r="Q1140" s="1004"/>
    </row>
    <row r="1141" spans="15:17" s="383" customFormat="1">
      <c r="O1141" s="1004"/>
      <c r="P1141" s="1004"/>
      <c r="Q1141" s="1004"/>
    </row>
    <row r="1142" spans="15:17" s="383" customFormat="1">
      <c r="O1142" s="1004"/>
      <c r="P1142" s="1004"/>
      <c r="Q1142" s="1004"/>
    </row>
    <row r="1143" spans="15:17" s="383" customFormat="1">
      <c r="O1143" s="1004"/>
      <c r="P1143" s="1004"/>
      <c r="Q1143" s="1004"/>
    </row>
    <row r="1144" spans="15:17" s="383" customFormat="1">
      <c r="O1144" s="1004"/>
      <c r="P1144" s="1004"/>
      <c r="Q1144" s="1004"/>
    </row>
    <row r="1145" spans="15:17" s="383" customFormat="1">
      <c r="O1145" s="1004"/>
      <c r="P1145" s="1004"/>
      <c r="Q1145" s="1004"/>
    </row>
    <row r="1146" spans="15:17" s="383" customFormat="1">
      <c r="O1146" s="1004"/>
      <c r="P1146" s="1004"/>
      <c r="Q1146" s="1004"/>
    </row>
    <row r="1147" spans="15:17" s="383" customFormat="1">
      <c r="O1147" s="1004"/>
      <c r="P1147" s="1004"/>
      <c r="Q1147" s="1004"/>
    </row>
    <row r="1148" spans="15:17" s="383" customFormat="1">
      <c r="O1148" s="1004"/>
      <c r="P1148" s="1004"/>
      <c r="Q1148" s="1004"/>
    </row>
    <row r="1149" spans="15:17" s="383" customFormat="1">
      <c r="O1149" s="1004"/>
      <c r="P1149" s="1004"/>
      <c r="Q1149" s="1004"/>
    </row>
    <row r="1150" spans="15:17" s="383" customFormat="1">
      <c r="O1150" s="1004"/>
      <c r="P1150" s="1004"/>
      <c r="Q1150" s="1004"/>
    </row>
    <row r="1151" spans="15:17" s="383" customFormat="1">
      <c r="O1151" s="1004"/>
      <c r="P1151" s="1004"/>
      <c r="Q1151" s="1004"/>
    </row>
    <row r="1152" spans="15:17" s="383" customFormat="1">
      <c r="O1152" s="1004"/>
      <c r="P1152" s="1004"/>
      <c r="Q1152" s="1004"/>
    </row>
    <row r="1153" spans="15:17" s="383" customFormat="1">
      <c r="O1153" s="1004"/>
      <c r="P1153" s="1004"/>
      <c r="Q1153" s="1004"/>
    </row>
    <row r="1154" spans="15:17" s="383" customFormat="1">
      <c r="O1154" s="1004"/>
      <c r="P1154" s="1004"/>
      <c r="Q1154" s="1004"/>
    </row>
    <row r="1155" spans="15:17" s="383" customFormat="1">
      <c r="O1155" s="1004"/>
      <c r="P1155" s="1004"/>
      <c r="Q1155" s="1004"/>
    </row>
    <row r="1156" spans="15:17" s="383" customFormat="1">
      <c r="O1156" s="1004"/>
      <c r="P1156" s="1004"/>
      <c r="Q1156" s="1004"/>
    </row>
    <row r="1157" spans="15:17" s="383" customFormat="1">
      <c r="O1157" s="1004"/>
      <c r="P1157" s="1004"/>
      <c r="Q1157" s="1004"/>
    </row>
    <row r="1158" spans="15:17" s="383" customFormat="1">
      <c r="O1158" s="1004"/>
      <c r="P1158" s="1004"/>
      <c r="Q1158" s="1004"/>
    </row>
    <row r="1159" spans="15:17" s="383" customFormat="1">
      <c r="O1159" s="1004"/>
      <c r="P1159" s="1004"/>
      <c r="Q1159" s="1004"/>
    </row>
    <row r="1160" spans="15:17" s="383" customFormat="1">
      <c r="O1160" s="1004"/>
      <c r="P1160" s="1004"/>
      <c r="Q1160" s="1004"/>
    </row>
    <row r="1161" spans="15:17" s="383" customFormat="1">
      <c r="O1161" s="1004"/>
      <c r="P1161" s="1004"/>
      <c r="Q1161" s="1004"/>
    </row>
    <row r="1162" spans="15:17" s="383" customFormat="1">
      <c r="O1162" s="1004"/>
      <c r="P1162" s="1004"/>
      <c r="Q1162" s="1004"/>
    </row>
    <row r="1163" spans="15:17" s="383" customFormat="1">
      <c r="O1163" s="1004"/>
      <c r="P1163" s="1004"/>
      <c r="Q1163" s="1004"/>
    </row>
    <row r="1164" spans="15:17" s="383" customFormat="1">
      <c r="O1164" s="1004"/>
      <c r="P1164" s="1004"/>
      <c r="Q1164" s="1004"/>
    </row>
    <row r="1165" spans="15:17" s="383" customFormat="1">
      <c r="O1165" s="1004"/>
      <c r="P1165" s="1004"/>
      <c r="Q1165" s="1004"/>
    </row>
    <row r="1166" spans="15:17" s="383" customFormat="1">
      <c r="O1166" s="1004"/>
      <c r="P1166" s="1004"/>
      <c r="Q1166" s="1004"/>
    </row>
    <row r="1167" spans="15:17" s="383" customFormat="1">
      <c r="O1167" s="1004"/>
      <c r="P1167" s="1004"/>
      <c r="Q1167" s="1004"/>
    </row>
    <row r="1168" spans="15:17" s="383" customFormat="1">
      <c r="O1168" s="1004"/>
      <c r="P1168" s="1004"/>
      <c r="Q1168" s="1004"/>
    </row>
    <row r="1169" spans="15:17" s="383" customFormat="1">
      <c r="O1169" s="1004"/>
      <c r="P1169" s="1004"/>
      <c r="Q1169" s="1004"/>
    </row>
    <row r="1170" spans="15:17" s="383" customFormat="1">
      <c r="O1170" s="1004"/>
      <c r="P1170" s="1004"/>
      <c r="Q1170" s="1004"/>
    </row>
    <row r="1171" spans="15:17" s="383" customFormat="1">
      <c r="O1171" s="1004"/>
      <c r="P1171" s="1004"/>
      <c r="Q1171" s="1004"/>
    </row>
    <row r="1172" spans="15:17" s="383" customFormat="1">
      <c r="O1172" s="1004"/>
      <c r="P1172" s="1004"/>
      <c r="Q1172" s="1004"/>
    </row>
    <row r="1173" spans="15:17" s="383" customFormat="1">
      <c r="O1173" s="1004"/>
      <c r="P1173" s="1004"/>
      <c r="Q1173" s="1004"/>
    </row>
    <row r="1174" spans="15:17" s="383" customFormat="1">
      <c r="O1174" s="1004"/>
      <c r="P1174" s="1004"/>
      <c r="Q1174" s="1004"/>
    </row>
    <row r="1175" spans="15:17" s="383" customFormat="1">
      <c r="O1175" s="1004"/>
      <c r="P1175" s="1004"/>
      <c r="Q1175" s="1004"/>
    </row>
    <row r="1176" spans="15:17" s="383" customFormat="1">
      <c r="O1176" s="1004"/>
      <c r="P1176" s="1004"/>
      <c r="Q1176" s="1004"/>
    </row>
    <row r="1177" spans="15:17" s="383" customFormat="1">
      <c r="O1177" s="1004"/>
      <c r="P1177" s="1004"/>
      <c r="Q1177" s="1004"/>
    </row>
    <row r="1178" spans="15:17" s="383" customFormat="1">
      <c r="O1178" s="1004"/>
      <c r="P1178" s="1004"/>
      <c r="Q1178" s="1004"/>
    </row>
    <row r="1179" spans="15:17" s="383" customFormat="1">
      <c r="O1179" s="1004"/>
      <c r="P1179" s="1004"/>
      <c r="Q1179" s="1004"/>
    </row>
    <row r="1180" spans="15:17" s="383" customFormat="1">
      <c r="O1180" s="1004"/>
      <c r="P1180" s="1004"/>
      <c r="Q1180" s="1004"/>
    </row>
    <row r="1181" spans="15:17" s="383" customFormat="1">
      <c r="O1181" s="1004"/>
      <c r="P1181" s="1004"/>
      <c r="Q1181" s="1004"/>
    </row>
    <row r="1182" spans="15:17" s="383" customFormat="1">
      <c r="O1182" s="1004"/>
      <c r="P1182" s="1004"/>
      <c r="Q1182" s="1004"/>
    </row>
    <row r="1183" spans="15:17" s="383" customFormat="1">
      <c r="O1183" s="1004"/>
      <c r="P1183" s="1004"/>
      <c r="Q1183" s="1004"/>
    </row>
    <row r="1184" spans="15:17" s="383" customFormat="1">
      <c r="O1184" s="1004"/>
      <c r="P1184" s="1004"/>
      <c r="Q1184" s="1004"/>
    </row>
    <row r="1185" spans="15:17" s="383" customFormat="1">
      <c r="O1185" s="1004"/>
      <c r="P1185" s="1004"/>
      <c r="Q1185" s="1004"/>
    </row>
    <row r="1186" spans="15:17" s="383" customFormat="1">
      <c r="O1186" s="1004"/>
      <c r="P1186" s="1004"/>
      <c r="Q1186" s="1004"/>
    </row>
    <row r="1187" spans="15:17" s="383" customFormat="1">
      <c r="O1187" s="1004"/>
      <c r="P1187" s="1004"/>
      <c r="Q1187" s="1004"/>
    </row>
    <row r="1188" spans="15:17" s="383" customFormat="1">
      <c r="O1188" s="1004"/>
      <c r="P1188" s="1004"/>
      <c r="Q1188" s="1004"/>
    </row>
    <row r="1189" spans="15:17" s="383" customFormat="1">
      <c r="O1189" s="1004"/>
      <c r="P1189" s="1004"/>
      <c r="Q1189" s="1004"/>
    </row>
    <row r="1190" spans="15:17" s="383" customFormat="1">
      <c r="O1190" s="1004"/>
      <c r="P1190" s="1004"/>
      <c r="Q1190" s="1004"/>
    </row>
    <row r="1191" spans="15:17" s="383" customFormat="1">
      <c r="O1191" s="1004"/>
      <c r="P1191" s="1004"/>
      <c r="Q1191" s="1004"/>
    </row>
    <row r="1192" spans="15:17" s="383" customFormat="1">
      <c r="O1192" s="1004"/>
      <c r="P1192" s="1004"/>
      <c r="Q1192" s="1004"/>
    </row>
    <row r="1193" spans="15:17" s="383" customFormat="1">
      <c r="O1193" s="1004"/>
      <c r="P1193" s="1004"/>
      <c r="Q1193" s="1004"/>
    </row>
    <row r="1194" spans="15:17" s="383" customFormat="1">
      <c r="O1194" s="1004"/>
      <c r="P1194" s="1004"/>
      <c r="Q1194" s="1004"/>
    </row>
    <row r="1195" spans="15:17" s="383" customFormat="1">
      <c r="O1195" s="1004"/>
      <c r="P1195" s="1004"/>
      <c r="Q1195" s="1004"/>
    </row>
    <row r="1196" spans="15:17" s="383" customFormat="1">
      <c r="O1196" s="1004"/>
      <c r="P1196" s="1004"/>
      <c r="Q1196" s="1004"/>
    </row>
    <row r="1197" spans="15:17" s="383" customFormat="1">
      <c r="O1197" s="1004"/>
      <c r="P1197" s="1004"/>
      <c r="Q1197" s="1004"/>
    </row>
    <row r="1198" spans="15:17" s="383" customFormat="1">
      <c r="O1198" s="1004"/>
      <c r="P1198" s="1004"/>
      <c r="Q1198" s="1004"/>
    </row>
    <row r="1199" spans="15:17" s="383" customFormat="1">
      <c r="O1199" s="1004"/>
      <c r="P1199" s="1004"/>
      <c r="Q1199" s="1004"/>
    </row>
    <row r="1200" spans="15:17" s="383" customFormat="1">
      <c r="O1200" s="1004"/>
      <c r="P1200" s="1004"/>
      <c r="Q1200" s="1004"/>
    </row>
    <row r="1201" spans="15:17" s="383" customFormat="1">
      <c r="O1201" s="1004"/>
      <c r="P1201" s="1004"/>
      <c r="Q1201" s="1004"/>
    </row>
    <row r="1202" spans="15:17" s="383" customFormat="1">
      <c r="O1202" s="1004"/>
      <c r="P1202" s="1004"/>
      <c r="Q1202" s="1004"/>
    </row>
    <row r="1203" spans="15:17" s="383" customFormat="1">
      <c r="O1203" s="1004"/>
      <c r="P1203" s="1004"/>
      <c r="Q1203" s="1004"/>
    </row>
    <row r="1204" spans="15:17" s="383" customFormat="1">
      <c r="O1204" s="1004"/>
      <c r="P1204" s="1004"/>
      <c r="Q1204" s="1004"/>
    </row>
    <row r="1205" spans="15:17" s="383" customFormat="1">
      <c r="O1205" s="1004"/>
      <c r="P1205" s="1004"/>
      <c r="Q1205" s="1004"/>
    </row>
    <row r="1206" spans="15:17" s="383" customFormat="1">
      <c r="O1206" s="1004"/>
      <c r="P1206" s="1004"/>
      <c r="Q1206" s="1004"/>
    </row>
    <row r="1207" spans="15:17" s="383" customFormat="1">
      <c r="O1207" s="1004"/>
      <c r="P1207" s="1004"/>
      <c r="Q1207" s="1004"/>
    </row>
    <row r="1208" spans="15:17" s="383" customFormat="1">
      <c r="O1208" s="1004"/>
      <c r="P1208" s="1004"/>
      <c r="Q1208" s="1004"/>
    </row>
    <row r="1209" spans="15:17" s="383" customFormat="1">
      <c r="O1209" s="1004"/>
      <c r="P1209" s="1004"/>
      <c r="Q1209" s="1004"/>
    </row>
    <row r="1210" spans="15:17" s="383" customFormat="1">
      <c r="O1210" s="1004"/>
      <c r="P1210" s="1004"/>
      <c r="Q1210" s="1004"/>
    </row>
    <row r="1211" spans="15:17" s="383" customFormat="1">
      <c r="O1211" s="1004"/>
      <c r="P1211" s="1004"/>
      <c r="Q1211" s="1004"/>
    </row>
    <row r="1212" spans="15:17" s="383" customFormat="1">
      <c r="O1212" s="1004"/>
      <c r="P1212" s="1004"/>
      <c r="Q1212" s="1004"/>
    </row>
    <row r="1213" spans="15:17" s="383" customFormat="1">
      <c r="O1213" s="1004"/>
      <c r="P1213" s="1004"/>
      <c r="Q1213" s="1004"/>
    </row>
    <row r="1214" spans="15:17" s="383" customFormat="1">
      <c r="O1214" s="1004"/>
      <c r="P1214" s="1004"/>
      <c r="Q1214" s="1004"/>
    </row>
    <row r="1215" spans="15:17" s="383" customFormat="1">
      <c r="O1215" s="1004"/>
      <c r="P1215" s="1004"/>
      <c r="Q1215" s="1004"/>
    </row>
    <row r="1216" spans="15:17" s="383" customFormat="1">
      <c r="O1216" s="1004"/>
      <c r="P1216" s="1004"/>
      <c r="Q1216" s="1004"/>
    </row>
    <row r="1217" spans="15:17" s="383" customFormat="1">
      <c r="O1217" s="1004"/>
      <c r="P1217" s="1004"/>
      <c r="Q1217" s="1004"/>
    </row>
    <row r="1218" spans="15:17" s="383" customFormat="1">
      <c r="O1218" s="1004"/>
      <c r="P1218" s="1004"/>
      <c r="Q1218" s="1004"/>
    </row>
    <row r="1219" spans="15:17" s="383" customFormat="1">
      <c r="O1219" s="1004"/>
      <c r="P1219" s="1004"/>
      <c r="Q1219" s="1004"/>
    </row>
    <row r="1220" spans="15:17" s="383" customFormat="1">
      <c r="O1220" s="1004"/>
      <c r="P1220" s="1004"/>
      <c r="Q1220" s="1004"/>
    </row>
    <row r="1221" spans="15:17" s="383" customFormat="1">
      <c r="O1221" s="1004"/>
      <c r="P1221" s="1004"/>
      <c r="Q1221" s="1004"/>
    </row>
    <row r="1222" spans="15:17" s="383" customFormat="1">
      <c r="O1222" s="1004"/>
      <c r="P1222" s="1004"/>
      <c r="Q1222" s="1004"/>
    </row>
    <row r="1223" spans="15:17" s="383" customFormat="1">
      <c r="O1223" s="1004"/>
      <c r="P1223" s="1004"/>
      <c r="Q1223" s="1004"/>
    </row>
    <row r="1224" spans="15:17" s="383" customFormat="1">
      <c r="O1224" s="1004"/>
      <c r="P1224" s="1004"/>
      <c r="Q1224" s="1004"/>
    </row>
    <row r="1225" spans="15:17" s="383" customFormat="1">
      <c r="O1225" s="1004"/>
      <c r="P1225" s="1004"/>
      <c r="Q1225" s="1004"/>
    </row>
    <row r="1226" spans="15:17" s="383" customFormat="1">
      <c r="O1226" s="1004"/>
      <c r="P1226" s="1004"/>
      <c r="Q1226" s="1004"/>
    </row>
    <row r="1227" spans="15:17" s="383" customFormat="1">
      <c r="O1227" s="1004"/>
      <c r="P1227" s="1004"/>
      <c r="Q1227" s="1004"/>
    </row>
    <row r="1228" spans="15:17" s="383" customFormat="1">
      <c r="O1228" s="1004"/>
      <c r="P1228" s="1004"/>
      <c r="Q1228" s="1004"/>
    </row>
    <row r="1229" spans="15:17" s="383" customFormat="1">
      <c r="O1229" s="1004"/>
      <c r="P1229" s="1004"/>
      <c r="Q1229" s="1004"/>
    </row>
    <row r="1230" spans="15:17" s="383" customFormat="1">
      <c r="O1230" s="1004"/>
      <c r="P1230" s="1004"/>
      <c r="Q1230" s="1004"/>
    </row>
    <row r="1231" spans="15:17" s="383" customFormat="1">
      <c r="O1231" s="1004"/>
      <c r="P1231" s="1004"/>
      <c r="Q1231" s="1004"/>
    </row>
    <row r="1232" spans="15:17" s="383" customFormat="1">
      <c r="O1232" s="1004"/>
      <c r="P1232" s="1004"/>
      <c r="Q1232" s="1004"/>
    </row>
    <row r="1233" spans="15:17" s="383" customFormat="1">
      <c r="O1233" s="1004"/>
      <c r="P1233" s="1004"/>
      <c r="Q1233" s="1004"/>
    </row>
    <row r="1234" spans="15:17" s="383" customFormat="1">
      <c r="O1234" s="1004"/>
      <c r="P1234" s="1004"/>
      <c r="Q1234" s="1004"/>
    </row>
    <row r="1235" spans="15:17" s="383" customFormat="1">
      <c r="O1235" s="1004"/>
      <c r="P1235" s="1004"/>
      <c r="Q1235" s="1004"/>
    </row>
    <row r="1236" spans="15:17" s="383" customFormat="1">
      <c r="O1236" s="1004"/>
      <c r="P1236" s="1004"/>
      <c r="Q1236" s="1004"/>
    </row>
    <row r="1237" spans="15:17" s="383" customFormat="1">
      <c r="O1237" s="1004"/>
      <c r="P1237" s="1004"/>
      <c r="Q1237" s="1004"/>
    </row>
    <row r="1238" spans="15:17" s="383" customFormat="1">
      <c r="O1238" s="1004"/>
      <c r="P1238" s="1004"/>
      <c r="Q1238" s="1004"/>
    </row>
    <row r="1239" spans="15:17" s="383" customFormat="1">
      <c r="O1239" s="1004"/>
      <c r="P1239" s="1004"/>
      <c r="Q1239" s="1004"/>
    </row>
    <row r="1240" spans="15:17" s="383" customFormat="1">
      <c r="O1240" s="1004"/>
      <c r="P1240" s="1004"/>
      <c r="Q1240" s="1004"/>
    </row>
    <row r="1241" spans="15:17" s="383" customFormat="1">
      <c r="O1241" s="1004"/>
      <c r="P1241" s="1004"/>
      <c r="Q1241" s="1004"/>
    </row>
    <row r="1242" spans="15:17" s="383" customFormat="1">
      <c r="O1242" s="1004"/>
      <c r="P1242" s="1004"/>
      <c r="Q1242" s="1004"/>
    </row>
    <row r="1243" spans="15:17" s="383" customFormat="1">
      <c r="O1243" s="1004"/>
      <c r="P1243" s="1004"/>
      <c r="Q1243" s="1004"/>
    </row>
    <row r="1244" spans="15:17" s="383" customFormat="1">
      <c r="O1244" s="1004"/>
      <c r="P1244" s="1004"/>
      <c r="Q1244" s="1004"/>
    </row>
    <row r="1245" spans="15:17" s="383" customFormat="1">
      <c r="O1245" s="1004"/>
      <c r="P1245" s="1004"/>
      <c r="Q1245" s="1004"/>
    </row>
    <row r="1246" spans="15:17" s="383" customFormat="1">
      <c r="O1246" s="1004"/>
      <c r="P1246" s="1004"/>
      <c r="Q1246" s="1004"/>
    </row>
    <row r="1247" spans="15:17" s="383" customFormat="1">
      <c r="O1247" s="1004"/>
      <c r="P1247" s="1004"/>
      <c r="Q1247" s="1004"/>
    </row>
    <row r="1248" spans="15:17" s="383" customFormat="1">
      <c r="O1248" s="1004"/>
      <c r="P1248" s="1004"/>
      <c r="Q1248" s="1004"/>
    </row>
    <row r="1249" spans="15:17" s="383" customFormat="1">
      <c r="O1249" s="1004"/>
      <c r="P1249" s="1004"/>
      <c r="Q1249" s="1004"/>
    </row>
    <row r="1250" spans="15:17" s="383" customFormat="1">
      <c r="O1250" s="1004"/>
      <c r="P1250" s="1004"/>
      <c r="Q1250" s="1004"/>
    </row>
  </sheetData>
  <sheetProtection algorithmName="SHA-512" hashValue="kcu+mDVwCLQJb1s8YN+kQZOln7lrEthfPI6UkEGHS8MYnD72Q7IeKCcMoIxCnT/UutoSmIlWo4qRe7r4b/uLdA==" saltValue="t4YKJIAryAnap5iUPgg+CQ==" spinCount="100000" sheet="1" objects="1" scenarios="1"/>
  <mergeCells count="489">
    <mergeCell ref="R91:R92"/>
    <mergeCell ref="R56:R87"/>
    <mergeCell ref="R94:R96"/>
    <mergeCell ref="P94:P96"/>
    <mergeCell ref="Q94:Q96"/>
    <mergeCell ref="P91:P92"/>
    <mergeCell ref="Q91:Q92"/>
    <mergeCell ref="P86:P87"/>
    <mergeCell ref="Q86:Q87"/>
    <mergeCell ref="Q56:Q57"/>
    <mergeCell ref="P58:P60"/>
    <mergeCell ref="A2:R2"/>
    <mergeCell ref="N72:N74"/>
    <mergeCell ref="O72:O74"/>
    <mergeCell ref="L58:L60"/>
    <mergeCell ref="N58:N60"/>
    <mergeCell ref="M58:M60"/>
    <mergeCell ref="M56:M57"/>
    <mergeCell ref="N40:N42"/>
    <mergeCell ref="O40:O42"/>
    <mergeCell ref="P40:P42"/>
    <mergeCell ref="Q40:Q42"/>
    <mergeCell ref="N45:N46"/>
    <mergeCell ref="Q58:Q60"/>
    <mergeCell ref="P72:P74"/>
    <mergeCell ref="Q43:Q44"/>
    <mergeCell ref="K58:K60"/>
    <mergeCell ref="B36:B38"/>
    <mergeCell ref="C36:C38"/>
    <mergeCell ref="L36:L38"/>
    <mergeCell ref="M36:M38"/>
    <mergeCell ref="M39:M42"/>
    <mergeCell ref="A43:A44"/>
    <mergeCell ref="L39:L42"/>
    <mergeCell ref="A39:A42"/>
    <mergeCell ref="A1:R1"/>
    <mergeCell ref="A12:R12"/>
    <mergeCell ref="K130:K134"/>
    <mergeCell ref="M166:M169"/>
    <mergeCell ref="K175:K177"/>
    <mergeCell ref="K178:K180"/>
    <mergeCell ref="M199:M201"/>
    <mergeCell ref="N199:N201"/>
    <mergeCell ref="O199:O201"/>
    <mergeCell ref="P199:P201"/>
    <mergeCell ref="Q199:Q201"/>
    <mergeCell ref="K56:K57"/>
    <mergeCell ref="Q105:Q106"/>
    <mergeCell ref="R16:R20"/>
    <mergeCell ref="R21:R25"/>
    <mergeCell ref="R26:R30"/>
    <mergeCell ref="K33:K46"/>
    <mergeCell ref="R33:R46"/>
    <mergeCell ref="O86:O87"/>
    <mergeCell ref="L86:L87"/>
    <mergeCell ref="N86:N87"/>
    <mergeCell ref="M86:M87"/>
    <mergeCell ref="Q72:Q74"/>
    <mergeCell ref="M72:M74"/>
    <mergeCell ref="N56:N57"/>
    <mergeCell ref="O56:O57"/>
    <mergeCell ref="C58:C60"/>
    <mergeCell ref="N112:N113"/>
    <mergeCell ref="B67:B68"/>
    <mergeCell ref="L72:L74"/>
    <mergeCell ref="L91:L92"/>
    <mergeCell ref="L94:L96"/>
    <mergeCell ref="L109:L111"/>
    <mergeCell ref="Q101:Q104"/>
    <mergeCell ref="M94:M96"/>
    <mergeCell ref="M99:M100"/>
    <mergeCell ref="N99:N100"/>
    <mergeCell ref="O99:O100"/>
    <mergeCell ref="M116:M117"/>
    <mergeCell ref="M121:M123"/>
    <mergeCell ref="M118:M120"/>
    <mergeCell ref="Q118:Q120"/>
    <mergeCell ref="Q121:Q123"/>
    <mergeCell ref="N121:N123"/>
    <mergeCell ref="Q116:Q117"/>
    <mergeCell ref="O114:O115"/>
    <mergeCell ref="N116:N117"/>
    <mergeCell ref="O116:O117"/>
    <mergeCell ref="P118:P120"/>
    <mergeCell ref="N118:N120"/>
    <mergeCell ref="O118:O120"/>
    <mergeCell ref="A130:A134"/>
    <mergeCell ref="K137:K146"/>
    <mergeCell ref="C124:C127"/>
    <mergeCell ref="B130:B134"/>
    <mergeCell ref="C130:C134"/>
    <mergeCell ref="C135:C136"/>
    <mergeCell ref="A105:A106"/>
    <mergeCell ref="A101:A103"/>
    <mergeCell ref="A109:A111"/>
    <mergeCell ref="A121:A123"/>
    <mergeCell ref="A124:A127"/>
    <mergeCell ref="A116:A117"/>
    <mergeCell ref="A118:A120"/>
    <mergeCell ref="A114:A115"/>
    <mergeCell ref="A112:A113"/>
    <mergeCell ref="K121:K127"/>
    <mergeCell ref="B112:B113"/>
    <mergeCell ref="C112:C113"/>
    <mergeCell ref="K114:K120"/>
    <mergeCell ref="A196:A198"/>
    <mergeCell ref="B196:B198"/>
    <mergeCell ref="C196:C198"/>
    <mergeCell ref="L196:L198"/>
    <mergeCell ref="A181:A183"/>
    <mergeCell ref="B181:B183"/>
    <mergeCell ref="C181:C183"/>
    <mergeCell ref="L181:L183"/>
    <mergeCell ref="A156:A157"/>
    <mergeCell ref="B156:B157"/>
    <mergeCell ref="K186:K201"/>
    <mergeCell ref="L193:L195"/>
    <mergeCell ref="A162:A165"/>
    <mergeCell ref="A159:A161"/>
    <mergeCell ref="B159:B161"/>
    <mergeCell ref="C159:C161"/>
    <mergeCell ref="L159:L161"/>
    <mergeCell ref="B170:B171"/>
    <mergeCell ref="C170:C171"/>
    <mergeCell ref="B172:B173"/>
    <mergeCell ref="C172:C173"/>
    <mergeCell ref="A166:A169"/>
    <mergeCell ref="K166:K169"/>
    <mergeCell ref="K159:K161"/>
    <mergeCell ref="B209:D209"/>
    <mergeCell ref="B210:D210"/>
    <mergeCell ref="B211:D211"/>
    <mergeCell ref="B212:D212"/>
    <mergeCell ref="A199:A201"/>
    <mergeCell ref="B199:B201"/>
    <mergeCell ref="C199:C201"/>
    <mergeCell ref="L199:L201"/>
    <mergeCell ref="K202:R202"/>
    <mergeCell ref="B206:D206"/>
    <mergeCell ref="A202:D202"/>
    <mergeCell ref="R186:R201"/>
    <mergeCell ref="M196:M198"/>
    <mergeCell ref="M189:M192"/>
    <mergeCell ref="N189:N192"/>
    <mergeCell ref="O189:O192"/>
    <mergeCell ref="P189:P192"/>
    <mergeCell ref="Q189:Q192"/>
    <mergeCell ref="Q186:Q188"/>
    <mergeCell ref="A189:A192"/>
    <mergeCell ref="N193:N194"/>
    <mergeCell ref="O193:O194"/>
    <mergeCell ref="P193:P194"/>
    <mergeCell ref="C193:C195"/>
    <mergeCell ref="M193:M195"/>
    <mergeCell ref="A193:A195"/>
    <mergeCell ref="B193:B195"/>
    <mergeCell ref="B189:B192"/>
    <mergeCell ref="C189:C192"/>
    <mergeCell ref="L189:L192"/>
    <mergeCell ref="C186:C188"/>
    <mergeCell ref="L186:L188"/>
    <mergeCell ref="M186:M188"/>
    <mergeCell ref="N186:N188"/>
    <mergeCell ref="O186:O188"/>
    <mergeCell ref="K181:K183"/>
    <mergeCell ref="C175:C177"/>
    <mergeCell ref="L175:L177"/>
    <mergeCell ref="M175:M177"/>
    <mergeCell ref="P186:P188"/>
    <mergeCell ref="A186:A188"/>
    <mergeCell ref="B186:B188"/>
    <mergeCell ref="A184:A185"/>
    <mergeCell ref="B184:B185"/>
    <mergeCell ref="C184:C185"/>
    <mergeCell ref="L184:L185"/>
    <mergeCell ref="M184:M185"/>
    <mergeCell ref="K184:K185"/>
    <mergeCell ref="N184:N185"/>
    <mergeCell ref="A175:A177"/>
    <mergeCell ref="B175:B177"/>
    <mergeCell ref="N178:N180"/>
    <mergeCell ref="A178:A180"/>
    <mergeCell ref="B178:B180"/>
    <mergeCell ref="C178:C180"/>
    <mergeCell ref="L178:L180"/>
    <mergeCell ref="M178:M180"/>
    <mergeCell ref="B166:B169"/>
    <mergeCell ref="C166:C169"/>
    <mergeCell ref="B162:B165"/>
    <mergeCell ref="C162:C165"/>
    <mergeCell ref="A148:A149"/>
    <mergeCell ref="B148:B149"/>
    <mergeCell ref="N150:N151"/>
    <mergeCell ref="O150:O151"/>
    <mergeCell ref="M152:M155"/>
    <mergeCell ref="N152:N155"/>
    <mergeCell ref="O152:O155"/>
    <mergeCell ref="A152:A155"/>
    <mergeCell ref="B152:B155"/>
    <mergeCell ref="K152:K155"/>
    <mergeCell ref="C152:C155"/>
    <mergeCell ref="C148:C149"/>
    <mergeCell ref="A150:A151"/>
    <mergeCell ref="B150:B151"/>
    <mergeCell ref="C150:C151"/>
    <mergeCell ref="L150:L151"/>
    <mergeCell ref="K148:K149"/>
    <mergeCell ref="K150:K151"/>
    <mergeCell ref="M150:M151"/>
    <mergeCell ref="K162:K165"/>
    <mergeCell ref="A94:A96"/>
    <mergeCell ref="C105:C106"/>
    <mergeCell ref="L105:L106"/>
    <mergeCell ref="M105:M106"/>
    <mergeCell ref="N105:N106"/>
    <mergeCell ref="K105:K111"/>
    <mergeCell ref="P109:P111"/>
    <mergeCell ref="K99:K104"/>
    <mergeCell ref="L99:L100"/>
    <mergeCell ref="P105:P106"/>
    <mergeCell ref="O105:O106"/>
    <mergeCell ref="M109:M111"/>
    <mergeCell ref="N109:N111"/>
    <mergeCell ref="O109:O111"/>
    <mergeCell ref="B105:B106"/>
    <mergeCell ref="B99:B100"/>
    <mergeCell ref="C99:C100"/>
    <mergeCell ref="B94:B96"/>
    <mergeCell ref="C94:C96"/>
    <mergeCell ref="M101:M104"/>
    <mergeCell ref="N101:N104"/>
    <mergeCell ref="O101:O104"/>
    <mergeCell ref="P101:P104"/>
    <mergeCell ref="N94:N96"/>
    <mergeCell ref="A21:A25"/>
    <mergeCell ref="B21:B25"/>
    <mergeCell ref="C21:C25"/>
    <mergeCell ref="A33:A35"/>
    <mergeCell ref="A36:A38"/>
    <mergeCell ref="A26:A30"/>
    <mergeCell ref="B26:B30"/>
    <mergeCell ref="B33:B35"/>
    <mergeCell ref="C33:C35"/>
    <mergeCell ref="L33:L35"/>
    <mergeCell ref="R97:R98"/>
    <mergeCell ref="L13:L14"/>
    <mergeCell ref="M13:M14"/>
    <mergeCell ref="N13:N14"/>
    <mergeCell ref="R13:R14"/>
    <mergeCell ref="O94:O96"/>
    <mergeCell ref="Q97:Q98"/>
    <mergeCell ref="O13:Q13"/>
    <mergeCell ref="O16:O20"/>
    <mergeCell ref="P16:P20"/>
    <mergeCell ref="L26:L30"/>
    <mergeCell ref="M26:M30"/>
    <mergeCell ref="N26:N30"/>
    <mergeCell ref="O26:O30"/>
    <mergeCell ref="P26:P30"/>
    <mergeCell ref="N21:N25"/>
    <mergeCell ref="N36:N38"/>
    <mergeCell ref="O36:O38"/>
    <mergeCell ref="L56:L57"/>
    <mergeCell ref="P97:P98"/>
    <mergeCell ref="M91:M92"/>
    <mergeCell ref="N91:N92"/>
    <mergeCell ref="O91:O92"/>
    <mergeCell ref="C13:C14"/>
    <mergeCell ref="A16:A20"/>
    <mergeCell ref="Q26:Q30"/>
    <mergeCell ref="O21:O25"/>
    <mergeCell ref="P21:P25"/>
    <mergeCell ref="Q21:Q25"/>
    <mergeCell ref="B16:B20"/>
    <mergeCell ref="H13:H14"/>
    <mergeCell ref="I13:I14"/>
    <mergeCell ref="J13:J14"/>
    <mergeCell ref="M21:M25"/>
    <mergeCell ref="D13:D14"/>
    <mergeCell ref="E13:E14"/>
    <mergeCell ref="F13:F14"/>
    <mergeCell ref="G13:G14"/>
    <mergeCell ref="Q16:Q20"/>
    <mergeCell ref="L21:L25"/>
    <mergeCell ref="K13:K14"/>
    <mergeCell ref="K16:K20"/>
    <mergeCell ref="C26:C30"/>
    <mergeCell ref="C16:C20"/>
    <mergeCell ref="L16:L20"/>
    <mergeCell ref="M16:M20"/>
    <mergeCell ref="N16:N20"/>
    <mergeCell ref="M33:M35"/>
    <mergeCell ref="N33:N35"/>
    <mergeCell ref="O33:O35"/>
    <mergeCell ref="M128:M129"/>
    <mergeCell ref="N128:N129"/>
    <mergeCell ref="O128:O129"/>
    <mergeCell ref="Q36:Q38"/>
    <mergeCell ref="P33:P35"/>
    <mergeCell ref="Q33:Q35"/>
    <mergeCell ref="P36:P38"/>
    <mergeCell ref="P43:P44"/>
    <mergeCell ref="M43:M44"/>
    <mergeCell ref="N43:N44"/>
    <mergeCell ref="O43:O44"/>
    <mergeCell ref="O45:O46"/>
    <mergeCell ref="P45:P46"/>
    <mergeCell ref="Q45:Q46"/>
    <mergeCell ref="P56:P57"/>
    <mergeCell ref="O58:O60"/>
    <mergeCell ref="M45:M46"/>
    <mergeCell ref="M97:M98"/>
    <mergeCell ref="N97:N98"/>
    <mergeCell ref="O97:O98"/>
    <mergeCell ref="P99:P100"/>
    <mergeCell ref="A99:A100"/>
    <mergeCell ref="A91:A92"/>
    <mergeCell ref="B72:B74"/>
    <mergeCell ref="B91:B92"/>
    <mergeCell ref="A86:A87"/>
    <mergeCell ref="B86:B87"/>
    <mergeCell ref="C43:C44"/>
    <mergeCell ref="L43:L44"/>
    <mergeCell ref="B39:B42"/>
    <mergeCell ref="C39:C42"/>
    <mergeCell ref="A56:A57"/>
    <mergeCell ref="A72:A74"/>
    <mergeCell ref="B45:B46"/>
    <mergeCell ref="C45:C46"/>
    <mergeCell ref="L45:L46"/>
    <mergeCell ref="B56:B57"/>
    <mergeCell ref="C56:C57"/>
    <mergeCell ref="A58:A60"/>
    <mergeCell ref="C72:C74"/>
    <mergeCell ref="B58:B60"/>
    <mergeCell ref="A45:A46"/>
    <mergeCell ref="A97:A98"/>
    <mergeCell ref="B97:B98"/>
    <mergeCell ref="C97:C98"/>
    <mergeCell ref="K112:K113"/>
    <mergeCell ref="C91:C92"/>
    <mergeCell ref="C86:C87"/>
    <mergeCell ref="L97:L98"/>
    <mergeCell ref="K72:K74"/>
    <mergeCell ref="K86:K87"/>
    <mergeCell ref="K91:K92"/>
    <mergeCell ref="L112:L113"/>
    <mergeCell ref="B114:B115"/>
    <mergeCell ref="C114:C115"/>
    <mergeCell ref="L114:L115"/>
    <mergeCell ref="L101:L104"/>
    <mergeCell ref="B101:B103"/>
    <mergeCell ref="C101:C103"/>
    <mergeCell ref="B109:B111"/>
    <mergeCell ref="C109:C111"/>
    <mergeCell ref="K94:K96"/>
    <mergeCell ref="K97:K98"/>
    <mergeCell ref="B118:B120"/>
    <mergeCell ref="B116:B117"/>
    <mergeCell ref="C116:C117"/>
    <mergeCell ref="L116:L117"/>
    <mergeCell ref="L124:L127"/>
    <mergeCell ref="B121:B123"/>
    <mergeCell ref="C121:C123"/>
    <mergeCell ref="B128:B129"/>
    <mergeCell ref="C128:C129"/>
    <mergeCell ref="L128:L129"/>
    <mergeCell ref="B124:B127"/>
    <mergeCell ref="L121:L123"/>
    <mergeCell ref="C118:C120"/>
    <mergeCell ref="L118:L120"/>
    <mergeCell ref="R99:R104"/>
    <mergeCell ref="R105:R111"/>
    <mergeCell ref="R112:R113"/>
    <mergeCell ref="R121:R127"/>
    <mergeCell ref="R114:R120"/>
    <mergeCell ref="N144:N146"/>
    <mergeCell ref="O144:O146"/>
    <mergeCell ref="P144:P146"/>
    <mergeCell ref="Q144:Q146"/>
    <mergeCell ref="N139:N142"/>
    <mergeCell ref="O139:O142"/>
    <mergeCell ref="P139:P142"/>
    <mergeCell ref="Q139:Q142"/>
    <mergeCell ref="N137:N138"/>
    <mergeCell ref="O137:O138"/>
    <mergeCell ref="Q99:Q100"/>
    <mergeCell ref="P116:P117"/>
    <mergeCell ref="N130:N134"/>
    <mergeCell ref="O130:O134"/>
    <mergeCell ref="P130:P134"/>
    <mergeCell ref="Q130:Q134"/>
    <mergeCell ref="Q109:Q111"/>
    <mergeCell ref="Q112:Q113"/>
    <mergeCell ref="P114:P115"/>
    <mergeCell ref="Q128:Q129"/>
    <mergeCell ref="M135:M136"/>
    <mergeCell ref="P128:P129"/>
    <mergeCell ref="M126:M127"/>
    <mergeCell ref="M130:M134"/>
    <mergeCell ref="Q114:Q115"/>
    <mergeCell ref="M114:M115"/>
    <mergeCell ref="O112:O113"/>
    <mergeCell ref="P112:P113"/>
    <mergeCell ref="N114:N115"/>
    <mergeCell ref="M112:M113"/>
    <mergeCell ref="L144:L146"/>
    <mergeCell ref="M144:M146"/>
    <mergeCell ref="L135:L136"/>
    <mergeCell ref="O121:O123"/>
    <mergeCell ref="P121:P123"/>
    <mergeCell ref="L139:L142"/>
    <mergeCell ref="O162:O165"/>
    <mergeCell ref="L166:L169"/>
    <mergeCell ref="N166:N169"/>
    <mergeCell ref="M159:M161"/>
    <mergeCell ref="N159:N161"/>
    <mergeCell ref="L162:L165"/>
    <mergeCell ref="M162:M165"/>
    <mergeCell ref="N162:N165"/>
    <mergeCell ref="L148:L149"/>
    <mergeCell ref="M148:M149"/>
    <mergeCell ref="N148:N149"/>
    <mergeCell ref="O148:O149"/>
    <mergeCell ref="P148:P149"/>
    <mergeCell ref="L130:L134"/>
    <mergeCell ref="P150:P151"/>
    <mergeCell ref="L152:L158"/>
    <mergeCell ref="R184:R185"/>
    <mergeCell ref="N135:N136"/>
    <mergeCell ref="O135:O136"/>
    <mergeCell ref="P135:P136"/>
    <mergeCell ref="Q135:Q136"/>
    <mergeCell ref="P137:P138"/>
    <mergeCell ref="Q137:Q138"/>
    <mergeCell ref="Q150:Q151"/>
    <mergeCell ref="M139:M142"/>
    <mergeCell ref="R166:R169"/>
    <mergeCell ref="R175:R183"/>
    <mergeCell ref="P178:P180"/>
    <mergeCell ref="Q178:Q180"/>
    <mergeCell ref="M181:M183"/>
    <mergeCell ref="R128:R165"/>
    <mergeCell ref="O184:O185"/>
    <mergeCell ref="P184:P185"/>
    <mergeCell ref="Q148:Q149"/>
    <mergeCell ref="P166:P169"/>
    <mergeCell ref="P162:P165"/>
    <mergeCell ref="N175:N177"/>
    <mergeCell ref="L137:L138"/>
    <mergeCell ref="M137:M138"/>
    <mergeCell ref="Q193:Q194"/>
    <mergeCell ref="Q152:Q155"/>
    <mergeCell ref="O159:O161"/>
    <mergeCell ref="P159:P161"/>
    <mergeCell ref="Q159:Q161"/>
    <mergeCell ref="Q166:Q169"/>
    <mergeCell ref="Q162:Q165"/>
    <mergeCell ref="Q175:Q177"/>
    <mergeCell ref="O175:O177"/>
    <mergeCell ref="P175:P177"/>
    <mergeCell ref="O178:O180"/>
    <mergeCell ref="O166:O169"/>
    <mergeCell ref="Q184:Q185"/>
    <mergeCell ref="P152:P155"/>
    <mergeCell ref="B213:D213"/>
    <mergeCell ref="B214:D214"/>
    <mergeCell ref="B215:D215"/>
    <mergeCell ref="A9:E9"/>
    <mergeCell ref="A10:J10"/>
    <mergeCell ref="A13:A14"/>
    <mergeCell ref="B13:B14"/>
    <mergeCell ref="B203:D203"/>
    <mergeCell ref="B204:D204"/>
    <mergeCell ref="B205:D205"/>
    <mergeCell ref="B208:D208"/>
    <mergeCell ref="A144:A146"/>
    <mergeCell ref="B144:B146"/>
    <mergeCell ref="C144:C146"/>
    <mergeCell ref="A137:A138"/>
    <mergeCell ref="B137:B138"/>
    <mergeCell ref="C137:C138"/>
    <mergeCell ref="A139:A142"/>
    <mergeCell ref="B139:B142"/>
    <mergeCell ref="C139:C142"/>
    <mergeCell ref="A135:A136"/>
    <mergeCell ref="B135:B136"/>
    <mergeCell ref="A128:A129"/>
    <mergeCell ref="B43:B44"/>
  </mergeCells>
  <conditionalFormatting sqref="E13:L13 G14:J14">
    <cfRule type="dataBar" priority="13">
      <dataBar>
        <cfvo type="min"/>
        <cfvo type="max"/>
        <color rgb="FF638EC6"/>
      </dataBar>
      <extLst>
        <ext xmlns:x14="http://schemas.microsoft.com/office/spreadsheetml/2009/9/main" uri="{B025F937-C7B1-47D3-B67F-A62EFF666E3E}">
          <x14:id>{26F09905-6243-4F81-A065-F6E392A0538B}</x14:id>
        </ext>
      </extLst>
    </cfRule>
  </conditionalFormatting>
  <pageMargins left="0.7" right="0.7" top="0.75" bottom="0.75" header="0.3" footer="0.3"/>
  <pageSetup paperSize="8" scale="65"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26F09905-6243-4F81-A065-F6E392A0538B}">
            <x14:dataBar minLength="0" maxLength="100" border="1" negativeBarBorderColorSameAsPositive="0">
              <x14:cfvo type="autoMin"/>
              <x14:cfvo type="autoMax"/>
              <x14:borderColor rgb="FF638EC6"/>
              <x14:negativeFillColor rgb="FFFF0000"/>
              <x14:negativeBorderColor rgb="FFFF0000"/>
              <x14:axisColor rgb="FF000000"/>
            </x14:dataBar>
          </x14:cfRule>
          <xm:sqref>E13:L13 G14:J14</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2791B-8B75-4CDD-B356-798BE755673B}">
  <dimension ref="A1:V1115"/>
  <sheetViews>
    <sheetView zoomScale="80" zoomScaleNormal="80" workbookViewId="0">
      <pane xSplit="7" ySplit="11" topLeftCell="H12" activePane="bottomRight" state="frozen"/>
      <selection pane="topRight" activeCell="L1" sqref="L1"/>
      <selection pane="bottomLeft" activeCell="A7" sqref="A7"/>
      <selection pane="bottomRight" activeCell="AB43" sqref="AB43"/>
    </sheetView>
  </sheetViews>
  <sheetFormatPr defaultColWidth="9.109375" defaultRowHeight="13.2"/>
  <cols>
    <col min="1" max="1" width="14.109375" style="383" customWidth="1"/>
    <col min="2" max="2" width="31.109375" style="383" customWidth="1"/>
    <col min="3" max="3" width="4.33203125" style="383" customWidth="1"/>
    <col min="4" max="4" width="5.5546875" style="383" customWidth="1"/>
    <col min="5" max="6" width="10.6640625" style="386" hidden="1" customWidth="1"/>
    <col min="7" max="7" width="13.6640625" style="383" hidden="1" customWidth="1"/>
    <col min="8" max="8" width="16.33203125" style="383" customWidth="1"/>
    <col min="9" max="9" width="16" style="383" customWidth="1"/>
    <col min="10" max="10" width="16.33203125" style="383" customWidth="1"/>
    <col min="11" max="11" width="13.44140625" style="383" customWidth="1"/>
    <col min="12" max="12" width="62.33203125" style="383" customWidth="1"/>
    <col min="13" max="13" width="13.33203125" style="383" customWidth="1"/>
    <col min="14" max="14" width="25.109375" style="383" customWidth="1"/>
    <col min="15" max="17" width="6.33203125" style="1004" customWidth="1"/>
    <col min="18" max="18" width="29.44140625" style="383" customWidth="1"/>
    <col min="19" max="19" width="25.88671875" style="383" hidden="1" customWidth="1"/>
    <col min="20" max="20" width="0" style="383" hidden="1" customWidth="1"/>
    <col min="21" max="21" width="8.88671875" hidden="1" customWidth="1"/>
    <col min="22" max="22" width="8.88671875" customWidth="1"/>
    <col min="23" max="16384" width="9.109375" style="383"/>
  </cols>
  <sheetData>
    <row r="1" spans="1:22" ht="15" customHeight="1">
      <c r="A1" s="1935" t="s">
        <v>2832</v>
      </c>
      <c r="B1" s="1935"/>
      <c r="C1" s="1935"/>
      <c r="D1" s="1935"/>
      <c r="E1" s="1935"/>
      <c r="F1" s="1935"/>
      <c r="G1" s="1935"/>
      <c r="H1" s="1935"/>
      <c r="I1" s="1935"/>
      <c r="J1" s="1935"/>
      <c r="K1" s="1935"/>
      <c r="L1" s="1935"/>
      <c r="M1" s="1935"/>
      <c r="N1" s="1935"/>
      <c r="O1" s="1935"/>
      <c r="P1" s="1935"/>
      <c r="Q1" s="1935"/>
      <c r="R1" s="1935"/>
      <c r="U1" s="383"/>
      <c r="V1" s="383"/>
    </row>
    <row r="2" spans="1:22" ht="51.75" customHeight="1">
      <c r="A2" s="1757" t="s">
        <v>3612</v>
      </c>
      <c r="B2" s="1757"/>
      <c r="C2" s="1757"/>
      <c r="D2" s="1757"/>
      <c r="E2" s="1757"/>
      <c r="F2" s="1757"/>
      <c r="G2" s="1757"/>
      <c r="H2" s="1757"/>
      <c r="I2" s="1757"/>
      <c r="J2" s="1757"/>
      <c r="K2" s="1757"/>
      <c r="L2" s="1757"/>
      <c r="M2" s="1757"/>
      <c r="N2" s="1757"/>
      <c r="O2" s="1757"/>
      <c r="P2" s="1757"/>
      <c r="Q2" s="1757"/>
      <c r="R2" s="1757"/>
      <c r="U2" s="383"/>
      <c r="V2" s="383"/>
    </row>
    <row r="3" spans="1:22" ht="13.5" customHeight="1">
      <c r="A3" s="591" t="str">
        <f>A12</f>
        <v>07.01.01. (T)</v>
      </c>
      <c r="B3" s="1936" t="str">
        <f>B12</f>
        <v>Stiprinti ir plėtoti visuomenės sveikatinimo veiklą</v>
      </c>
      <c r="C3" s="1936"/>
      <c r="D3" s="1936"/>
      <c r="E3" s="1936"/>
      <c r="F3" s="1936"/>
      <c r="G3" s="1936"/>
      <c r="H3" s="1936"/>
      <c r="I3" s="1936"/>
      <c r="J3" s="1936"/>
      <c r="K3" s="1936"/>
      <c r="L3" s="1936"/>
      <c r="M3" s="1936"/>
      <c r="N3" s="1936"/>
      <c r="O3" s="1936"/>
      <c r="P3" s="1936"/>
      <c r="Q3" s="1936"/>
      <c r="R3" s="1936"/>
      <c r="U3" s="383"/>
      <c r="V3" s="383"/>
    </row>
    <row r="4" spans="1:22" ht="23.25" customHeight="1">
      <c r="A4" s="1230" t="str">
        <f>A46</f>
        <v>07.01.02. (T)</v>
      </c>
      <c r="B4" s="2076" t="str">
        <f>B46</f>
        <v>Remti sveikatos priežiūros paslaugų teikimą nustatytų kategorijų žmonėms</v>
      </c>
      <c r="C4" s="2076"/>
      <c r="D4" s="2076"/>
      <c r="E4" s="2076"/>
      <c r="F4" s="2076"/>
      <c r="G4" s="2076"/>
      <c r="H4" s="2076"/>
      <c r="I4" s="2076"/>
      <c r="J4" s="2076"/>
      <c r="K4" s="2076"/>
      <c r="L4" s="2076"/>
      <c r="M4" s="2076"/>
      <c r="N4" s="2076"/>
      <c r="O4" s="2076"/>
      <c r="P4" s="2076"/>
      <c r="Q4" s="2076"/>
      <c r="R4" s="2076"/>
      <c r="U4" s="383"/>
      <c r="V4" s="383"/>
    </row>
    <row r="5" spans="1:22" s="2077" customFormat="1" ht="16.2" customHeight="1"/>
    <row r="6" spans="1:22" ht="15" customHeight="1">
      <c r="A6" s="1936" t="s">
        <v>1463</v>
      </c>
      <c r="B6" s="1936"/>
      <c r="C6" s="1936"/>
      <c r="D6" s="1936"/>
      <c r="E6" s="1936"/>
      <c r="F6" s="419"/>
      <c r="G6" s="419"/>
      <c r="H6" s="381"/>
      <c r="I6" s="400"/>
      <c r="J6" s="400"/>
      <c r="K6" s="400"/>
      <c r="L6" s="400"/>
      <c r="O6" s="1005"/>
      <c r="P6" s="1005"/>
      <c r="Q6" s="1005"/>
      <c r="R6" s="381"/>
      <c r="U6" s="383"/>
      <c r="V6" s="383"/>
    </row>
    <row r="7" spans="1:22" ht="19.2" customHeight="1">
      <c r="A7" s="1936" t="s">
        <v>3865</v>
      </c>
      <c r="B7" s="1936"/>
      <c r="C7" s="1936"/>
      <c r="D7" s="1936"/>
      <c r="E7" s="1936"/>
      <c r="F7" s="1936"/>
      <c r="G7" s="1936"/>
      <c r="H7" s="1936"/>
      <c r="I7" s="1936"/>
      <c r="J7" s="1936"/>
      <c r="K7" s="1936"/>
      <c r="L7" s="1936"/>
      <c r="M7" s="1936"/>
      <c r="N7" s="1936"/>
      <c r="O7" s="1005"/>
      <c r="P7" s="1005"/>
      <c r="Q7" s="1005"/>
      <c r="R7" s="381"/>
      <c r="U7" s="383"/>
      <c r="V7" s="383"/>
    </row>
    <row r="8" spans="1:22" ht="14.4" customHeight="1">
      <c r="E8" s="383"/>
      <c r="F8" s="383"/>
      <c r="U8" s="383"/>
      <c r="V8" s="383"/>
    </row>
    <row r="9" spans="1:22" ht="14.4" customHeight="1">
      <c r="A9" s="1231" t="s">
        <v>3874</v>
      </c>
      <c r="B9" s="547"/>
      <c r="C9" s="547"/>
      <c r="D9" s="547"/>
      <c r="E9" s="547"/>
      <c r="F9" s="548"/>
      <c r="G9" s="547"/>
      <c r="H9" s="547"/>
      <c r="I9" s="547"/>
      <c r="J9" s="547"/>
      <c r="K9" s="547"/>
      <c r="L9" s="547"/>
      <c r="U9" s="383"/>
      <c r="V9" s="383"/>
    </row>
    <row r="10" spans="1:22" ht="48" customHeight="1">
      <c r="A10" s="1722" t="s">
        <v>999</v>
      </c>
      <c r="B10" s="1722" t="s">
        <v>2550</v>
      </c>
      <c r="C10" s="2135" t="s">
        <v>1368</v>
      </c>
      <c r="D10" s="2031" t="s">
        <v>1369</v>
      </c>
      <c r="E10" s="1931" t="s">
        <v>1388</v>
      </c>
      <c r="F10" s="1730" t="s">
        <v>1499</v>
      </c>
      <c r="G10" s="1968" t="s">
        <v>1385</v>
      </c>
      <c r="H10" s="1722" t="s">
        <v>2568</v>
      </c>
      <c r="I10" s="1722" t="s">
        <v>2698</v>
      </c>
      <c r="J10" s="1775" t="s">
        <v>2634</v>
      </c>
      <c r="K10" s="1775" t="s">
        <v>2596</v>
      </c>
      <c r="L10" s="1775" t="s">
        <v>3908</v>
      </c>
      <c r="M10" s="1724" t="s">
        <v>1000</v>
      </c>
      <c r="N10" s="1724" t="s">
        <v>1390</v>
      </c>
      <c r="O10" s="1780" t="s">
        <v>1001</v>
      </c>
      <c r="P10" s="1780"/>
      <c r="Q10" s="1780"/>
      <c r="R10" s="1724" t="s">
        <v>1002</v>
      </c>
      <c r="U10" s="383"/>
      <c r="V10" s="383"/>
    </row>
    <row r="11" spans="1:22" ht="55.95" customHeight="1">
      <c r="A11" s="1808"/>
      <c r="B11" s="1808"/>
      <c r="C11" s="2136"/>
      <c r="D11" s="2031"/>
      <c r="E11" s="1966"/>
      <c r="F11" s="2137"/>
      <c r="G11" s="1969"/>
      <c r="H11" s="1808"/>
      <c r="I11" s="1808"/>
      <c r="J11" s="1775"/>
      <c r="K11" s="1775"/>
      <c r="L11" s="1775"/>
      <c r="M11" s="1942"/>
      <c r="N11" s="1942"/>
      <c r="O11" s="942">
        <v>2024</v>
      </c>
      <c r="P11" s="942">
        <v>2025</v>
      </c>
      <c r="Q11" s="942">
        <v>2026</v>
      </c>
      <c r="R11" s="1942"/>
      <c r="U11" s="383"/>
      <c r="V11" s="383"/>
    </row>
    <row r="12" spans="1:22" ht="31.2" customHeight="1">
      <c r="A12" s="879" t="s">
        <v>2710</v>
      </c>
      <c r="B12" s="984" t="s">
        <v>1585</v>
      </c>
      <c r="C12" s="879"/>
      <c r="D12" s="879"/>
      <c r="E12" s="1116">
        <f>SUM(E14,E16,E18,E20,E22,E25,E32,E34,E36,E39,E42,E45,)</f>
        <v>224.404</v>
      </c>
      <c r="F12" s="1232">
        <f>H12/E12-1</f>
        <v>1.9280583233810447</v>
      </c>
      <c r="G12" s="1116">
        <f>SUM(G14,G16,G18,G20,G22,G25,G32,G34,G36,G39,G42,G45,)</f>
        <v>626.70000000000005</v>
      </c>
      <c r="H12" s="1116">
        <f>SUM(H14,H16,H18,H20,H22,H25,H32,H34,H36,H39,H42,H45,)</f>
        <v>657.06799999999998</v>
      </c>
      <c r="I12" s="1116">
        <f t="shared" ref="I12:J12" si="0">SUM(I14,I16,I18,I20,I22,I25,I32,I34,I36,I39,I42,I45,)</f>
        <v>729.48700000000008</v>
      </c>
      <c r="J12" s="1116">
        <f t="shared" si="0"/>
        <v>266.60000000000002</v>
      </c>
      <c r="K12" s="879" t="s">
        <v>1212</v>
      </c>
      <c r="L12" s="1233"/>
      <c r="M12" s="1234" t="s">
        <v>1914</v>
      </c>
      <c r="N12" s="1234" t="s">
        <v>2947</v>
      </c>
      <c r="O12" s="1303" t="s">
        <v>3608</v>
      </c>
      <c r="P12" s="1303" t="s">
        <v>3608</v>
      </c>
      <c r="Q12" s="1303" t="s">
        <v>3608</v>
      </c>
      <c r="R12" s="1234" t="s">
        <v>2947</v>
      </c>
      <c r="U12" s="383"/>
      <c r="V12" s="383"/>
    </row>
    <row r="13" spans="1:22" ht="58.8" customHeight="1">
      <c r="A13" s="2078" t="s">
        <v>2699</v>
      </c>
      <c r="B13" s="1865" t="s">
        <v>1586</v>
      </c>
      <c r="C13" s="2081">
        <v>188711925</v>
      </c>
      <c r="D13" s="1235" t="s">
        <v>3611</v>
      </c>
      <c r="E13" s="1236">
        <v>12.804</v>
      </c>
      <c r="F13" s="1237">
        <f>H13/E13-1</f>
        <v>0.52608559825054657</v>
      </c>
      <c r="G13" s="1236">
        <v>0</v>
      </c>
      <c r="H13" s="1236">
        <v>19.54</v>
      </c>
      <c r="I13" s="1236">
        <v>20</v>
      </c>
      <c r="J13" s="1236">
        <v>21</v>
      </c>
      <c r="K13" s="2095" t="s">
        <v>2951</v>
      </c>
      <c r="L13" s="1943" t="s">
        <v>3595</v>
      </c>
      <c r="M13" s="1865" t="s">
        <v>1915</v>
      </c>
      <c r="N13" s="1739" t="s">
        <v>1932</v>
      </c>
      <c r="O13" s="1680" t="s">
        <v>1839</v>
      </c>
      <c r="P13" s="1680" t="s">
        <v>566</v>
      </c>
      <c r="Q13" s="1680" t="s">
        <v>566</v>
      </c>
      <c r="R13" s="1863" t="s">
        <v>2952</v>
      </c>
      <c r="U13" s="383"/>
      <c r="V13" s="383"/>
    </row>
    <row r="14" spans="1:22" ht="49.95" customHeight="1">
      <c r="A14" s="2084"/>
      <c r="B14" s="2016"/>
      <c r="C14" s="2082"/>
      <c r="D14" s="1239" t="s">
        <v>1372</v>
      </c>
      <c r="E14" s="1240">
        <f>SUM(E13:E13)</f>
        <v>12.804</v>
      </c>
      <c r="F14" s="1241">
        <f>H14/E14-1</f>
        <v>0.52608559825054657</v>
      </c>
      <c r="G14" s="1240">
        <f t="shared" ref="G14:J14" si="1">SUM(G13:G13)</f>
        <v>0</v>
      </c>
      <c r="H14" s="1240">
        <f t="shared" si="1"/>
        <v>19.54</v>
      </c>
      <c r="I14" s="1240">
        <f t="shared" si="1"/>
        <v>20</v>
      </c>
      <c r="J14" s="1240">
        <f t="shared" si="1"/>
        <v>21</v>
      </c>
      <c r="K14" s="2096"/>
      <c r="L14" s="1944"/>
      <c r="M14" s="2016"/>
      <c r="N14" s="2083"/>
      <c r="O14" s="1766"/>
      <c r="P14" s="1766"/>
      <c r="Q14" s="1766"/>
      <c r="R14" s="1864"/>
      <c r="U14" s="383"/>
      <c r="V14" s="383"/>
    </row>
    <row r="15" spans="1:22" ht="49.2" customHeight="1">
      <c r="A15" s="2078" t="s">
        <v>2700</v>
      </c>
      <c r="B15" s="1865" t="s">
        <v>1587</v>
      </c>
      <c r="C15" s="2081" t="s">
        <v>1376</v>
      </c>
      <c r="D15" s="1235" t="s">
        <v>668</v>
      </c>
      <c r="E15" s="1236"/>
      <c r="F15" s="1236"/>
      <c r="G15" s="1236"/>
      <c r="H15" s="1236"/>
      <c r="I15" s="1236"/>
      <c r="J15" s="1236"/>
      <c r="K15" s="2096"/>
      <c r="L15" s="1943" t="s">
        <v>3596</v>
      </c>
      <c r="M15" s="1865" t="s">
        <v>1916</v>
      </c>
      <c r="N15" s="1739" t="s">
        <v>1933</v>
      </c>
      <c r="O15" s="1680" t="s">
        <v>566</v>
      </c>
      <c r="P15" s="1680" t="s">
        <v>566</v>
      </c>
      <c r="Q15" s="1680" t="s">
        <v>566</v>
      </c>
      <c r="R15" s="1864"/>
      <c r="U15" s="383"/>
      <c r="V15" s="383"/>
    </row>
    <row r="16" spans="1:22" ht="38.4" customHeight="1">
      <c r="A16" s="2084"/>
      <c r="B16" s="2016"/>
      <c r="C16" s="2082"/>
      <c r="D16" s="1239" t="s">
        <v>1372</v>
      </c>
      <c r="E16" s="1240">
        <f>SUM(E15:E15)</f>
        <v>0</v>
      </c>
      <c r="F16" s="1240">
        <f t="shared" ref="F16:J16" si="2">SUM(F15:F15)</f>
        <v>0</v>
      </c>
      <c r="G16" s="1240">
        <f t="shared" si="2"/>
        <v>0</v>
      </c>
      <c r="H16" s="1240">
        <f t="shared" si="2"/>
        <v>0</v>
      </c>
      <c r="I16" s="1240">
        <f t="shared" si="2"/>
        <v>0</v>
      </c>
      <c r="J16" s="1240">
        <f t="shared" si="2"/>
        <v>0</v>
      </c>
      <c r="K16" s="2096"/>
      <c r="L16" s="1944"/>
      <c r="M16" s="2016"/>
      <c r="N16" s="2083"/>
      <c r="O16" s="1766"/>
      <c r="P16" s="1766"/>
      <c r="Q16" s="1766"/>
      <c r="R16" s="1864"/>
      <c r="U16" s="383"/>
      <c r="V16" s="383"/>
    </row>
    <row r="17" spans="1:22" ht="94.2" customHeight="1">
      <c r="A17" s="2078" t="s">
        <v>2701</v>
      </c>
      <c r="B17" s="1865" t="s">
        <v>1588</v>
      </c>
      <c r="C17" s="2081" t="s">
        <v>1525</v>
      </c>
      <c r="D17" s="1235" t="s">
        <v>1377</v>
      </c>
      <c r="E17" s="1236">
        <v>142</v>
      </c>
      <c r="F17" s="1237">
        <f>H17/E17-1</f>
        <v>9.5352112676056366E-2</v>
      </c>
      <c r="G17" s="1236">
        <v>149.69999999999999</v>
      </c>
      <c r="H17" s="1236">
        <f>142.54+13</f>
        <v>155.54</v>
      </c>
      <c r="I17" s="1236">
        <v>156</v>
      </c>
      <c r="J17" s="1236">
        <v>157</v>
      </c>
      <c r="K17" s="2096"/>
      <c r="L17" s="1873" t="s">
        <v>2339</v>
      </c>
      <c r="M17" s="1865" t="s">
        <v>1917</v>
      </c>
      <c r="N17" s="1739" t="s">
        <v>1934</v>
      </c>
      <c r="O17" s="1680" t="s">
        <v>1935</v>
      </c>
      <c r="P17" s="1680" t="s">
        <v>1936</v>
      </c>
      <c r="Q17" s="1680" t="s">
        <v>1937</v>
      </c>
      <c r="R17" s="1864"/>
      <c r="U17" s="383"/>
      <c r="V17" s="383"/>
    </row>
    <row r="18" spans="1:22" ht="93" customHeight="1">
      <c r="A18" s="2084"/>
      <c r="B18" s="2016"/>
      <c r="C18" s="2082"/>
      <c r="D18" s="1239" t="s">
        <v>1372</v>
      </c>
      <c r="E18" s="1240">
        <f>SUM(E17:E17)</f>
        <v>142</v>
      </c>
      <c r="F18" s="1241">
        <f>H18/E18-1</f>
        <v>9.5352112676056366E-2</v>
      </c>
      <c r="G18" s="1240">
        <f t="shared" ref="G18:J18" si="3">SUM(G17:G17)</f>
        <v>149.69999999999999</v>
      </c>
      <c r="H18" s="1240">
        <f t="shared" si="3"/>
        <v>155.54</v>
      </c>
      <c r="I18" s="1240">
        <f t="shared" si="3"/>
        <v>156</v>
      </c>
      <c r="J18" s="1240">
        <f t="shared" si="3"/>
        <v>157</v>
      </c>
      <c r="K18" s="2096"/>
      <c r="L18" s="2134"/>
      <c r="M18" s="2016"/>
      <c r="N18" s="2083"/>
      <c r="O18" s="1766"/>
      <c r="P18" s="1766"/>
      <c r="Q18" s="1766"/>
      <c r="R18" s="1864"/>
      <c r="U18" s="383"/>
      <c r="V18" s="383"/>
    </row>
    <row r="19" spans="1:22" ht="60" customHeight="1">
      <c r="A19" s="2078" t="s">
        <v>2702</v>
      </c>
      <c r="B19" s="1865" t="s">
        <v>1589</v>
      </c>
      <c r="C19" s="2081" t="s">
        <v>1525</v>
      </c>
      <c r="D19" s="1235" t="s">
        <v>668</v>
      </c>
      <c r="E19" s="1236"/>
      <c r="F19" s="1236"/>
      <c r="G19" s="1236"/>
      <c r="H19" s="1236"/>
      <c r="I19" s="1236"/>
      <c r="J19" s="1236"/>
      <c r="K19" s="2096"/>
      <c r="L19" s="1943" t="s">
        <v>1950</v>
      </c>
      <c r="M19" s="1865" t="s">
        <v>1918</v>
      </c>
      <c r="N19" s="1739" t="s">
        <v>532</v>
      </c>
      <c r="O19" s="1680" t="s">
        <v>6</v>
      </c>
      <c r="P19" s="1680" t="s">
        <v>1938</v>
      </c>
      <c r="Q19" s="1680" t="s">
        <v>1694</v>
      </c>
      <c r="R19" s="1864"/>
      <c r="U19" s="383"/>
      <c r="V19" s="383"/>
    </row>
    <row r="20" spans="1:22" ht="42" customHeight="1">
      <c r="A20" s="2084"/>
      <c r="B20" s="2016"/>
      <c r="C20" s="2082"/>
      <c r="D20" s="1239" t="s">
        <v>1372</v>
      </c>
      <c r="E20" s="1240">
        <f>SUM(E19:E19)</f>
        <v>0</v>
      </c>
      <c r="F20" s="1240">
        <f t="shared" ref="F20:J20" si="4">SUM(F19:F19)</f>
        <v>0</v>
      </c>
      <c r="G20" s="1240">
        <f t="shared" si="4"/>
        <v>0</v>
      </c>
      <c r="H20" s="1240">
        <f t="shared" si="4"/>
        <v>0</v>
      </c>
      <c r="I20" s="1240">
        <f t="shared" si="4"/>
        <v>0</v>
      </c>
      <c r="J20" s="1240">
        <f t="shared" si="4"/>
        <v>0</v>
      </c>
      <c r="K20" s="2096"/>
      <c r="L20" s="1944"/>
      <c r="M20" s="2016"/>
      <c r="N20" s="2083"/>
      <c r="O20" s="1766"/>
      <c r="P20" s="1766"/>
      <c r="Q20" s="1766"/>
      <c r="R20" s="1864"/>
      <c r="U20" s="383"/>
      <c r="V20" s="383"/>
    </row>
    <row r="21" spans="1:22" ht="27.6" hidden="1" customHeight="1">
      <c r="A21" s="2078" t="s">
        <v>2703</v>
      </c>
      <c r="B21" s="1865" t="s">
        <v>1590</v>
      </c>
      <c r="C21" s="2081" t="s">
        <v>1525</v>
      </c>
      <c r="D21" s="1235" t="s">
        <v>668</v>
      </c>
      <c r="E21" s="1236"/>
      <c r="F21" s="1236"/>
      <c r="G21" s="1236"/>
      <c r="H21" s="1236"/>
      <c r="I21" s="1236"/>
      <c r="J21" s="1236"/>
      <c r="K21" s="2096"/>
      <c r="L21" s="1943"/>
      <c r="M21" s="1865" t="s">
        <v>1919</v>
      </c>
      <c r="N21" s="2138" t="s">
        <v>1939</v>
      </c>
      <c r="O21" s="1680"/>
      <c r="P21" s="1680"/>
      <c r="Q21" s="1680"/>
      <c r="R21" s="1864"/>
      <c r="U21" s="383"/>
      <c r="V21" s="383"/>
    </row>
    <row r="22" spans="1:22" ht="27" hidden="1" customHeight="1">
      <c r="A22" s="2084"/>
      <c r="B22" s="2016"/>
      <c r="C22" s="2082"/>
      <c r="D22" s="1239" t="s">
        <v>1372</v>
      </c>
      <c r="E22" s="1240">
        <f>SUM(E21:E21)</f>
        <v>0</v>
      </c>
      <c r="F22" s="1240">
        <f t="shared" ref="F22:J22" si="5">SUM(F21:F21)</f>
        <v>0</v>
      </c>
      <c r="G22" s="1240">
        <f t="shared" si="5"/>
        <v>0</v>
      </c>
      <c r="H22" s="1240">
        <f t="shared" si="5"/>
        <v>0</v>
      </c>
      <c r="I22" s="1240">
        <f t="shared" si="5"/>
        <v>0</v>
      </c>
      <c r="J22" s="1240">
        <f t="shared" si="5"/>
        <v>0</v>
      </c>
      <c r="K22" s="2096"/>
      <c r="L22" s="1944"/>
      <c r="M22" s="2016"/>
      <c r="N22" s="2139"/>
      <c r="O22" s="1766"/>
      <c r="P22" s="1766"/>
      <c r="Q22" s="1766"/>
      <c r="R22" s="1864"/>
      <c r="U22" s="383"/>
      <c r="V22" s="383"/>
    </row>
    <row r="23" spans="1:22" ht="42.6" customHeight="1">
      <c r="A23" s="2119" t="s">
        <v>2704</v>
      </c>
      <c r="B23" s="1863" t="s">
        <v>3607</v>
      </c>
      <c r="C23" s="2122" t="s">
        <v>1376</v>
      </c>
      <c r="D23" s="1235" t="s">
        <v>668</v>
      </c>
      <c r="E23" s="1236">
        <f>E29</f>
        <v>0.6</v>
      </c>
      <c r="F23" s="1237">
        <f>H23/E23-1</f>
        <v>0.16666666666666674</v>
      </c>
      <c r="G23" s="1236">
        <v>0.7</v>
      </c>
      <c r="H23" s="1236">
        <v>0.7</v>
      </c>
      <c r="I23" s="1236">
        <v>0.7</v>
      </c>
      <c r="J23" s="1236">
        <v>0.7</v>
      </c>
      <c r="K23" s="2096"/>
      <c r="L23" s="1919" t="s">
        <v>1951</v>
      </c>
      <c r="M23" s="1863" t="s">
        <v>1920</v>
      </c>
      <c r="N23" s="1739" t="s">
        <v>3422</v>
      </c>
      <c r="O23" s="1680" t="s">
        <v>1940</v>
      </c>
      <c r="P23" s="1680" t="s">
        <v>1940</v>
      </c>
      <c r="Q23" s="1680" t="s">
        <v>1940</v>
      </c>
      <c r="R23" s="1864"/>
      <c r="U23" s="383"/>
      <c r="V23" s="383"/>
    </row>
    <row r="24" spans="1:22" ht="22.2" customHeight="1">
      <c r="A24" s="2120"/>
      <c r="B24" s="1864"/>
      <c r="C24" s="2123"/>
      <c r="D24" s="1242" t="s">
        <v>1377</v>
      </c>
      <c r="E24" s="1243">
        <f>E28</f>
        <v>1.8</v>
      </c>
      <c r="F24" s="1237">
        <f>H24/E24-1</f>
        <v>5.555555555555558E-2</v>
      </c>
      <c r="G24" s="1243">
        <v>1.9</v>
      </c>
      <c r="H24" s="1243">
        <v>1.9</v>
      </c>
      <c r="I24" s="1244">
        <v>1.9</v>
      </c>
      <c r="J24" s="1245">
        <v>1.9</v>
      </c>
      <c r="K24" s="2096"/>
      <c r="L24" s="1920"/>
      <c r="M24" s="1864"/>
      <c r="N24" s="2083"/>
      <c r="O24" s="1766"/>
      <c r="P24" s="1766"/>
      <c r="Q24" s="1766"/>
      <c r="R24" s="1864"/>
      <c r="U24" s="383"/>
      <c r="V24" s="383"/>
    </row>
    <row r="25" spans="1:22" s="392" customFormat="1" ht="15.6" customHeight="1">
      <c r="A25" s="2120"/>
      <c r="B25" s="1864"/>
      <c r="C25" s="2123"/>
      <c r="D25" s="2124" t="s">
        <v>1372</v>
      </c>
      <c r="E25" s="2127">
        <f>SUM(E23:E24)</f>
        <v>2.4</v>
      </c>
      <c r="F25" s="2130">
        <f t="shared" ref="F25:J25" si="6">SUM(F23:F24)</f>
        <v>0.22222222222222232</v>
      </c>
      <c r="G25" s="2127">
        <f t="shared" si="6"/>
        <v>2.5999999999999996</v>
      </c>
      <c r="H25" s="2127">
        <f t="shared" si="6"/>
        <v>2.5999999999999996</v>
      </c>
      <c r="I25" s="2133">
        <f t="shared" si="6"/>
        <v>2.5999999999999996</v>
      </c>
      <c r="J25" s="2127">
        <f t="shared" si="6"/>
        <v>2.5999999999999996</v>
      </c>
      <c r="K25" s="2096"/>
      <c r="L25" s="1920"/>
      <c r="M25" s="1864"/>
      <c r="N25" s="2083"/>
      <c r="O25" s="1766"/>
      <c r="P25" s="1766"/>
      <c r="Q25" s="1766"/>
      <c r="R25" s="1864"/>
    </row>
    <row r="26" spans="1:22" s="392" customFormat="1" ht="36.6" customHeight="1">
      <c r="A26" s="2120"/>
      <c r="B26" s="1864"/>
      <c r="C26" s="2123"/>
      <c r="D26" s="2125"/>
      <c r="E26" s="2128"/>
      <c r="F26" s="2131"/>
      <c r="G26" s="2128"/>
      <c r="H26" s="2128"/>
      <c r="I26" s="2128"/>
      <c r="J26" s="2128"/>
      <c r="K26" s="2096"/>
      <c r="L26" s="1920"/>
      <c r="M26" s="1864"/>
      <c r="N26" s="814" t="s">
        <v>3423</v>
      </c>
      <c r="O26" s="903" t="s">
        <v>1940</v>
      </c>
      <c r="P26" s="903" t="s">
        <v>1940</v>
      </c>
      <c r="Q26" s="903" t="s">
        <v>1940</v>
      </c>
      <c r="R26" s="1864"/>
      <c r="S26" s="392" t="s">
        <v>3606</v>
      </c>
    </row>
    <row r="27" spans="1:22" s="392" customFormat="1" ht="36.6" customHeight="1">
      <c r="A27" s="2121"/>
      <c r="B27" s="1865"/>
      <c r="C27" s="2081"/>
      <c r="D27" s="2126"/>
      <c r="E27" s="2129"/>
      <c r="F27" s="2132"/>
      <c r="G27" s="2129"/>
      <c r="H27" s="2129"/>
      <c r="I27" s="2129"/>
      <c r="J27" s="2129"/>
      <c r="K27" s="2096"/>
      <c r="L27" s="1920"/>
      <c r="M27" s="1864"/>
      <c r="N27" s="814" t="s">
        <v>3424</v>
      </c>
      <c r="O27" s="1044" t="s">
        <v>469</v>
      </c>
      <c r="P27" s="1044" t="s">
        <v>469</v>
      </c>
      <c r="Q27" s="1044" t="s">
        <v>469</v>
      </c>
      <c r="R27" s="1864"/>
    </row>
    <row r="28" spans="1:22" s="392" customFormat="1" ht="18.600000000000001" hidden="1" customHeight="1">
      <c r="A28" s="1247"/>
      <c r="B28" s="1248" t="s">
        <v>1755</v>
      </c>
      <c r="C28" s="1249"/>
      <c r="D28" s="1250" t="s">
        <v>1817</v>
      </c>
      <c r="E28" s="1251">
        <v>1.8</v>
      </c>
      <c r="F28" s="1251"/>
      <c r="G28" s="1251"/>
      <c r="H28" s="1251">
        <v>1.9</v>
      </c>
      <c r="I28" s="1251"/>
      <c r="J28" s="1251"/>
      <c r="K28" s="2096"/>
      <c r="L28" s="1920"/>
      <c r="M28" s="1864"/>
      <c r="N28" s="814"/>
      <c r="O28" s="903"/>
      <c r="P28" s="903"/>
      <c r="Q28" s="903"/>
      <c r="R28" s="1864"/>
    </row>
    <row r="29" spans="1:22" s="392" customFormat="1" ht="17.399999999999999" hidden="1" customHeight="1">
      <c r="A29" s="1247"/>
      <c r="B29" s="1248" t="s">
        <v>485</v>
      </c>
      <c r="C29" s="1249"/>
      <c r="D29" s="1250" t="s">
        <v>668</v>
      </c>
      <c r="E29" s="1251">
        <v>0.6</v>
      </c>
      <c r="F29" s="1251"/>
      <c r="G29" s="1251">
        <v>0.7</v>
      </c>
      <c r="H29" s="1251">
        <v>0.7</v>
      </c>
      <c r="I29" s="1251">
        <v>0.7</v>
      </c>
      <c r="J29" s="1251">
        <v>0.7</v>
      </c>
      <c r="K29" s="2097"/>
      <c r="L29" s="1982"/>
      <c r="M29" s="1865"/>
      <c r="N29" s="814"/>
      <c r="O29" s="903"/>
      <c r="P29" s="903"/>
      <c r="Q29" s="903"/>
      <c r="R29" s="1865"/>
    </row>
    <row r="30" spans="1:22" ht="20.100000000000001" customHeight="1">
      <c r="A30" s="2078" t="s">
        <v>2705</v>
      </c>
      <c r="B30" s="1865" t="s">
        <v>1591</v>
      </c>
      <c r="C30" s="2081" t="s">
        <v>1525</v>
      </c>
      <c r="D30" s="1235" t="s">
        <v>668</v>
      </c>
      <c r="E30" s="1236">
        <v>10</v>
      </c>
      <c r="F30" s="1236"/>
      <c r="G30" s="1236"/>
      <c r="H30" s="1236"/>
      <c r="I30" s="1236"/>
      <c r="J30" s="1236"/>
      <c r="K30" s="2095"/>
      <c r="L30" s="1943" t="s">
        <v>2957</v>
      </c>
      <c r="M30" s="1865" t="s">
        <v>1921</v>
      </c>
      <c r="N30" s="1739" t="s">
        <v>1941</v>
      </c>
      <c r="O30" s="1680" t="s">
        <v>613</v>
      </c>
      <c r="P30" s="1680" t="s">
        <v>613</v>
      </c>
      <c r="Q30" s="1680" t="s">
        <v>613</v>
      </c>
      <c r="R30" s="1863"/>
      <c r="U30" s="383"/>
      <c r="V30" s="383"/>
    </row>
    <row r="31" spans="1:22" ht="20.100000000000001" customHeight="1">
      <c r="A31" s="2084"/>
      <c r="B31" s="2016"/>
      <c r="C31" s="2082"/>
      <c r="D31" s="1242" t="s">
        <v>341</v>
      </c>
      <c r="E31" s="1243"/>
      <c r="F31" s="1243"/>
      <c r="G31" s="1243"/>
      <c r="H31" s="1243">
        <v>4.9880000000000004</v>
      </c>
      <c r="I31" s="1244"/>
      <c r="J31" s="1245"/>
      <c r="K31" s="2096"/>
      <c r="L31" s="1944"/>
      <c r="M31" s="2016"/>
      <c r="N31" s="2083"/>
      <c r="O31" s="1766"/>
      <c r="P31" s="1766"/>
      <c r="Q31" s="1766"/>
      <c r="R31" s="1864"/>
      <c r="U31" s="383"/>
      <c r="V31" s="383"/>
    </row>
    <row r="32" spans="1:22" ht="21.6" customHeight="1">
      <c r="A32" s="2084"/>
      <c r="B32" s="2016"/>
      <c r="C32" s="2082"/>
      <c r="D32" s="1252" t="s">
        <v>1372</v>
      </c>
      <c r="E32" s="1243">
        <f>SUM(E30:E31)</f>
        <v>10</v>
      </c>
      <c r="F32" s="1243">
        <f t="shared" ref="F32:J32" si="7">SUM(F30:F31)</f>
        <v>0</v>
      </c>
      <c r="G32" s="1243">
        <f t="shared" si="7"/>
        <v>0</v>
      </c>
      <c r="H32" s="1243">
        <f t="shared" si="7"/>
        <v>4.9880000000000004</v>
      </c>
      <c r="I32" s="1243">
        <f t="shared" si="7"/>
        <v>0</v>
      </c>
      <c r="J32" s="1243">
        <f t="shared" si="7"/>
        <v>0</v>
      </c>
      <c r="K32" s="2097"/>
      <c r="L32" s="1944"/>
      <c r="M32" s="2016"/>
      <c r="N32" s="2083"/>
      <c r="O32" s="1766"/>
      <c r="P32" s="1766"/>
      <c r="Q32" s="1766"/>
      <c r="R32" s="1865"/>
      <c r="U32" s="383"/>
      <c r="V32" s="383"/>
    </row>
    <row r="33" spans="1:22" ht="61.8" customHeight="1">
      <c r="A33" s="2078" t="s">
        <v>2706</v>
      </c>
      <c r="B33" s="1865" t="s">
        <v>1592</v>
      </c>
      <c r="C33" s="2081" t="s">
        <v>1525</v>
      </c>
      <c r="D33" s="1235" t="s">
        <v>1377</v>
      </c>
      <c r="E33" s="1236">
        <v>37.200000000000003</v>
      </c>
      <c r="F33" s="1237">
        <f>H33/E33-1</f>
        <v>0.46236559139784927</v>
      </c>
      <c r="G33" s="1236">
        <v>54.4</v>
      </c>
      <c r="H33" s="1236">
        <v>54.4</v>
      </c>
      <c r="I33" s="1236">
        <v>55</v>
      </c>
      <c r="J33" s="1236">
        <v>56</v>
      </c>
      <c r="K33" s="2095" t="s">
        <v>2951</v>
      </c>
      <c r="L33" s="1943" t="s">
        <v>1952</v>
      </c>
      <c r="M33" s="1865" t="s">
        <v>1922</v>
      </c>
      <c r="N33" s="1739" t="s">
        <v>3597</v>
      </c>
      <c r="O33" s="1680" t="s">
        <v>1942</v>
      </c>
      <c r="P33" s="1680" t="s">
        <v>1942</v>
      </c>
      <c r="Q33" s="1680" t="s">
        <v>1942</v>
      </c>
      <c r="R33" s="1863" t="s">
        <v>2952</v>
      </c>
      <c r="U33" s="383"/>
      <c r="V33" s="383"/>
    </row>
    <row r="34" spans="1:22" ht="56.4" customHeight="1">
      <c r="A34" s="2084"/>
      <c r="B34" s="2016"/>
      <c r="C34" s="2082"/>
      <c r="D34" s="1239" t="s">
        <v>1372</v>
      </c>
      <c r="E34" s="1240">
        <f>SUM(E33:E33)</f>
        <v>37.200000000000003</v>
      </c>
      <c r="F34" s="1241">
        <f t="shared" ref="F34:J34" si="8">SUM(F33:F33)</f>
        <v>0.46236559139784927</v>
      </c>
      <c r="G34" s="1240">
        <f t="shared" si="8"/>
        <v>54.4</v>
      </c>
      <c r="H34" s="1240">
        <f t="shared" si="8"/>
        <v>54.4</v>
      </c>
      <c r="I34" s="1240">
        <f t="shared" si="8"/>
        <v>55</v>
      </c>
      <c r="J34" s="1240">
        <f t="shared" si="8"/>
        <v>56</v>
      </c>
      <c r="K34" s="2097"/>
      <c r="L34" s="1944"/>
      <c r="M34" s="2016"/>
      <c r="N34" s="2083"/>
      <c r="O34" s="1766"/>
      <c r="P34" s="1766"/>
      <c r="Q34" s="1766"/>
      <c r="R34" s="1865"/>
      <c r="U34" s="383"/>
      <c r="V34" s="383"/>
    </row>
    <row r="35" spans="1:22" ht="91.2" customHeight="1">
      <c r="A35" s="2078" t="s">
        <v>2707</v>
      </c>
      <c r="B35" s="1865" t="s">
        <v>1593</v>
      </c>
      <c r="C35" s="2081" t="s">
        <v>1525</v>
      </c>
      <c r="D35" s="1235" t="s">
        <v>668</v>
      </c>
      <c r="E35" s="1236">
        <v>20</v>
      </c>
      <c r="F35" s="1237">
        <f>H35/E35-1</f>
        <v>0</v>
      </c>
      <c r="G35" s="1236">
        <v>20</v>
      </c>
      <c r="H35" s="1236">
        <v>20</v>
      </c>
      <c r="I35" s="1236">
        <v>25</v>
      </c>
      <c r="J35" s="1236">
        <v>30</v>
      </c>
      <c r="K35" s="2095" t="s">
        <v>2948</v>
      </c>
      <c r="L35" s="1943" t="s">
        <v>1953</v>
      </c>
      <c r="M35" s="1865" t="s">
        <v>1923</v>
      </c>
      <c r="N35" s="1739" t="s">
        <v>1943</v>
      </c>
      <c r="O35" s="1680" t="s">
        <v>612</v>
      </c>
      <c r="P35" s="1680" t="s">
        <v>1776</v>
      </c>
      <c r="Q35" s="1680" t="s">
        <v>1776</v>
      </c>
      <c r="R35" s="1142" t="s">
        <v>2949</v>
      </c>
      <c r="U35" s="383"/>
      <c r="V35" s="383"/>
    </row>
    <row r="36" spans="1:22" ht="97.2" customHeight="1">
      <c r="A36" s="2084"/>
      <c r="B36" s="2016"/>
      <c r="C36" s="2082"/>
      <c r="D36" s="1239" t="s">
        <v>1372</v>
      </c>
      <c r="E36" s="1240">
        <f>SUM(E35:E35)</f>
        <v>20</v>
      </c>
      <c r="F36" s="1240">
        <f t="shared" ref="F36:J36" si="9">SUM(F35:F35)</f>
        <v>0</v>
      </c>
      <c r="G36" s="1240">
        <f t="shared" si="9"/>
        <v>20</v>
      </c>
      <c r="H36" s="1240">
        <f t="shared" si="9"/>
        <v>20</v>
      </c>
      <c r="I36" s="1240">
        <f t="shared" si="9"/>
        <v>25</v>
      </c>
      <c r="J36" s="1240">
        <f t="shared" si="9"/>
        <v>30</v>
      </c>
      <c r="K36" s="2097"/>
      <c r="L36" s="1944"/>
      <c r="M36" s="2016"/>
      <c r="N36" s="2083"/>
      <c r="O36" s="1766"/>
      <c r="P36" s="1766"/>
      <c r="Q36" s="1766"/>
      <c r="R36" s="1142" t="s">
        <v>2950</v>
      </c>
      <c r="U36" s="383"/>
      <c r="V36" s="383"/>
    </row>
    <row r="37" spans="1:22" ht="25.8" customHeight="1">
      <c r="A37" s="2078" t="s">
        <v>3485</v>
      </c>
      <c r="B37" s="1865" t="s">
        <v>2340</v>
      </c>
      <c r="C37" s="2081" t="s">
        <v>1525</v>
      </c>
      <c r="D37" s="1235" t="s">
        <v>668</v>
      </c>
      <c r="E37" s="1236"/>
      <c r="F37" s="1236"/>
      <c r="G37" s="1236"/>
      <c r="H37" s="1236"/>
      <c r="I37" s="1236"/>
      <c r="J37" s="1236"/>
      <c r="K37" s="2095" t="s">
        <v>2955</v>
      </c>
      <c r="L37" s="1943" t="s">
        <v>1954</v>
      </c>
      <c r="M37" s="1865" t="s">
        <v>1924</v>
      </c>
      <c r="N37" s="1739" t="s">
        <v>1944</v>
      </c>
      <c r="O37" s="1680" t="s">
        <v>1776</v>
      </c>
      <c r="P37" s="1680" t="s">
        <v>613</v>
      </c>
      <c r="Q37" s="1680" t="s">
        <v>613</v>
      </c>
      <c r="R37" s="1863" t="s">
        <v>2956</v>
      </c>
      <c r="U37" s="383"/>
      <c r="V37" s="383"/>
    </row>
    <row r="38" spans="1:22" ht="32.4" customHeight="1">
      <c r="A38" s="2078"/>
      <c r="B38" s="1865"/>
      <c r="C38" s="2081"/>
      <c r="D38" s="1235" t="s">
        <v>341</v>
      </c>
      <c r="E38" s="1236">
        <v>0</v>
      </c>
      <c r="F38" s="1236"/>
      <c r="G38" s="1236">
        <v>400</v>
      </c>
      <c r="H38" s="1236">
        <v>400</v>
      </c>
      <c r="I38" s="1236">
        <v>470.887</v>
      </c>
      <c r="J38" s="1236"/>
      <c r="K38" s="2096"/>
      <c r="L38" s="1943"/>
      <c r="M38" s="1865"/>
      <c r="N38" s="1739"/>
      <c r="O38" s="1680"/>
      <c r="P38" s="1680"/>
      <c r="Q38" s="1680"/>
      <c r="R38" s="1864"/>
      <c r="U38" s="383"/>
      <c r="V38" s="383"/>
    </row>
    <row r="39" spans="1:22" ht="32.25" customHeight="1">
      <c r="A39" s="2084"/>
      <c r="B39" s="2016"/>
      <c r="C39" s="2082"/>
      <c r="D39" s="1239" t="s">
        <v>1372</v>
      </c>
      <c r="E39" s="1240">
        <f>SUM(E37:E37)</f>
        <v>0</v>
      </c>
      <c r="F39" s="1240">
        <f t="shared" ref="F39" si="10">SUM(F37:F37)</f>
        <v>0</v>
      </c>
      <c r="G39" s="1240">
        <f>SUM(G37:G38)</f>
        <v>400</v>
      </c>
      <c r="H39" s="1240">
        <f t="shared" ref="H39:J39" si="11">SUM(H37:H38)</f>
        <v>400</v>
      </c>
      <c r="I39" s="1240">
        <f t="shared" si="11"/>
        <v>470.887</v>
      </c>
      <c r="J39" s="1240">
        <f t="shared" si="11"/>
        <v>0</v>
      </c>
      <c r="K39" s="2097"/>
      <c r="L39" s="1944"/>
      <c r="M39" s="2016"/>
      <c r="N39" s="2083"/>
      <c r="O39" s="1766"/>
      <c r="P39" s="1766"/>
      <c r="Q39" s="1766"/>
      <c r="R39" s="1865"/>
      <c r="U39" s="383"/>
      <c r="V39" s="383"/>
    </row>
    <row r="40" spans="1:22" ht="46.2" customHeight="1">
      <c r="A40" s="2078" t="s">
        <v>3486</v>
      </c>
      <c r="B40" s="1865" t="s">
        <v>3598</v>
      </c>
      <c r="C40" s="2081" t="s">
        <v>1525</v>
      </c>
      <c r="D40" s="1235" t="s">
        <v>668</v>
      </c>
      <c r="E40" s="1236"/>
      <c r="F40" s="1236"/>
      <c r="G40" s="1236"/>
      <c r="H40" s="1236"/>
      <c r="I40" s="1236"/>
      <c r="J40" s="1236"/>
      <c r="K40" s="2095" t="s">
        <v>2951</v>
      </c>
      <c r="L40" s="1943" t="s">
        <v>3599</v>
      </c>
      <c r="M40" s="1865" t="s">
        <v>1925</v>
      </c>
      <c r="N40" s="1739" t="s">
        <v>1945</v>
      </c>
      <c r="O40" s="1680" t="s">
        <v>613</v>
      </c>
      <c r="P40" s="1680" t="s">
        <v>613</v>
      </c>
      <c r="Q40" s="1680" t="s">
        <v>469</v>
      </c>
      <c r="R40" s="1863" t="s">
        <v>2952</v>
      </c>
      <c r="S40" s="543" t="s">
        <v>3600</v>
      </c>
      <c r="U40" s="383"/>
      <c r="V40" s="383"/>
    </row>
    <row r="41" spans="1:22" ht="49.2" customHeight="1">
      <c r="A41" s="2084"/>
      <c r="B41" s="2016"/>
      <c r="C41" s="2082"/>
      <c r="D41" s="1242" t="s">
        <v>341</v>
      </c>
      <c r="E41" s="1243"/>
      <c r="F41" s="1243"/>
      <c r="G41" s="1243"/>
      <c r="H41" s="1243"/>
      <c r="I41" s="1244"/>
      <c r="J41" s="1245"/>
      <c r="K41" s="2096"/>
      <c r="L41" s="1944"/>
      <c r="M41" s="2016"/>
      <c r="N41" s="2083"/>
      <c r="O41" s="1766"/>
      <c r="P41" s="1766"/>
      <c r="Q41" s="1766"/>
      <c r="R41" s="1864"/>
      <c r="U41" s="383"/>
      <c r="V41" s="383"/>
    </row>
    <row r="42" spans="1:22" ht="55.2" customHeight="1">
      <c r="A42" s="2084"/>
      <c r="B42" s="2016"/>
      <c r="C42" s="2082"/>
      <c r="D42" s="1239" t="s">
        <v>1372</v>
      </c>
      <c r="E42" s="1240">
        <f>SUM(E40:E41)</f>
        <v>0</v>
      </c>
      <c r="F42" s="1240">
        <f t="shared" ref="F42:J42" si="12">SUM(F40:F41)</f>
        <v>0</v>
      </c>
      <c r="G42" s="1240">
        <f t="shared" si="12"/>
        <v>0</v>
      </c>
      <c r="H42" s="1240">
        <f t="shared" si="12"/>
        <v>0</v>
      </c>
      <c r="I42" s="1240">
        <f t="shared" si="12"/>
        <v>0</v>
      </c>
      <c r="J42" s="1240">
        <f t="shared" si="12"/>
        <v>0</v>
      </c>
      <c r="K42" s="2097"/>
      <c r="L42" s="1944"/>
      <c r="M42" s="2016"/>
      <c r="N42" s="2083"/>
      <c r="O42" s="1766"/>
      <c r="P42" s="1766"/>
      <c r="Q42" s="1766"/>
      <c r="R42" s="1865"/>
      <c r="U42" s="383"/>
      <c r="V42" s="383"/>
    </row>
    <row r="43" spans="1:22" ht="58.2" customHeight="1">
      <c r="A43" s="2078" t="s">
        <v>3487</v>
      </c>
      <c r="B43" s="1865" t="s">
        <v>3601</v>
      </c>
      <c r="C43" s="2081" t="s">
        <v>1525</v>
      </c>
      <c r="D43" s="1235" t="s">
        <v>668</v>
      </c>
      <c r="E43" s="1236"/>
      <c r="F43" s="1236"/>
      <c r="G43" s="1253"/>
      <c r="H43" s="1253"/>
      <c r="I43" s="1236"/>
      <c r="J43" s="1236"/>
      <c r="K43" s="2095" t="s">
        <v>2958</v>
      </c>
      <c r="L43" s="1943" t="s">
        <v>3602</v>
      </c>
      <c r="M43" s="1865" t="s">
        <v>1924</v>
      </c>
      <c r="N43" s="1739" t="s">
        <v>1945</v>
      </c>
      <c r="O43" s="1680" t="s">
        <v>613</v>
      </c>
      <c r="P43" s="1680" t="s">
        <v>613</v>
      </c>
      <c r="Q43" s="1680" t="s">
        <v>469</v>
      </c>
      <c r="R43" s="1863" t="s">
        <v>2959</v>
      </c>
      <c r="S43" s="543" t="s">
        <v>3600</v>
      </c>
      <c r="U43" s="383"/>
      <c r="V43" s="383"/>
    </row>
    <row r="44" spans="1:22" ht="43.8" customHeight="1">
      <c r="A44" s="2079"/>
      <c r="B44" s="1864"/>
      <c r="C44" s="2081"/>
      <c r="D44" s="1235" t="s">
        <v>341</v>
      </c>
      <c r="E44" s="1236"/>
      <c r="F44" s="1236"/>
      <c r="G44" s="1253"/>
      <c r="H44" s="1253"/>
      <c r="I44" s="1236"/>
      <c r="J44" s="1236"/>
      <c r="K44" s="2096"/>
      <c r="L44" s="1943"/>
      <c r="M44" s="1865"/>
      <c r="N44" s="1739"/>
      <c r="O44" s="1680"/>
      <c r="P44" s="1680"/>
      <c r="Q44" s="1680"/>
      <c r="R44" s="1864"/>
      <c r="U44" s="383"/>
      <c r="V44" s="383"/>
    </row>
    <row r="45" spans="1:22" ht="52.2" customHeight="1">
      <c r="A45" s="2080"/>
      <c r="B45" s="1863"/>
      <c r="C45" s="2082"/>
      <c r="D45" s="1239" t="s">
        <v>1372</v>
      </c>
      <c r="E45" s="1240">
        <f>SUM(E43:E43)</f>
        <v>0</v>
      </c>
      <c r="F45" s="1240">
        <f t="shared" ref="F45" si="13">SUM(F43:F43)</f>
        <v>0</v>
      </c>
      <c r="G45" s="1240">
        <f t="shared" ref="G45" si="14">SUM(G43:G43)</f>
        <v>0</v>
      </c>
      <c r="H45" s="1240">
        <f t="shared" ref="H45" si="15">SUM(H43:H43)</f>
        <v>0</v>
      </c>
      <c r="I45" s="1240">
        <f t="shared" ref="I45" si="16">SUM(I43:I43)</f>
        <v>0</v>
      </c>
      <c r="J45" s="1240">
        <f t="shared" ref="J45" si="17">SUM(J43:J43)</f>
        <v>0</v>
      </c>
      <c r="K45" s="2097"/>
      <c r="L45" s="1944"/>
      <c r="M45" s="2016"/>
      <c r="N45" s="2083"/>
      <c r="O45" s="1766"/>
      <c r="P45" s="1766"/>
      <c r="Q45" s="1766"/>
      <c r="R45" s="1865"/>
      <c r="U45" s="383"/>
      <c r="V45" s="383"/>
    </row>
    <row r="46" spans="1:22" ht="32.4" customHeight="1">
      <c r="A46" s="1254" t="s">
        <v>2711</v>
      </c>
      <c r="B46" s="1255" t="s">
        <v>1594</v>
      </c>
      <c r="C46" s="1256"/>
      <c r="D46" s="879"/>
      <c r="E46" s="1116">
        <f>SUM(E52,E54,E57,)</f>
        <v>14.951000000000001</v>
      </c>
      <c r="F46" s="1116">
        <f>SUM(F52,F54,F57,)</f>
        <v>0</v>
      </c>
      <c r="G46" s="1116">
        <f>SUM(G52,G54,G57,)</f>
        <v>0</v>
      </c>
      <c r="H46" s="1116">
        <f>SUM(H49,H52,H54,H57,H64,H67)</f>
        <v>236.34800000000001</v>
      </c>
      <c r="I46" s="1116">
        <f t="shared" ref="I46:J46" si="18">SUM(I49,I52,I54,I57,I64,I67)</f>
        <v>1488.951</v>
      </c>
      <c r="J46" s="1116">
        <f t="shared" si="18"/>
        <v>1493.951</v>
      </c>
      <c r="K46" s="1116" t="s">
        <v>2984</v>
      </c>
      <c r="L46" s="999"/>
      <c r="M46" s="1255" t="s">
        <v>1926</v>
      </c>
      <c r="N46" s="1234" t="s">
        <v>3609</v>
      </c>
      <c r="O46" s="1146" t="s">
        <v>469</v>
      </c>
      <c r="P46" s="1146" t="s">
        <v>469</v>
      </c>
      <c r="Q46" s="1146" t="s">
        <v>469</v>
      </c>
      <c r="R46" s="1255"/>
      <c r="U46" s="383"/>
      <c r="V46" s="383"/>
    </row>
    <row r="47" spans="1:22" ht="28.95" customHeight="1">
      <c r="A47" s="2084" t="s">
        <v>3256</v>
      </c>
      <c r="B47" s="2092" t="s">
        <v>3604</v>
      </c>
      <c r="C47" s="2093">
        <v>188711925</v>
      </c>
      <c r="D47" s="1257" t="s">
        <v>668</v>
      </c>
      <c r="E47" s="1243"/>
      <c r="F47" s="1243"/>
      <c r="G47" s="1258"/>
      <c r="H47" s="1243">
        <v>34.1</v>
      </c>
      <c r="I47" s="1244">
        <v>70</v>
      </c>
      <c r="J47" s="1245">
        <v>75</v>
      </c>
      <c r="K47" s="2095" t="s">
        <v>3258</v>
      </c>
      <c r="L47" s="1919" t="s">
        <v>3260</v>
      </c>
      <c r="M47" s="1865" t="s">
        <v>3257</v>
      </c>
      <c r="N47" s="1739" t="s">
        <v>3261</v>
      </c>
      <c r="O47" s="1680" t="s">
        <v>469</v>
      </c>
      <c r="P47" s="1680" t="s">
        <v>613</v>
      </c>
      <c r="Q47" s="1680" t="s">
        <v>613</v>
      </c>
      <c r="R47" s="1863" t="s">
        <v>3259</v>
      </c>
      <c r="S47" s="544" t="s">
        <v>3603</v>
      </c>
      <c r="U47" s="383"/>
      <c r="V47" s="383"/>
    </row>
    <row r="48" spans="1:22" ht="26.4" customHeight="1">
      <c r="A48" s="2084"/>
      <c r="B48" s="2092"/>
      <c r="C48" s="2093"/>
      <c r="D48" s="1257" t="s">
        <v>341</v>
      </c>
      <c r="E48" s="1243"/>
      <c r="F48" s="1243"/>
      <c r="G48" s="1243"/>
      <c r="H48" s="1243"/>
      <c r="I48" s="1259"/>
      <c r="J48" s="1245"/>
      <c r="K48" s="2096"/>
      <c r="L48" s="1920"/>
      <c r="M48" s="1865"/>
      <c r="N48" s="1739"/>
      <c r="O48" s="1680"/>
      <c r="P48" s="1680"/>
      <c r="Q48" s="1680"/>
      <c r="R48" s="1864"/>
      <c r="U48" s="383"/>
      <c r="V48" s="383"/>
    </row>
    <row r="49" spans="1:22" ht="27" customHeight="1">
      <c r="A49" s="2084"/>
      <c r="B49" s="2092"/>
      <c r="C49" s="2093"/>
      <c r="D49" s="1260" t="s">
        <v>1372</v>
      </c>
      <c r="E49" s="1240">
        <f>E47</f>
        <v>0</v>
      </c>
      <c r="F49" s="1240"/>
      <c r="G49" s="1240">
        <f t="shared" ref="G49:J49" si="19">G47</f>
        <v>0</v>
      </c>
      <c r="H49" s="1240">
        <f t="shared" si="19"/>
        <v>34.1</v>
      </c>
      <c r="I49" s="1240">
        <f t="shared" si="19"/>
        <v>70</v>
      </c>
      <c r="J49" s="1261">
        <f t="shared" si="19"/>
        <v>75</v>
      </c>
      <c r="K49" s="2097"/>
      <c r="L49" s="2094"/>
      <c r="M49" s="2016"/>
      <c r="N49" s="2083"/>
      <c r="O49" s="1766"/>
      <c r="P49" s="1766"/>
      <c r="Q49" s="1766"/>
      <c r="R49" s="1865"/>
      <c r="U49" s="383"/>
      <c r="V49" s="383"/>
    </row>
    <row r="50" spans="1:22" ht="57" customHeight="1">
      <c r="A50" s="2084" t="s">
        <v>3632</v>
      </c>
      <c r="B50" s="2092" t="s">
        <v>1595</v>
      </c>
      <c r="C50" s="2093">
        <v>188711925</v>
      </c>
      <c r="D50" s="1257" t="s">
        <v>668</v>
      </c>
      <c r="E50" s="1243"/>
      <c r="F50" s="1243"/>
      <c r="G50" s="1243"/>
      <c r="H50" s="1243"/>
      <c r="I50" s="1244"/>
      <c r="J50" s="1245"/>
      <c r="K50" s="2095" t="s">
        <v>2953</v>
      </c>
      <c r="L50" s="1919" t="s">
        <v>3605</v>
      </c>
      <c r="M50" s="1865" t="s">
        <v>1927</v>
      </c>
      <c r="N50" s="1739" t="s">
        <v>1946</v>
      </c>
      <c r="O50" s="1680" t="s">
        <v>613</v>
      </c>
      <c r="P50" s="1680" t="s">
        <v>613</v>
      </c>
      <c r="Q50" s="1680" t="s">
        <v>469</v>
      </c>
      <c r="R50" s="1863" t="s">
        <v>2954</v>
      </c>
      <c r="U50" s="383"/>
      <c r="V50" s="383"/>
    </row>
    <row r="51" spans="1:22" ht="25.2" customHeight="1">
      <c r="A51" s="2084"/>
      <c r="B51" s="2092"/>
      <c r="C51" s="2093"/>
      <c r="D51" s="1257" t="s">
        <v>341</v>
      </c>
      <c r="E51" s="1243"/>
      <c r="F51" s="1243"/>
      <c r="G51" s="1243"/>
      <c r="H51" s="1243"/>
      <c r="I51" s="1259"/>
      <c r="J51" s="1245"/>
      <c r="K51" s="2096"/>
      <c r="L51" s="1920"/>
      <c r="M51" s="1865"/>
      <c r="N51" s="1739"/>
      <c r="O51" s="1680"/>
      <c r="P51" s="1680"/>
      <c r="Q51" s="1680"/>
      <c r="R51" s="1864"/>
      <c r="U51" s="383"/>
      <c r="V51" s="383"/>
    </row>
    <row r="52" spans="1:22" ht="34.200000000000003" customHeight="1">
      <c r="A52" s="2084"/>
      <c r="B52" s="2092"/>
      <c r="C52" s="2093"/>
      <c r="D52" s="1260" t="s">
        <v>1372</v>
      </c>
      <c r="E52" s="1240">
        <f>E50</f>
        <v>0</v>
      </c>
      <c r="F52" s="1240"/>
      <c r="G52" s="1240">
        <f t="shared" ref="G52:J52" si="20">G50</f>
        <v>0</v>
      </c>
      <c r="H52" s="1240">
        <f t="shared" si="20"/>
        <v>0</v>
      </c>
      <c r="I52" s="1240">
        <f t="shared" si="20"/>
        <v>0</v>
      </c>
      <c r="J52" s="1261">
        <f t="shared" si="20"/>
        <v>0</v>
      </c>
      <c r="K52" s="2097"/>
      <c r="L52" s="2094"/>
      <c r="M52" s="2016"/>
      <c r="N52" s="2083"/>
      <c r="O52" s="1766"/>
      <c r="P52" s="1766"/>
      <c r="Q52" s="1766"/>
      <c r="R52" s="1865"/>
      <c r="U52" s="383"/>
      <c r="V52" s="383"/>
    </row>
    <row r="53" spans="1:22" ht="55.2" customHeight="1">
      <c r="A53" s="2084" t="s">
        <v>3631</v>
      </c>
      <c r="B53" s="2092" t="s">
        <v>3610</v>
      </c>
      <c r="C53" s="2093">
        <v>155936576</v>
      </c>
      <c r="D53" s="1257" t="s">
        <v>341</v>
      </c>
      <c r="E53" s="1243"/>
      <c r="F53" s="1243"/>
      <c r="G53" s="1262"/>
      <c r="H53" s="1243">
        <v>129.036</v>
      </c>
      <c r="I53" s="1244"/>
      <c r="J53" s="1245"/>
      <c r="K53" s="2118" t="s">
        <v>2955</v>
      </c>
      <c r="L53" s="1919" t="s">
        <v>3899</v>
      </c>
      <c r="M53" s="1865" t="s">
        <v>1928</v>
      </c>
      <c r="N53" s="1865" t="s">
        <v>1947</v>
      </c>
      <c r="O53" s="1679" t="s">
        <v>469</v>
      </c>
      <c r="P53" s="1679" t="s">
        <v>613</v>
      </c>
      <c r="Q53" s="1679" t="s">
        <v>613</v>
      </c>
      <c r="R53" s="1863" t="s">
        <v>2956</v>
      </c>
      <c r="U53" s="383"/>
      <c r="V53" s="383"/>
    </row>
    <row r="54" spans="1:22" ht="68.400000000000006" customHeight="1">
      <c r="A54" s="2084"/>
      <c r="B54" s="2114"/>
      <c r="C54" s="2115"/>
      <c r="D54" s="1263" t="s">
        <v>1372</v>
      </c>
      <c r="E54" s="1246">
        <f>E53</f>
        <v>0</v>
      </c>
      <c r="F54" s="1246">
        <f t="shared" ref="F54:J54" si="21">F53</f>
        <v>0</v>
      </c>
      <c r="G54" s="1246">
        <f t="shared" si="21"/>
        <v>0</v>
      </c>
      <c r="H54" s="1246">
        <f t="shared" si="21"/>
        <v>129.036</v>
      </c>
      <c r="I54" s="1246">
        <f t="shared" si="21"/>
        <v>0</v>
      </c>
      <c r="J54" s="1246">
        <f t="shared" si="21"/>
        <v>0</v>
      </c>
      <c r="K54" s="2118"/>
      <c r="L54" s="2094"/>
      <c r="M54" s="2016"/>
      <c r="N54" s="2016"/>
      <c r="O54" s="1680"/>
      <c r="P54" s="1680"/>
      <c r="Q54" s="1680"/>
      <c r="R54" s="1865"/>
      <c r="U54" s="383"/>
      <c r="V54" s="383"/>
    </row>
    <row r="55" spans="1:22" ht="25.2" customHeight="1">
      <c r="A55" s="2084" t="s">
        <v>2708</v>
      </c>
      <c r="B55" s="2109" t="s">
        <v>1596</v>
      </c>
      <c r="C55" s="2111">
        <v>188711925</v>
      </c>
      <c r="D55" s="1257" t="s">
        <v>668</v>
      </c>
      <c r="E55" s="1243">
        <v>14.951000000000001</v>
      </c>
      <c r="F55" s="1243"/>
      <c r="G55" s="1243"/>
      <c r="H55" s="1243"/>
      <c r="I55" s="1244"/>
      <c r="J55" s="1243"/>
      <c r="K55" s="2095"/>
      <c r="L55" s="1943" t="s">
        <v>3328</v>
      </c>
      <c r="M55" s="1865" t="s">
        <v>1929</v>
      </c>
      <c r="N55" s="1865" t="s">
        <v>1948</v>
      </c>
      <c r="O55" s="1679" t="s">
        <v>551</v>
      </c>
      <c r="P55" s="1679" t="s">
        <v>613</v>
      </c>
      <c r="Q55" s="1679" t="s">
        <v>613</v>
      </c>
      <c r="R55" s="1863"/>
      <c r="U55" s="383"/>
      <c r="V55" s="383"/>
    </row>
    <row r="56" spans="1:22" ht="23.4" customHeight="1">
      <c r="A56" s="2084"/>
      <c r="B56" s="2110"/>
      <c r="C56" s="2112"/>
      <c r="D56" s="1264" t="s">
        <v>341</v>
      </c>
      <c r="E56" s="1238"/>
      <c r="F56" s="1238"/>
      <c r="G56" s="1238"/>
      <c r="H56" s="1238"/>
      <c r="I56" s="1259"/>
      <c r="J56" s="1243"/>
      <c r="K56" s="2096"/>
      <c r="L56" s="1944"/>
      <c r="M56" s="1865"/>
      <c r="N56" s="1865"/>
      <c r="O56" s="1866"/>
      <c r="P56" s="1866"/>
      <c r="Q56" s="1866"/>
      <c r="R56" s="1864"/>
      <c r="U56" s="383"/>
      <c r="V56" s="383"/>
    </row>
    <row r="57" spans="1:22" ht="25.2" customHeight="1">
      <c r="A57" s="2080"/>
      <c r="B57" s="2110"/>
      <c r="C57" s="2112"/>
      <c r="D57" s="1263" t="s">
        <v>1372</v>
      </c>
      <c r="E57" s="1246">
        <f>E55</f>
        <v>14.951000000000001</v>
      </c>
      <c r="F57" s="1246">
        <f t="shared" ref="F57:J57" si="22">F55</f>
        <v>0</v>
      </c>
      <c r="G57" s="1246">
        <f t="shared" si="22"/>
        <v>0</v>
      </c>
      <c r="H57" s="1246">
        <f t="shared" si="22"/>
        <v>0</v>
      </c>
      <c r="I57" s="1246">
        <f t="shared" si="22"/>
        <v>0</v>
      </c>
      <c r="J57" s="1246">
        <f t="shared" si="22"/>
        <v>0</v>
      </c>
      <c r="K57" s="2097"/>
      <c r="L57" s="1944"/>
      <c r="M57" s="2016"/>
      <c r="N57" s="2016"/>
      <c r="O57" s="1680"/>
      <c r="P57" s="1680"/>
      <c r="Q57" s="1680"/>
      <c r="R57" s="1865"/>
      <c r="U57" s="383"/>
      <c r="V57" s="383"/>
    </row>
    <row r="58" spans="1:22" ht="27" hidden="1" customHeight="1">
      <c r="A58" s="1265" t="s">
        <v>2712</v>
      </c>
      <c r="B58" s="1266" t="s">
        <v>1597</v>
      </c>
      <c r="C58" s="1267"/>
      <c r="D58" s="1268"/>
      <c r="E58" s="1269">
        <f>SUM(E60)</f>
        <v>1.18</v>
      </c>
      <c r="F58" s="1269">
        <f t="shared" ref="F58:J58" si="23">SUM(F60)</f>
        <v>0</v>
      </c>
      <c r="G58" s="1269">
        <f t="shared" si="23"/>
        <v>0</v>
      </c>
      <c r="H58" s="1269">
        <f t="shared" si="23"/>
        <v>0</v>
      </c>
      <c r="I58" s="1269">
        <f t="shared" si="23"/>
        <v>0</v>
      </c>
      <c r="J58" s="1269">
        <f t="shared" si="23"/>
        <v>0</v>
      </c>
      <c r="K58" s="1270"/>
      <c r="L58" s="1271" t="s">
        <v>2985</v>
      </c>
      <c r="M58" s="1272" t="s">
        <v>1930</v>
      </c>
      <c r="N58" s="1273"/>
      <c r="O58" s="1304"/>
      <c r="P58" s="1304"/>
      <c r="Q58" s="1304"/>
      <c r="R58" s="1272"/>
      <c r="U58" s="383"/>
      <c r="V58" s="383"/>
    </row>
    <row r="59" spans="1:22" ht="20.100000000000001" hidden="1" customHeight="1">
      <c r="A59" s="2116" t="s">
        <v>2709</v>
      </c>
      <c r="B59" s="2117" t="s">
        <v>1598</v>
      </c>
      <c r="C59" s="2103" t="s">
        <v>1376</v>
      </c>
      <c r="D59" s="1274" t="s">
        <v>668</v>
      </c>
      <c r="E59" s="1270">
        <v>1.18</v>
      </c>
      <c r="F59" s="1270"/>
      <c r="G59" s="1270"/>
      <c r="H59" s="1270"/>
      <c r="I59" s="1275"/>
      <c r="J59" s="1276"/>
      <c r="K59" s="2089"/>
      <c r="L59" s="2098" t="s">
        <v>1955</v>
      </c>
      <c r="M59" s="2105" t="s">
        <v>1931</v>
      </c>
      <c r="N59" s="2106" t="s">
        <v>1949</v>
      </c>
      <c r="O59" s="2091" t="s">
        <v>11</v>
      </c>
      <c r="P59" s="2091" t="s">
        <v>1694</v>
      </c>
      <c r="Q59" s="2091" t="s">
        <v>1847</v>
      </c>
      <c r="R59" s="2104"/>
      <c r="U59" s="383"/>
      <c r="V59" s="383"/>
    </row>
    <row r="60" spans="1:22" ht="20.100000000000001" hidden="1" customHeight="1">
      <c r="A60" s="2116"/>
      <c r="B60" s="2117"/>
      <c r="C60" s="2103"/>
      <c r="D60" s="1277" t="s">
        <v>1372</v>
      </c>
      <c r="E60" s="1270">
        <f>E59</f>
        <v>1.18</v>
      </c>
      <c r="F60" s="1270"/>
      <c r="G60" s="1270">
        <f t="shared" ref="G60:J60" si="24">G59</f>
        <v>0</v>
      </c>
      <c r="H60" s="1270">
        <f t="shared" si="24"/>
        <v>0</v>
      </c>
      <c r="I60" s="1270">
        <f t="shared" si="24"/>
        <v>0</v>
      </c>
      <c r="J60" s="1276">
        <f t="shared" si="24"/>
        <v>0</v>
      </c>
      <c r="K60" s="2090"/>
      <c r="L60" s="2099"/>
      <c r="M60" s="2113"/>
      <c r="N60" s="2107"/>
      <c r="O60" s="1767"/>
      <c r="P60" s="1767"/>
      <c r="Q60" s="1767"/>
      <c r="R60" s="2105"/>
      <c r="U60" s="383"/>
      <c r="V60" s="383"/>
    </row>
    <row r="61" spans="1:22" ht="20.100000000000001" hidden="1" customHeight="1">
      <c r="A61" s="1278"/>
      <c r="B61" s="1279" t="s">
        <v>485</v>
      </c>
      <c r="C61" s="1280"/>
      <c r="D61" s="1281"/>
      <c r="E61" s="1282"/>
      <c r="F61" s="1282"/>
      <c r="G61" s="1282"/>
      <c r="H61" s="1282"/>
      <c r="I61" s="1282"/>
      <c r="J61" s="1283"/>
      <c r="K61" s="1284"/>
      <c r="L61" s="1285"/>
      <c r="M61" s="1286"/>
      <c r="N61" s="1286"/>
      <c r="O61" s="1305"/>
      <c r="P61" s="1305"/>
      <c r="Q61" s="1305"/>
      <c r="R61" s="1287"/>
      <c r="U61" s="383"/>
      <c r="V61" s="383"/>
    </row>
    <row r="62" spans="1:22" ht="48" customHeight="1">
      <c r="A62" s="2084" t="s">
        <v>3635</v>
      </c>
      <c r="B62" s="2109" t="s">
        <v>3634</v>
      </c>
      <c r="C62" s="2111">
        <v>191342858</v>
      </c>
      <c r="D62" s="1257" t="s">
        <v>668</v>
      </c>
      <c r="E62" s="1243"/>
      <c r="F62" s="1243"/>
      <c r="G62" s="1243"/>
      <c r="H62" s="1243"/>
      <c r="I62" s="1244"/>
      <c r="J62" s="1243"/>
      <c r="K62" s="1654" t="s">
        <v>3660</v>
      </c>
      <c r="L62" s="1943" t="s">
        <v>3656</v>
      </c>
      <c r="M62" s="1865" t="s">
        <v>3657</v>
      </c>
      <c r="N62" s="1865" t="s">
        <v>1865</v>
      </c>
      <c r="O62" s="1679" t="s">
        <v>613</v>
      </c>
      <c r="P62" s="1679" t="s">
        <v>613</v>
      </c>
      <c r="Q62" s="1679" t="s">
        <v>469</v>
      </c>
      <c r="R62" s="1863" t="s">
        <v>2956</v>
      </c>
      <c r="S62" s="544" t="s">
        <v>3633</v>
      </c>
      <c r="U62" s="383"/>
      <c r="V62" s="383"/>
    </row>
    <row r="63" spans="1:22" ht="23.4" customHeight="1">
      <c r="A63" s="2084"/>
      <c r="B63" s="2110"/>
      <c r="C63" s="2112"/>
      <c r="D63" s="1264" t="s">
        <v>341</v>
      </c>
      <c r="E63" s="1238"/>
      <c r="F63" s="1238"/>
      <c r="G63" s="1238"/>
      <c r="H63" s="1238"/>
      <c r="I63" s="1259">
        <v>1418.951</v>
      </c>
      <c r="J63" s="1243">
        <v>1418.951</v>
      </c>
      <c r="K63" s="1886"/>
      <c r="L63" s="1944"/>
      <c r="M63" s="1865"/>
      <c r="N63" s="1865"/>
      <c r="O63" s="1866"/>
      <c r="P63" s="1866"/>
      <c r="Q63" s="1866"/>
      <c r="R63" s="1864"/>
      <c r="U63" s="383"/>
      <c r="V63" s="383"/>
    </row>
    <row r="64" spans="1:22" ht="40.5" customHeight="1">
      <c r="A64" s="2080"/>
      <c r="B64" s="2110"/>
      <c r="C64" s="2112"/>
      <c r="D64" s="1263" t="s">
        <v>1372</v>
      </c>
      <c r="E64" s="1246">
        <f>E62</f>
        <v>0</v>
      </c>
      <c r="F64" s="1246">
        <f t="shared" ref="F64:H64" si="25">F62</f>
        <v>0</v>
      </c>
      <c r="G64" s="1246">
        <f t="shared" si="25"/>
        <v>0</v>
      </c>
      <c r="H64" s="1246">
        <f t="shared" si="25"/>
        <v>0</v>
      </c>
      <c r="I64" s="1246">
        <f>I63</f>
        <v>1418.951</v>
      </c>
      <c r="J64" s="1246">
        <f>J63</f>
        <v>1418.951</v>
      </c>
      <c r="K64" s="1655"/>
      <c r="L64" s="1944"/>
      <c r="M64" s="2016"/>
      <c r="N64" s="2016"/>
      <c r="O64" s="1680"/>
      <c r="P64" s="1680"/>
      <c r="Q64" s="1680"/>
      <c r="R64" s="1865"/>
      <c r="U64" s="383"/>
      <c r="V64" s="383"/>
    </row>
    <row r="65" spans="1:22" ht="48.6" customHeight="1">
      <c r="A65" s="2084" t="s">
        <v>3652</v>
      </c>
      <c r="B65" s="2109" t="s">
        <v>3653</v>
      </c>
      <c r="C65" s="2111">
        <v>188711925</v>
      </c>
      <c r="D65" s="1257" t="s">
        <v>668</v>
      </c>
      <c r="E65" s="1243"/>
      <c r="F65" s="1243"/>
      <c r="G65" s="1243"/>
      <c r="H65" s="1243"/>
      <c r="I65" s="1244"/>
      <c r="J65" s="1243"/>
      <c r="K65" s="1654" t="s">
        <v>3659</v>
      </c>
      <c r="L65" s="1943" t="s">
        <v>3655</v>
      </c>
      <c r="M65" s="1865" t="s">
        <v>3658</v>
      </c>
      <c r="N65" s="1865" t="s">
        <v>3654</v>
      </c>
      <c r="O65" s="1679" t="s">
        <v>469</v>
      </c>
      <c r="P65" s="1679" t="s">
        <v>613</v>
      </c>
      <c r="Q65" s="1679" t="s">
        <v>613</v>
      </c>
      <c r="R65" s="1863" t="s">
        <v>2959</v>
      </c>
      <c r="S65" s="544" t="s">
        <v>3633</v>
      </c>
      <c r="U65" s="383"/>
      <c r="V65" s="383"/>
    </row>
    <row r="66" spans="1:22" ht="37.799999999999997" customHeight="1">
      <c r="A66" s="2084"/>
      <c r="B66" s="2110"/>
      <c r="C66" s="2112"/>
      <c r="D66" s="1264" t="s">
        <v>341</v>
      </c>
      <c r="E66" s="1238"/>
      <c r="F66" s="1238"/>
      <c r="G66" s="1238"/>
      <c r="H66" s="1243">
        <v>73.212000000000003</v>
      </c>
      <c r="I66" s="1259"/>
      <c r="J66" s="1243"/>
      <c r="K66" s="1886"/>
      <c r="L66" s="1944"/>
      <c r="M66" s="1865"/>
      <c r="N66" s="1865"/>
      <c r="O66" s="1866"/>
      <c r="P66" s="1866"/>
      <c r="Q66" s="1866"/>
      <c r="R66" s="1864"/>
      <c r="U66" s="383"/>
      <c r="V66" s="383"/>
    </row>
    <row r="67" spans="1:22" ht="40.5" customHeight="1">
      <c r="A67" s="2080"/>
      <c r="B67" s="2110"/>
      <c r="C67" s="2112"/>
      <c r="D67" s="1263" t="s">
        <v>1372</v>
      </c>
      <c r="E67" s="1246">
        <f>E65</f>
        <v>0</v>
      </c>
      <c r="F67" s="1246">
        <f t="shared" ref="F67:J67" si="26">F65</f>
        <v>0</v>
      </c>
      <c r="G67" s="1246">
        <f t="shared" si="26"/>
        <v>0</v>
      </c>
      <c r="H67" s="1246">
        <f>H66</f>
        <v>73.212000000000003</v>
      </c>
      <c r="I67" s="1246">
        <f t="shared" si="26"/>
        <v>0</v>
      </c>
      <c r="J67" s="1246">
        <f t="shared" si="26"/>
        <v>0</v>
      </c>
      <c r="K67" s="1655"/>
      <c r="L67" s="1944"/>
      <c r="M67" s="2016"/>
      <c r="N67" s="2016"/>
      <c r="O67" s="1680"/>
      <c r="P67" s="1680"/>
      <c r="Q67" s="1680"/>
      <c r="R67" s="1865"/>
      <c r="U67" s="383"/>
      <c r="V67" s="383"/>
    </row>
    <row r="68" spans="1:22" ht="48.75" customHeight="1">
      <c r="A68" s="2086"/>
      <c r="B68" s="2087"/>
      <c r="C68" s="2087"/>
      <c r="D68" s="2087"/>
      <c r="E68" s="1288" t="s">
        <v>1388</v>
      </c>
      <c r="F68" s="1288"/>
      <c r="G68" s="1288" t="str">
        <f>G10</f>
        <v>2024  m. išlaidų projektas (lėšų poreikis), tūkst. Eur</v>
      </c>
      <c r="H68" s="930" t="str">
        <f>H10</f>
        <v>2024  m.asignavimai ir kitos lėšos, tūkst. Eur</v>
      </c>
      <c r="I68" s="930" t="str">
        <f>I10</f>
        <v>2025 m.asignavimai ir kitos lėšos, tūkst. Eur</v>
      </c>
      <c r="J68" s="930" t="str">
        <f>J10</f>
        <v>2026 m. asignavimai ir kitos lėšos, tūkst. Eur</v>
      </c>
      <c r="K68" s="1289"/>
      <c r="L68" s="1290"/>
      <c r="M68" s="1291"/>
      <c r="N68" s="1291"/>
      <c r="O68" s="1306"/>
      <c r="P68" s="1306"/>
      <c r="Q68" s="1306"/>
      <c r="R68" s="1292"/>
      <c r="U68" s="383"/>
      <c r="V68" s="383"/>
    </row>
    <row r="69" spans="1:22" ht="24.6" customHeight="1">
      <c r="A69" s="1293"/>
      <c r="B69" s="2088" t="s">
        <v>990</v>
      </c>
      <c r="C69" s="2088"/>
      <c r="D69" s="2088"/>
      <c r="E69" s="1294">
        <f>SUM(E70:E76)</f>
        <v>240.535</v>
      </c>
      <c r="F69" s="1295">
        <f>H69/E69-1</f>
        <v>2.1778327478329556</v>
      </c>
      <c r="G69" s="1294">
        <f t="shared" ref="G69" si="27">SUM(G70:G76)</f>
        <v>226.7</v>
      </c>
      <c r="H69" s="1294">
        <f>H70+H72+H73+H74+H75+H76</f>
        <v>764.38</v>
      </c>
      <c r="I69" s="1294">
        <f t="shared" ref="I69:J69" si="28">I70+I72+I73+I74+I75+I76</f>
        <v>799.48700000000008</v>
      </c>
      <c r="J69" s="1294">
        <f t="shared" si="28"/>
        <v>341.6</v>
      </c>
      <c r="K69" s="1296"/>
      <c r="L69" s="1128"/>
      <c r="M69" s="1128"/>
      <c r="N69" s="1128"/>
      <c r="O69" s="977"/>
      <c r="P69" s="977"/>
      <c r="Q69" s="977"/>
      <c r="R69" s="1128"/>
      <c r="U69" s="383"/>
      <c r="V69" s="383"/>
    </row>
    <row r="70" spans="1:22" ht="45" customHeight="1">
      <c r="A70" s="1292"/>
      <c r="B70" s="1873" t="s">
        <v>2564</v>
      </c>
      <c r="C70" s="1873"/>
      <c r="D70" s="1873"/>
      <c r="E70" s="1243">
        <f>SUM(E15,E19,E21,E23,E30,E35,E37,E40,E50,E53,E55,E59,E13)</f>
        <v>59.535000000000004</v>
      </c>
      <c r="F70" s="1297">
        <f t="shared" ref="F70:F78" si="29">H70/E70-1</f>
        <v>0.24867724867724861</v>
      </c>
      <c r="G70" s="1243">
        <f>SUM(G15,G19,G21,G23,G30,G35,G37,G40,G50,G53,G55,G59,G13)</f>
        <v>20.7</v>
      </c>
      <c r="H70" s="1243">
        <f>SUM(H15,H19,H23,H30,H35,H37,H40,H43,H47,H50,H55,H13)</f>
        <v>74.34</v>
      </c>
      <c r="I70" s="1243">
        <f t="shared" ref="I70:J70" si="30">SUM(I15,I19,I23,I30,I35,I37,I40,I43,I47,I50,I55,I13)</f>
        <v>115.7</v>
      </c>
      <c r="J70" s="1243">
        <f t="shared" si="30"/>
        <v>126.7</v>
      </c>
      <c r="K70" s="1259"/>
      <c r="L70" s="1128"/>
      <c r="M70" s="1128"/>
      <c r="N70" s="1128"/>
      <c r="O70" s="977"/>
      <c r="P70" s="977"/>
      <c r="Q70" s="977"/>
      <c r="R70" s="1128"/>
      <c r="U70" s="383"/>
      <c r="V70" s="383"/>
    </row>
    <row r="71" spans="1:22" ht="15" hidden="1" customHeight="1">
      <c r="A71" s="1292"/>
      <c r="B71" s="2100" t="s">
        <v>3570</v>
      </c>
      <c r="C71" s="2101"/>
      <c r="D71" s="2102"/>
      <c r="E71" s="1298"/>
      <c r="F71" s="1299"/>
      <c r="G71" s="1298"/>
      <c r="H71" s="1282">
        <v>19.54</v>
      </c>
      <c r="I71" s="1282">
        <v>20</v>
      </c>
      <c r="J71" s="1282">
        <v>21</v>
      </c>
      <c r="K71" s="1259"/>
      <c r="L71" s="1128"/>
      <c r="M71" s="1128"/>
      <c r="N71" s="1128"/>
      <c r="O71" s="977"/>
      <c r="P71" s="977"/>
      <c r="Q71" s="977"/>
      <c r="R71" s="1128"/>
      <c r="U71" s="383"/>
      <c r="V71" s="383"/>
    </row>
    <row r="72" spans="1:22" ht="31.8" customHeight="1">
      <c r="A72" s="1292"/>
      <c r="B72" s="1873" t="s">
        <v>993</v>
      </c>
      <c r="C72" s="1873"/>
      <c r="D72" s="1873"/>
      <c r="E72" s="1243">
        <f>SUM(E24,E17,E33,)</f>
        <v>181</v>
      </c>
      <c r="F72" s="1297">
        <f t="shared" si="29"/>
        <v>0.17038674033149181</v>
      </c>
      <c r="G72" s="1243">
        <f>SUM(G24,G17,G33,)</f>
        <v>206</v>
      </c>
      <c r="H72" s="1243">
        <f>SUM(H24,H17,H33,)</f>
        <v>211.84</v>
      </c>
      <c r="I72" s="1243">
        <f>SUM(I24,I17,I33,)</f>
        <v>212.9</v>
      </c>
      <c r="J72" s="1243">
        <f>SUM(J24,J17,J33,)</f>
        <v>214.9</v>
      </c>
      <c r="K72" s="1259"/>
      <c r="L72" s="1128"/>
      <c r="M72" s="1128"/>
      <c r="N72" s="1128"/>
      <c r="O72" s="977"/>
      <c r="P72" s="977"/>
      <c r="Q72" s="977"/>
      <c r="R72" s="1128"/>
      <c r="U72" s="383"/>
      <c r="V72" s="383"/>
    </row>
    <row r="73" spans="1:22" ht="20.100000000000001" customHeight="1">
      <c r="A73" s="1292"/>
      <c r="B73" s="1873" t="s">
        <v>994</v>
      </c>
      <c r="C73" s="1873"/>
      <c r="D73" s="1873"/>
      <c r="E73" s="1243">
        <v>0</v>
      </c>
      <c r="F73" s="1297"/>
      <c r="G73" s="1243">
        <v>0</v>
      </c>
      <c r="H73" s="1243">
        <v>0</v>
      </c>
      <c r="I73" s="1243">
        <v>0</v>
      </c>
      <c r="J73" s="1243">
        <v>0</v>
      </c>
      <c r="K73" s="1259"/>
      <c r="L73" s="1128"/>
      <c r="M73" s="1128"/>
      <c r="N73" s="1128"/>
      <c r="O73" s="977"/>
      <c r="P73" s="977"/>
      <c r="Q73" s="977"/>
      <c r="R73" s="1128"/>
      <c r="U73" s="383"/>
      <c r="V73" s="383"/>
    </row>
    <row r="74" spans="1:22" ht="29.4" customHeight="1">
      <c r="A74" s="1292"/>
      <c r="B74" s="1873" t="s">
        <v>2565</v>
      </c>
      <c r="C74" s="1873"/>
      <c r="D74" s="1873"/>
      <c r="E74" s="1243">
        <v>0</v>
      </c>
      <c r="F74" s="1297"/>
      <c r="G74" s="1243">
        <v>0</v>
      </c>
      <c r="H74" s="1243">
        <f>SUM(H31,H38,H41,H44,H48,H51,H56,H66)</f>
        <v>478.2</v>
      </c>
      <c r="I74" s="1243">
        <f>SUM(I31,I38,I41,I44,I48,I51,I53,I56,)</f>
        <v>470.887</v>
      </c>
      <c r="J74" s="1243">
        <f>SUM(J31,J38,J41,J44,J48,J51,J53,J56,)</f>
        <v>0</v>
      </c>
      <c r="K74" s="1259"/>
      <c r="L74" s="1128"/>
      <c r="M74" s="1128"/>
      <c r="N74" s="1128"/>
      <c r="O74" s="977"/>
      <c r="P74" s="977"/>
      <c r="Q74" s="977"/>
      <c r="R74" s="1128"/>
      <c r="U74" s="383"/>
      <c r="V74" s="383"/>
    </row>
    <row r="75" spans="1:22" ht="20.100000000000001" customHeight="1">
      <c r="A75" s="1292"/>
      <c r="B75" s="1873" t="s">
        <v>995</v>
      </c>
      <c r="C75" s="1873"/>
      <c r="D75" s="1873"/>
      <c r="E75" s="1243">
        <v>0</v>
      </c>
      <c r="F75" s="1297"/>
      <c r="G75" s="1243">
        <v>0</v>
      </c>
      <c r="H75" s="1243">
        <v>0</v>
      </c>
      <c r="I75" s="1243">
        <v>0</v>
      </c>
      <c r="J75" s="1243">
        <v>0</v>
      </c>
      <c r="K75" s="1259"/>
      <c r="L75" s="1128"/>
      <c r="M75" s="1128"/>
      <c r="N75" s="1128"/>
      <c r="O75" s="977"/>
      <c r="P75" s="977"/>
      <c r="Q75" s="977"/>
      <c r="R75" s="1128"/>
      <c r="U75" s="383"/>
      <c r="V75" s="383"/>
    </row>
    <row r="76" spans="1:22" ht="20.100000000000001" customHeight="1">
      <c r="A76" s="1292"/>
      <c r="B76" s="1873" t="s">
        <v>996</v>
      </c>
      <c r="C76" s="1873"/>
      <c r="D76" s="1873"/>
      <c r="E76" s="1243">
        <v>0</v>
      </c>
      <c r="F76" s="1297"/>
      <c r="G76" s="1243">
        <v>0</v>
      </c>
      <c r="H76" s="1243">
        <v>0</v>
      </c>
      <c r="I76" s="1243">
        <v>0</v>
      </c>
      <c r="J76" s="1243">
        <v>0</v>
      </c>
      <c r="K76" s="1259"/>
      <c r="L76" s="1128"/>
      <c r="M76" s="1128"/>
      <c r="N76" s="1128"/>
      <c r="O76" s="977"/>
      <c r="P76" s="977"/>
      <c r="Q76" s="977"/>
      <c r="R76" s="1128"/>
      <c r="U76" s="383"/>
      <c r="V76" s="383"/>
    </row>
    <row r="77" spans="1:22" ht="45.6" customHeight="1">
      <c r="A77" s="1293"/>
      <c r="B77" s="1871" t="s">
        <v>997</v>
      </c>
      <c r="C77" s="1871"/>
      <c r="D77" s="1871"/>
      <c r="E77" s="1243">
        <v>0</v>
      </c>
      <c r="F77" s="1300"/>
      <c r="G77" s="1243">
        <v>0</v>
      </c>
      <c r="H77" s="1243">
        <f>SUM(H53)</f>
        <v>129.036</v>
      </c>
      <c r="I77" s="1243">
        <f>I63</f>
        <v>1418.951</v>
      </c>
      <c r="J77" s="1243">
        <f>J63</f>
        <v>1418.951</v>
      </c>
      <c r="K77" s="1259"/>
      <c r="L77" s="1128"/>
      <c r="M77" s="1128"/>
      <c r="N77" s="1128"/>
      <c r="O77" s="977"/>
      <c r="P77" s="977"/>
      <c r="Q77" s="977"/>
      <c r="R77" s="1128"/>
      <c r="U77" s="383"/>
      <c r="V77" s="383"/>
    </row>
    <row r="78" spans="1:22" ht="23.4" customHeight="1">
      <c r="A78" s="1292"/>
      <c r="B78" s="2108" t="s">
        <v>1389</v>
      </c>
      <c r="C78" s="2108"/>
      <c r="D78" s="2108"/>
      <c r="E78" s="1301">
        <f>SUM(E69,E77)</f>
        <v>240.535</v>
      </c>
      <c r="F78" s="1297">
        <f t="shared" si="29"/>
        <v>2.7142869021140372</v>
      </c>
      <c r="G78" s="1301">
        <f t="shared" ref="G78" si="31">SUM(G69,G77)</f>
        <v>226.7</v>
      </c>
      <c r="H78" s="1301">
        <f>SUM(H69,H77)</f>
        <v>893.41599999999994</v>
      </c>
      <c r="I78" s="1301">
        <f t="shared" ref="I78:J78" si="32">SUM(I69,I77)</f>
        <v>2218.4380000000001</v>
      </c>
      <c r="J78" s="1301">
        <f t="shared" si="32"/>
        <v>1760.5509999999999</v>
      </c>
      <c r="K78" s="1296"/>
      <c r="L78" s="1128"/>
      <c r="M78" s="1128"/>
      <c r="N78" s="1128"/>
      <c r="O78" s="977"/>
      <c r="P78" s="977"/>
      <c r="Q78" s="977"/>
      <c r="R78" s="1128"/>
      <c r="U78" s="383"/>
      <c r="V78" s="383"/>
    </row>
    <row r="79" spans="1:22" ht="20.100000000000001" customHeight="1">
      <c r="A79" s="1292"/>
      <c r="B79" s="1871" t="s">
        <v>2566</v>
      </c>
      <c r="C79" s="1871"/>
      <c r="D79" s="1871"/>
      <c r="E79" s="1302">
        <v>0</v>
      </c>
      <c r="F79" s="1297"/>
      <c r="G79" s="1302">
        <v>0</v>
      </c>
      <c r="H79" s="1302">
        <f>H45+H42</f>
        <v>0</v>
      </c>
      <c r="I79" s="1302">
        <v>0</v>
      </c>
      <c r="J79" s="1302">
        <v>0</v>
      </c>
      <c r="K79" s="1296"/>
      <c r="L79" s="1128"/>
      <c r="M79" s="1128"/>
      <c r="N79" s="1128"/>
      <c r="O79" s="977"/>
      <c r="P79" s="977"/>
      <c r="Q79" s="977"/>
      <c r="R79" s="1128"/>
      <c r="U79" s="383"/>
      <c r="V79" s="383"/>
    </row>
    <row r="80" spans="1:22" ht="23.4" customHeight="1">
      <c r="A80" s="1292"/>
      <c r="B80" s="2108" t="s">
        <v>998</v>
      </c>
      <c r="C80" s="2108"/>
      <c r="D80" s="2108"/>
      <c r="E80" s="1302">
        <v>0</v>
      </c>
      <c r="F80" s="1302"/>
      <c r="G80" s="1302">
        <v>0</v>
      </c>
      <c r="H80" s="1297">
        <f>H78/E78-1</f>
        <v>2.7142869021140372</v>
      </c>
      <c r="I80" s="1297">
        <f>I78/H78-1</f>
        <v>1.4830963403386557</v>
      </c>
      <c r="J80" s="1297">
        <f>J78/I78-1</f>
        <v>-0.20640062963220074</v>
      </c>
      <c r="K80" s="1296"/>
      <c r="L80" s="1128"/>
      <c r="M80" s="1128"/>
      <c r="N80" s="1128"/>
      <c r="O80" s="977"/>
      <c r="P80" s="977"/>
      <c r="Q80" s="977"/>
      <c r="R80" s="1128"/>
      <c r="U80" s="383"/>
      <c r="V80" s="383"/>
    </row>
    <row r="81" spans="1:22">
      <c r="A81" s="390"/>
      <c r="B81" s="390"/>
      <c r="C81" s="390"/>
      <c r="D81" s="390"/>
      <c r="E81" s="390"/>
      <c r="F81" s="390"/>
      <c r="G81" s="390"/>
      <c r="H81" s="390"/>
      <c r="I81" s="390"/>
      <c r="J81" s="390"/>
      <c r="K81" s="390"/>
      <c r="L81" s="390"/>
      <c r="M81" s="390"/>
      <c r="N81" s="390"/>
      <c r="O81" s="1006"/>
      <c r="P81" s="1006"/>
      <c r="Q81" s="1006"/>
      <c r="R81" s="390"/>
      <c r="U81" s="383"/>
      <c r="V81" s="383"/>
    </row>
    <row r="82" spans="1:22">
      <c r="A82" s="390"/>
      <c r="B82" s="390"/>
      <c r="C82" s="390"/>
      <c r="D82" s="390"/>
      <c r="E82" s="390"/>
      <c r="F82" s="390"/>
      <c r="G82" s="390"/>
      <c r="H82" s="390"/>
      <c r="I82" s="390"/>
      <c r="J82" s="390"/>
      <c r="K82" s="390"/>
      <c r="L82" s="390"/>
      <c r="M82" s="390"/>
      <c r="N82" s="390"/>
      <c r="O82" s="1006"/>
      <c r="P82" s="1006"/>
      <c r="Q82" s="1006"/>
      <c r="R82" s="390"/>
      <c r="U82" s="383"/>
      <c r="V82" s="383"/>
    </row>
    <row r="83" spans="1:22">
      <c r="A83" s="2085"/>
      <c r="B83" s="2085"/>
      <c r="C83" s="2085"/>
      <c r="D83" s="387"/>
      <c r="E83" s="387"/>
      <c r="F83" s="439"/>
      <c r="G83" s="439"/>
      <c r="H83" s="439"/>
      <c r="U83" s="383"/>
      <c r="V83" s="383"/>
    </row>
    <row r="84" spans="1:22">
      <c r="A84" s="390"/>
      <c r="B84" s="390"/>
      <c r="C84" s="390"/>
      <c r="D84" s="390"/>
      <c r="E84" s="390"/>
      <c r="F84" s="390"/>
      <c r="G84" s="390"/>
      <c r="H84" s="390"/>
      <c r="U84" s="383"/>
      <c r="V84" s="383"/>
    </row>
    <row r="85" spans="1:22">
      <c r="A85" s="390"/>
      <c r="B85" s="390"/>
      <c r="C85" s="390"/>
      <c r="D85" s="390"/>
      <c r="E85" s="390"/>
      <c r="F85" s="390"/>
      <c r="G85" s="390"/>
      <c r="H85" s="390"/>
      <c r="U85" s="383"/>
      <c r="V85" s="383"/>
    </row>
    <row r="86" spans="1:22">
      <c r="A86" s="390"/>
      <c r="B86" s="390"/>
      <c r="C86" s="390"/>
      <c r="D86" s="390"/>
      <c r="E86" s="390"/>
      <c r="F86" s="390"/>
      <c r="G86" s="390"/>
      <c r="H86" s="390"/>
      <c r="U86" s="383"/>
      <c r="V86" s="383"/>
    </row>
    <row r="87" spans="1:22">
      <c r="A87" s="390"/>
      <c r="B87" s="390"/>
      <c r="C87" s="390"/>
      <c r="D87" s="390"/>
      <c r="E87" s="390"/>
      <c r="F87" s="390"/>
      <c r="G87" s="390"/>
      <c r="H87" s="390"/>
      <c r="U87" s="383"/>
      <c r="V87" s="383"/>
    </row>
    <row r="88" spans="1:22">
      <c r="A88" s="390"/>
      <c r="B88" s="390"/>
      <c r="C88" s="390"/>
      <c r="D88" s="390"/>
      <c r="E88" s="390"/>
      <c r="F88" s="390"/>
      <c r="G88" s="390"/>
      <c r="H88" s="390"/>
      <c r="U88" s="383"/>
      <c r="V88" s="383"/>
    </row>
    <row r="89" spans="1:22">
      <c r="A89" s="390"/>
      <c r="B89" s="390"/>
      <c r="C89" s="390"/>
      <c r="D89" s="390"/>
      <c r="E89" s="390"/>
      <c r="F89" s="390"/>
      <c r="G89" s="390"/>
      <c r="H89" s="390"/>
      <c r="U89" s="383"/>
      <c r="V89" s="383"/>
    </row>
    <row r="90" spans="1:22">
      <c r="A90" s="390"/>
      <c r="B90" s="390"/>
      <c r="C90" s="390"/>
      <c r="D90" s="390"/>
      <c r="E90" s="390"/>
      <c r="F90" s="390"/>
      <c r="G90" s="390"/>
      <c r="H90" s="390"/>
      <c r="U90" s="383"/>
      <c r="V90" s="383"/>
    </row>
    <row r="91" spans="1:22">
      <c r="A91" s="390"/>
      <c r="B91" s="390"/>
      <c r="C91" s="390"/>
      <c r="D91" s="390"/>
      <c r="E91" s="390"/>
      <c r="F91" s="390"/>
      <c r="G91" s="390"/>
      <c r="H91" s="390"/>
      <c r="U91" s="383"/>
      <c r="V91" s="383"/>
    </row>
    <row r="92" spans="1:22">
      <c r="A92" s="390"/>
      <c r="B92" s="390"/>
      <c r="C92" s="390"/>
      <c r="D92" s="390"/>
      <c r="E92" s="390"/>
      <c r="F92" s="390"/>
      <c r="G92" s="390"/>
      <c r="H92" s="390"/>
      <c r="U92" s="383"/>
      <c r="V92" s="383"/>
    </row>
    <row r="93" spans="1:22">
      <c r="A93" s="390"/>
      <c r="B93" s="390"/>
      <c r="C93" s="390"/>
      <c r="D93" s="390"/>
      <c r="E93" s="390"/>
      <c r="F93" s="390"/>
      <c r="G93" s="390"/>
      <c r="H93" s="390"/>
      <c r="U93" s="383"/>
      <c r="V93" s="383"/>
    </row>
    <row r="94" spans="1:22">
      <c r="A94" s="390"/>
      <c r="B94" s="390"/>
      <c r="C94" s="390"/>
      <c r="D94" s="390"/>
      <c r="E94" s="390"/>
      <c r="F94" s="390"/>
      <c r="G94" s="390"/>
      <c r="H94" s="390"/>
      <c r="U94" s="383"/>
      <c r="V94" s="383"/>
    </row>
    <row r="95" spans="1:22">
      <c r="A95" s="390"/>
      <c r="B95" s="390"/>
      <c r="C95" s="390"/>
      <c r="D95" s="390"/>
      <c r="E95" s="390"/>
      <c r="F95" s="390"/>
      <c r="G95" s="390"/>
      <c r="H95" s="390"/>
      <c r="U95" s="383"/>
      <c r="V95" s="383"/>
    </row>
    <row r="96" spans="1:22">
      <c r="A96" s="390"/>
      <c r="B96" s="390"/>
      <c r="C96" s="390"/>
      <c r="D96" s="390"/>
      <c r="E96" s="390"/>
      <c r="F96" s="390"/>
      <c r="G96" s="390"/>
      <c r="H96" s="390"/>
      <c r="U96" s="383"/>
      <c r="V96" s="383"/>
    </row>
    <row r="97" spans="1:22">
      <c r="A97" s="390"/>
      <c r="B97" s="390"/>
      <c r="C97" s="390"/>
      <c r="D97" s="390"/>
      <c r="E97" s="390"/>
      <c r="F97" s="390"/>
      <c r="G97" s="390"/>
      <c r="H97" s="390"/>
      <c r="U97" s="383"/>
      <c r="V97" s="383"/>
    </row>
    <row r="98" spans="1:22">
      <c r="A98" s="390"/>
      <c r="B98" s="390"/>
      <c r="C98" s="390"/>
      <c r="D98" s="390"/>
      <c r="E98" s="390"/>
      <c r="F98" s="390"/>
      <c r="G98" s="390"/>
      <c r="H98" s="390"/>
      <c r="U98" s="383"/>
      <c r="V98" s="383"/>
    </row>
    <row r="99" spans="1:22">
      <c r="A99" s="390"/>
      <c r="B99" s="390"/>
      <c r="C99" s="390"/>
      <c r="D99" s="390"/>
      <c r="E99" s="390"/>
      <c r="F99" s="390"/>
      <c r="G99" s="390"/>
      <c r="H99" s="390"/>
      <c r="U99" s="383"/>
      <c r="V99" s="383"/>
    </row>
    <row r="100" spans="1:22">
      <c r="A100" s="390"/>
      <c r="B100" s="390"/>
      <c r="C100" s="390"/>
      <c r="D100" s="390"/>
      <c r="E100" s="390"/>
      <c r="F100" s="390"/>
      <c r="G100" s="390"/>
      <c r="H100" s="390"/>
      <c r="U100" s="383"/>
      <c r="V100" s="383"/>
    </row>
    <row r="101" spans="1:22">
      <c r="A101" s="390"/>
      <c r="B101" s="390"/>
      <c r="C101" s="390"/>
      <c r="D101" s="390"/>
      <c r="E101" s="390"/>
      <c r="F101" s="390"/>
      <c r="G101" s="390"/>
      <c r="H101" s="390"/>
      <c r="U101" s="383"/>
      <c r="V101" s="383"/>
    </row>
    <row r="102" spans="1:22">
      <c r="A102" s="390"/>
      <c r="B102" s="390"/>
      <c r="C102" s="390"/>
      <c r="D102" s="390"/>
      <c r="E102" s="390"/>
      <c r="F102" s="390"/>
      <c r="G102" s="390"/>
      <c r="H102" s="390"/>
      <c r="U102" s="383"/>
      <c r="V102" s="383"/>
    </row>
    <row r="103" spans="1:22">
      <c r="A103" s="390"/>
      <c r="B103" s="390"/>
      <c r="C103" s="390"/>
      <c r="D103" s="390"/>
      <c r="E103" s="390"/>
      <c r="F103" s="390"/>
      <c r="G103" s="390"/>
      <c r="H103" s="390"/>
      <c r="U103" s="383"/>
      <c r="V103" s="383"/>
    </row>
    <row r="104" spans="1:22">
      <c r="A104" s="390"/>
      <c r="B104" s="390"/>
      <c r="C104" s="390"/>
      <c r="D104" s="390"/>
      <c r="E104" s="390"/>
      <c r="F104" s="390"/>
      <c r="G104" s="390"/>
      <c r="H104" s="390"/>
      <c r="U104" s="383"/>
      <c r="V104" s="383"/>
    </row>
    <row r="105" spans="1:22">
      <c r="A105" s="390"/>
      <c r="B105" s="390"/>
      <c r="C105" s="390"/>
      <c r="D105" s="390"/>
      <c r="E105" s="390"/>
      <c r="F105" s="390"/>
      <c r="G105" s="390"/>
      <c r="H105" s="390"/>
      <c r="U105" s="383"/>
      <c r="V105" s="383"/>
    </row>
    <row r="106" spans="1:22">
      <c r="A106" s="390"/>
      <c r="B106" s="390"/>
      <c r="C106" s="390"/>
      <c r="D106" s="390"/>
      <c r="E106" s="390"/>
      <c r="F106" s="390"/>
      <c r="G106" s="390"/>
      <c r="H106" s="390"/>
      <c r="U106" s="383"/>
      <c r="V106" s="383"/>
    </row>
    <row r="107" spans="1:22">
      <c r="A107" s="390"/>
      <c r="B107" s="390"/>
      <c r="C107" s="390"/>
      <c r="D107" s="390"/>
      <c r="E107" s="390"/>
      <c r="F107" s="390"/>
      <c r="G107" s="390"/>
      <c r="H107" s="390"/>
      <c r="U107" s="383"/>
      <c r="V107" s="383"/>
    </row>
    <row r="108" spans="1:22">
      <c r="A108" s="390"/>
      <c r="B108" s="390"/>
      <c r="C108" s="390"/>
      <c r="D108" s="390"/>
      <c r="E108" s="390"/>
      <c r="F108" s="390"/>
      <c r="G108" s="390"/>
      <c r="H108" s="390"/>
      <c r="U108" s="383"/>
      <c r="V108" s="383"/>
    </row>
    <row r="109" spans="1:22">
      <c r="A109" s="390"/>
      <c r="B109" s="390"/>
      <c r="C109" s="390"/>
      <c r="D109" s="390"/>
      <c r="E109" s="390"/>
      <c r="F109" s="390"/>
      <c r="G109" s="390"/>
      <c r="H109" s="390"/>
      <c r="U109" s="383"/>
      <c r="V109" s="383"/>
    </row>
    <row r="110" spans="1:22">
      <c r="A110" s="390"/>
      <c r="B110" s="390"/>
      <c r="C110" s="390"/>
      <c r="D110" s="390"/>
      <c r="E110" s="390"/>
      <c r="F110" s="390"/>
      <c r="G110" s="390"/>
      <c r="H110" s="390"/>
      <c r="U110" s="383"/>
      <c r="V110" s="383"/>
    </row>
    <row r="111" spans="1:22">
      <c r="A111" s="390"/>
      <c r="B111" s="390"/>
      <c r="C111" s="390"/>
      <c r="D111" s="390"/>
      <c r="E111" s="390"/>
      <c r="F111" s="390"/>
      <c r="G111" s="390"/>
      <c r="H111" s="390"/>
      <c r="U111" s="383"/>
      <c r="V111" s="383"/>
    </row>
    <row r="112" spans="1:22">
      <c r="A112" s="390"/>
      <c r="B112" s="390"/>
      <c r="C112" s="390"/>
      <c r="D112" s="390"/>
      <c r="E112" s="390"/>
      <c r="F112" s="390"/>
      <c r="G112" s="390"/>
      <c r="H112" s="390"/>
      <c r="U112" s="383"/>
      <c r="V112" s="383"/>
    </row>
    <row r="113" spans="1:22">
      <c r="A113" s="390"/>
      <c r="B113" s="390"/>
      <c r="C113" s="390"/>
      <c r="D113" s="390"/>
      <c r="E113" s="390"/>
      <c r="F113" s="390"/>
      <c r="G113" s="390"/>
      <c r="H113" s="390"/>
      <c r="U113" s="383"/>
      <c r="V113" s="383"/>
    </row>
    <row r="114" spans="1:22">
      <c r="A114" s="390"/>
      <c r="B114" s="390"/>
      <c r="C114" s="390"/>
      <c r="D114" s="390"/>
      <c r="E114" s="390"/>
      <c r="F114" s="390"/>
      <c r="G114" s="390"/>
      <c r="H114" s="390"/>
      <c r="U114" s="383"/>
      <c r="V114" s="383"/>
    </row>
    <row r="115" spans="1:22">
      <c r="A115" s="390"/>
      <c r="B115" s="390"/>
      <c r="C115" s="390"/>
      <c r="D115" s="390"/>
      <c r="E115" s="390"/>
      <c r="F115" s="390"/>
      <c r="G115" s="390"/>
      <c r="H115" s="390"/>
      <c r="U115" s="383"/>
      <c r="V115" s="383"/>
    </row>
    <row r="116" spans="1:22">
      <c r="A116" s="390"/>
      <c r="B116" s="390"/>
      <c r="C116" s="390"/>
      <c r="D116" s="390"/>
      <c r="E116" s="390"/>
      <c r="F116" s="390"/>
      <c r="G116" s="390"/>
      <c r="H116" s="390"/>
      <c r="U116" s="383"/>
      <c r="V116" s="383"/>
    </row>
    <row r="117" spans="1:22">
      <c r="A117" s="390"/>
      <c r="B117" s="390"/>
      <c r="C117" s="390"/>
      <c r="D117" s="390"/>
      <c r="E117" s="390"/>
      <c r="F117" s="390"/>
      <c r="G117" s="390"/>
      <c r="H117" s="390"/>
      <c r="U117" s="383"/>
      <c r="V117" s="383"/>
    </row>
    <row r="118" spans="1:22">
      <c r="A118" s="390"/>
      <c r="B118" s="390"/>
      <c r="C118" s="390"/>
      <c r="D118" s="390"/>
      <c r="E118" s="390"/>
      <c r="F118" s="390"/>
      <c r="G118" s="390"/>
      <c r="H118" s="390"/>
      <c r="U118" s="383"/>
      <c r="V118" s="383"/>
    </row>
    <row r="119" spans="1:22">
      <c r="A119" s="390"/>
      <c r="B119" s="390"/>
      <c r="C119" s="390"/>
      <c r="D119" s="390"/>
      <c r="E119" s="390"/>
      <c r="F119" s="390"/>
      <c r="G119" s="390"/>
      <c r="H119" s="390"/>
      <c r="U119" s="383"/>
      <c r="V119" s="383"/>
    </row>
    <row r="120" spans="1:22">
      <c r="A120" s="390"/>
      <c r="B120" s="390"/>
      <c r="C120" s="390"/>
      <c r="D120" s="390"/>
      <c r="E120" s="390"/>
      <c r="F120" s="390"/>
      <c r="G120" s="390"/>
      <c r="H120" s="390"/>
      <c r="U120" s="383"/>
      <c r="V120" s="383"/>
    </row>
    <row r="121" spans="1:22">
      <c r="A121" s="390"/>
      <c r="B121" s="390"/>
      <c r="C121" s="390"/>
      <c r="D121" s="390"/>
      <c r="E121" s="390"/>
      <c r="F121" s="390"/>
      <c r="G121" s="390"/>
      <c r="H121" s="390"/>
      <c r="U121" s="383"/>
      <c r="V121" s="383"/>
    </row>
    <row r="122" spans="1:22">
      <c r="E122" s="383"/>
      <c r="F122" s="383"/>
      <c r="U122" s="383"/>
      <c r="V122" s="383"/>
    </row>
    <row r="123" spans="1:22">
      <c r="E123" s="383"/>
      <c r="F123" s="383"/>
      <c r="U123" s="383"/>
      <c r="V123" s="383"/>
    </row>
    <row r="124" spans="1:22">
      <c r="E124" s="383"/>
      <c r="F124" s="383"/>
      <c r="U124" s="383"/>
      <c r="V124" s="383"/>
    </row>
    <row r="125" spans="1:22">
      <c r="E125" s="383"/>
      <c r="F125" s="383"/>
      <c r="U125" s="383"/>
      <c r="V125" s="383"/>
    </row>
    <row r="126" spans="1:22">
      <c r="E126" s="383"/>
      <c r="F126" s="383"/>
      <c r="U126" s="383"/>
      <c r="V126" s="383"/>
    </row>
    <row r="127" spans="1:22">
      <c r="E127" s="383"/>
      <c r="F127" s="383"/>
      <c r="U127" s="383"/>
      <c r="V127" s="383"/>
    </row>
    <row r="128" spans="1:22">
      <c r="E128" s="383"/>
      <c r="F128" s="383"/>
      <c r="U128" s="383"/>
      <c r="V128" s="383"/>
    </row>
    <row r="129" spans="15:17" s="383" customFormat="1">
      <c r="O129" s="1004"/>
      <c r="P129" s="1004"/>
      <c r="Q129" s="1004"/>
    </row>
    <row r="130" spans="15:17" s="383" customFormat="1">
      <c r="O130" s="1004"/>
      <c r="P130" s="1004"/>
      <c r="Q130" s="1004"/>
    </row>
    <row r="131" spans="15:17" s="383" customFormat="1">
      <c r="O131" s="1004"/>
      <c r="P131" s="1004"/>
      <c r="Q131" s="1004"/>
    </row>
    <row r="132" spans="15:17" s="383" customFormat="1">
      <c r="O132" s="1004"/>
      <c r="P132" s="1004"/>
      <c r="Q132" s="1004"/>
    </row>
    <row r="133" spans="15:17" s="383" customFormat="1">
      <c r="O133" s="1004"/>
      <c r="P133" s="1004"/>
      <c r="Q133" s="1004"/>
    </row>
    <row r="134" spans="15:17" s="383" customFormat="1">
      <c r="O134" s="1004"/>
      <c r="P134" s="1004"/>
      <c r="Q134" s="1004"/>
    </row>
    <row r="135" spans="15:17" s="383" customFormat="1">
      <c r="O135" s="1004"/>
      <c r="P135" s="1004"/>
      <c r="Q135" s="1004"/>
    </row>
    <row r="136" spans="15:17" s="383" customFormat="1">
      <c r="O136" s="1004"/>
      <c r="P136" s="1004"/>
      <c r="Q136" s="1004"/>
    </row>
    <row r="137" spans="15:17" s="383" customFormat="1">
      <c r="O137" s="1004"/>
      <c r="P137" s="1004"/>
      <c r="Q137" s="1004"/>
    </row>
    <row r="138" spans="15:17" s="383" customFormat="1">
      <c r="O138" s="1004"/>
      <c r="P138" s="1004"/>
      <c r="Q138" s="1004"/>
    </row>
    <row r="139" spans="15:17" s="383" customFormat="1">
      <c r="O139" s="1004"/>
      <c r="P139" s="1004"/>
      <c r="Q139" s="1004"/>
    </row>
    <row r="140" spans="15:17" s="383" customFormat="1">
      <c r="O140" s="1004"/>
      <c r="P140" s="1004"/>
      <c r="Q140" s="1004"/>
    </row>
    <row r="141" spans="15:17" s="383" customFormat="1">
      <c r="O141" s="1004"/>
      <c r="P141" s="1004"/>
      <c r="Q141" s="1004"/>
    </row>
    <row r="142" spans="15:17" s="383" customFormat="1">
      <c r="O142" s="1004"/>
      <c r="P142" s="1004"/>
      <c r="Q142" s="1004"/>
    </row>
    <row r="143" spans="15:17" s="383" customFormat="1">
      <c r="O143" s="1004"/>
      <c r="P143" s="1004"/>
      <c r="Q143" s="1004"/>
    </row>
    <row r="144" spans="15:17" s="383" customFormat="1">
      <c r="O144" s="1004"/>
      <c r="P144" s="1004"/>
      <c r="Q144" s="1004"/>
    </row>
    <row r="145" spans="15:17" s="383" customFormat="1">
      <c r="O145" s="1004"/>
      <c r="P145" s="1004"/>
      <c r="Q145" s="1004"/>
    </row>
    <row r="146" spans="15:17" s="383" customFormat="1">
      <c r="O146" s="1004"/>
      <c r="P146" s="1004"/>
      <c r="Q146" s="1004"/>
    </row>
    <row r="147" spans="15:17" s="383" customFormat="1">
      <c r="O147" s="1004"/>
      <c r="P147" s="1004"/>
      <c r="Q147" s="1004"/>
    </row>
    <row r="148" spans="15:17" s="383" customFormat="1">
      <c r="O148" s="1004"/>
      <c r="P148" s="1004"/>
      <c r="Q148" s="1004"/>
    </row>
    <row r="149" spans="15:17" s="383" customFormat="1">
      <c r="O149" s="1004"/>
      <c r="P149" s="1004"/>
      <c r="Q149" s="1004"/>
    </row>
    <row r="150" spans="15:17" s="383" customFormat="1">
      <c r="O150" s="1004"/>
      <c r="P150" s="1004"/>
      <c r="Q150" s="1004"/>
    </row>
    <row r="151" spans="15:17" s="383" customFormat="1">
      <c r="O151" s="1004"/>
      <c r="P151" s="1004"/>
      <c r="Q151" s="1004"/>
    </row>
    <row r="152" spans="15:17" s="383" customFormat="1">
      <c r="O152" s="1004"/>
      <c r="P152" s="1004"/>
      <c r="Q152" s="1004"/>
    </row>
    <row r="153" spans="15:17" s="383" customFormat="1">
      <c r="O153" s="1004"/>
      <c r="P153" s="1004"/>
      <c r="Q153" s="1004"/>
    </row>
    <row r="154" spans="15:17" s="383" customFormat="1">
      <c r="O154" s="1004"/>
      <c r="P154" s="1004"/>
      <c r="Q154" s="1004"/>
    </row>
    <row r="155" spans="15:17" s="383" customFormat="1">
      <c r="O155" s="1004"/>
      <c r="P155" s="1004"/>
      <c r="Q155" s="1004"/>
    </row>
    <row r="156" spans="15:17" s="383" customFormat="1">
      <c r="O156" s="1004"/>
      <c r="P156" s="1004"/>
      <c r="Q156" s="1004"/>
    </row>
    <row r="157" spans="15:17" s="383" customFormat="1">
      <c r="O157" s="1004"/>
      <c r="P157" s="1004"/>
      <c r="Q157" s="1004"/>
    </row>
    <row r="158" spans="15:17" s="383" customFormat="1">
      <c r="O158" s="1004"/>
      <c r="P158" s="1004"/>
      <c r="Q158" s="1004"/>
    </row>
    <row r="159" spans="15:17" s="383" customFormat="1">
      <c r="O159" s="1004"/>
      <c r="P159" s="1004"/>
      <c r="Q159" s="1004"/>
    </row>
    <row r="160" spans="15:17" s="383" customFormat="1">
      <c r="O160" s="1004"/>
      <c r="P160" s="1004"/>
      <c r="Q160" s="1004"/>
    </row>
    <row r="161" spans="15:17" s="383" customFormat="1">
      <c r="O161" s="1004"/>
      <c r="P161" s="1004"/>
      <c r="Q161" s="1004"/>
    </row>
    <row r="162" spans="15:17" s="383" customFormat="1">
      <c r="O162" s="1004"/>
      <c r="P162" s="1004"/>
      <c r="Q162" s="1004"/>
    </row>
    <row r="163" spans="15:17" s="383" customFormat="1">
      <c r="O163" s="1004"/>
      <c r="P163" s="1004"/>
      <c r="Q163" s="1004"/>
    </row>
    <row r="164" spans="15:17" s="383" customFormat="1">
      <c r="O164" s="1004"/>
      <c r="P164" s="1004"/>
      <c r="Q164" s="1004"/>
    </row>
    <row r="165" spans="15:17" s="383" customFormat="1">
      <c r="O165" s="1004"/>
      <c r="P165" s="1004"/>
      <c r="Q165" s="1004"/>
    </row>
    <row r="166" spans="15:17" s="383" customFormat="1">
      <c r="O166" s="1004"/>
      <c r="P166" s="1004"/>
      <c r="Q166" s="1004"/>
    </row>
    <row r="167" spans="15:17" s="383" customFormat="1">
      <c r="O167" s="1004"/>
      <c r="P167" s="1004"/>
      <c r="Q167" s="1004"/>
    </row>
    <row r="168" spans="15:17" s="383" customFormat="1">
      <c r="O168" s="1004"/>
      <c r="P168" s="1004"/>
      <c r="Q168" s="1004"/>
    </row>
    <row r="169" spans="15:17" s="383" customFormat="1">
      <c r="O169" s="1004"/>
      <c r="P169" s="1004"/>
      <c r="Q169" s="1004"/>
    </row>
    <row r="170" spans="15:17" s="383" customFormat="1">
      <c r="O170" s="1004"/>
      <c r="P170" s="1004"/>
      <c r="Q170" s="1004"/>
    </row>
    <row r="171" spans="15:17" s="383" customFormat="1">
      <c r="O171" s="1004"/>
      <c r="P171" s="1004"/>
      <c r="Q171" s="1004"/>
    </row>
    <row r="172" spans="15:17" s="383" customFormat="1">
      <c r="O172" s="1004"/>
      <c r="P172" s="1004"/>
      <c r="Q172" s="1004"/>
    </row>
    <row r="173" spans="15:17" s="383" customFormat="1">
      <c r="O173" s="1004"/>
      <c r="P173" s="1004"/>
      <c r="Q173" s="1004"/>
    </row>
    <row r="174" spans="15:17" s="383" customFormat="1">
      <c r="O174" s="1004"/>
      <c r="P174" s="1004"/>
      <c r="Q174" s="1004"/>
    </row>
    <row r="175" spans="15:17" s="383" customFormat="1">
      <c r="O175" s="1004"/>
      <c r="P175" s="1004"/>
      <c r="Q175" s="1004"/>
    </row>
    <row r="176" spans="15:17" s="383" customFormat="1">
      <c r="O176" s="1004"/>
      <c r="P176" s="1004"/>
      <c r="Q176" s="1004"/>
    </row>
    <row r="177" spans="15:17" s="383" customFormat="1">
      <c r="O177" s="1004"/>
      <c r="P177" s="1004"/>
      <c r="Q177" s="1004"/>
    </row>
    <row r="178" spans="15:17" s="383" customFormat="1">
      <c r="O178" s="1004"/>
      <c r="P178" s="1004"/>
      <c r="Q178" s="1004"/>
    </row>
    <row r="179" spans="15:17" s="383" customFormat="1">
      <c r="O179" s="1004"/>
      <c r="P179" s="1004"/>
      <c r="Q179" s="1004"/>
    </row>
    <row r="180" spans="15:17" s="383" customFormat="1">
      <c r="O180" s="1004"/>
      <c r="P180" s="1004"/>
      <c r="Q180" s="1004"/>
    </row>
    <row r="181" spans="15:17" s="383" customFormat="1">
      <c r="O181" s="1004"/>
      <c r="P181" s="1004"/>
      <c r="Q181" s="1004"/>
    </row>
    <row r="182" spans="15:17" s="383" customFormat="1">
      <c r="O182" s="1004"/>
      <c r="P182" s="1004"/>
      <c r="Q182" s="1004"/>
    </row>
    <row r="183" spans="15:17" s="383" customFormat="1">
      <c r="O183" s="1004"/>
      <c r="P183" s="1004"/>
      <c r="Q183" s="1004"/>
    </row>
    <row r="184" spans="15:17" s="383" customFormat="1">
      <c r="O184" s="1004"/>
      <c r="P184" s="1004"/>
      <c r="Q184" s="1004"/>
    </row>
    <row r="185" spans="15:17" s="383" customFormat="1">
      <c r="O185" s="1004"/>
      <c r="P185" s="1004"/>
      <c r="Q185" s="1004"/>
    </row>
    <row r="186" spans="15:17" s="383" customFormat="1">
      <c r="O186" s="1004"/>
      <c r="P186" s="1004"/>
      <c r="Q186" s="1004"/>
    </row>
    <row r="187" spans="15:17" s="383" customFormat="1">
      <c r="O187" s="1004"/>
      <c r="P187" s="1004"/>
      <c r="Q187" s="1004"/>
    </row>
    <row r="188" spans="15:17" s="383" customFormat="1">
      <c r="O188" s="1004"/>
      <c r="P188" s="1004"/>
      <c r="Q188" s="1004"/>
    </row>
    <row r="189" spans="15:17" s="383" customFormat="1">
      <c r="O189" s="1004"/>
      <c r="P189" s="1004"/>
      <c r="Q189" s="1004"/>
    </row>
    <row r="190" spans="15:17" s="383" customFormat="1">
      <c r="O190" s="1004"/>
      <c r="P190" s="1004"/>
      <c r="Q190" s="1004"/>
    </row>
    <row r="191" spans="15:17" s="383" customFormat="1">
      <c r="O191" s="1004"/>
      <c r="P191" s="1004"/>
      <c r="Q191" s="1004"/>
    </row>
    <row r="192" spans="15:17" s="383" customFormat="1">
      <c r="O192" s="1004"/>
      <c r="P192" s="1004"/>
      <c r="Q192" s="1004"/>
    </row>
    <row r="193" spans="15:17" s="383" customFormat="1">
      <c r="O193" s="1004"/>
      <c r="P193" s="1004"/>
      <c r="Q193" s="1004"/>
    </row>
    <row r="194" spans="15:17" s="383" customFormat="1">
      <c r="O194" s="1004"/>
      <c r="P194" s="1004"/>
      <c r="Q194" s="1004"/>
    </row>
    <row r="195" spans="15:17" s="383" customFormat="1">
      <c r="O195" s="1004"/>
      <c r="P195" s="1004"/>
      <c r="Q195" s="1004"/>
    </row>
    <row r="196" spans="15:17" s="383" customFormat="1">
      <c r="O196" s="1004"/>
      <c r="P196" s="1004"/>
      <c r="Q196" s="1004"/>
    </row>
    <row r="197" spans="15:17" s="383" customFormat="1">
      <c r="O197" s="1004"/>
      <c r="P197" s="1004"/>
      <c r="Q197" s="1004"/>
    </row>
    <row r="198" spans="15:17" s="383" customFormat="1">
      <c r="O198" s="1004"/>
      <c r="P198" s="1004"/>
      <c r="Q198" s="1004"/>
    </row>
    <row r="199" spans="15:17" s="383" customFormat="1">
      <c r="O199" s="1004"/>
      <c r="P199" s="1004"/>
      <c r="Q199" s="1004"/>
    </row>
    <row r="200" spans="15:17" s="383" customFormat="1">
      <c r="O200" s="1004"/>
      <c r="P200" s="1004"/>
      <c r="Q200" s="1004"/>
    </row>
    <row r="201" spans="15:17" s="383" customFormat="1">
      <c r="O201" s="1004"/>
      <c r="P201" s="1004"/>
      <c r="Q201" s="1004"/>
    </row>
    <row r="202" spans="15:17" s="383" customFormat="1">
      <c r="O202" s="1004"/>
      <c r="P202" s="1004"/>
      <c r="Q202" s="1004"/>
    </row>
    <row r="203" spans="15:17" s="383" customFormat="1">
      <c r="O203" s="1004"/>
      <c r="P203" s="1004"/>
      <c r="Q203" s="1004"/>
    </row>
    <row r="204" spans="15:17" s="383" customFormat="1">
      <c r="O204" s="1004"/>
      <c r="P204" s="1004"/>
      <c r="Q204" s="1004"/>
    </row>
    <row r="205" spans="15:17" s="383" customFormat="1">
      <c r="O205" s="1004"/>
      <c r="P205" s="1004"/>
      <c r="Q205" s="1004"/>
    </row>
    <row r="206" spans="15:17" s="383" customFormat="1">
      <c r="O206" s="1004"/>
      <c r="P206" s="1004"/>
      <c r="Q206" s="1004"/>
    </row>
    <row r="207" spans="15:17" s="383" customFormat="1">
      <c r="O207" s="1004"/>
      <c r="P207" s="1004"/>
      <c r="Q207" s="1004"/>
    </row>
    <row r="208" spans="15:17" s="383" customFormat="1">
      <c r="O208" s="1004"/>
      <c r="P208" s="1004"/>
      <c r="Q208" s="1004"/>
    </row>
    <row r="209" spans="15:17" s="383" customFormat="1">
      <c r="O209" s="1004"/>
      <c r="P209" s="1004"/>
      <c r="Q209" s="1004"/>
    </row>
    <row r="210" spans="15:17" s="383" customFormat="1">
      <c r="O210" s="1004"/>
      <c r="P210" s="1004"/>
      <c r="Q210" s="1004"/>
    </row>
    <row r="211" spans="15:17" s="383" customFormat="1">
      <c r="O211" s="1004"/>
      <c r="P211" s="1004"/>
      <c r="Q211" s="1004"/>
    </row>
    <row r="212" spans="15:17" s="383" customFormat="1">
      <c r="O212" s="1004"/>
      <c r="P212" s="1004"/>
      <c r="Q212" s="1004"/>
    </row>
    <row r="213" spans="15:17" s="383" customFormat="1">
      <c r="O213" s="1004"/>
      <c r="P213" s="1004"/>
      <c r="Q213" s="1004"/>
    </row>
    <row r="214" spans="15:17" s="383" customFormat="1">
      <c r="O214" s="1004"/>
      <c r="P214" s="1004"/>
      <c r="Q214" s="1004"/>
    </row>
    <row r="215" spans="15:17" s="383" customFormat="1">
      <c r="O215" s="1004"/>
      <c r="P215" s="1004"/>
      <c r="Q215" s="1004"/>
    </row>
    <row r="216" spans="15:17" s="383" customFormat="1">
      <c r="O216" s="1004"/>
      <c r="P216" s="1004"/>
      <c r="Q216" s="1004"/>
    </row>
    <row r="217" spans="15:17" s="383" customFormat="1">
      <c r="O217" s="1004"/>
      <c r="P217" s="1004"/>
      <c r="Q217" s="1004"/>
    </row>
    <row r="218" spans="15:17" s="383" customFormat="1">
      <c r="O218" s="1004"/>
      <c r="P218" s="1004"/>
      <c r="Q218" s="1004"/>
    </row>
    <row r="219" spans="15:17" s="383" customFormat="1">
      <c r="O219" s="1004"/>
      <c r="P219" s="1004"/>
      <c r="Q219" s="1004"/>
    </row>
    <row r="220" spans="15:17" s="383" customFormat="1">
      <c r="O220" s="1004"/>
      <c r="P220" s="1004"/>
      <c r="Q220" s="1004"/>
    </row>
    <row r="221" spans="15:17" s="383" customFormat="1">
      <c r="O221" s="1004"/>
      <c r="P221" s="1004"/>
      <c r="Q221" s="1004"/>
    </row>
    <row r="222" spans="15:17" s="383" customFormat="1">
      <c r="O222" s="1004"/>
      <c r="P222" s="1004"/>
      <c r="Q222" s="1004"/>
    </row>
    <row r="223" spans="15:17" s="383" customFormat="1">
      <c r="O223" s="1004"/>
      <c r="P223" s="1004"/>
      <c r="Q223" s="1004"/>
    </row>
    <row r="224" spans="15:17" s="383" customFormat="1">
      <c r="O224" s="1004"/>
      <c r="P224" s="1004"/>
      <c r="Q224" s="1004"/>
    </row>
    <row r="225" spans="15:17" s="383" customFormat="1">
      <c r="O225" s="1004"/>
      <c r="P225" s="1004"/>
      <c r="Q225" s="1004"/>
    </row>
    <row r="226" spans="15:17" s="383" customFormat="1">
      <c r="O226" s="1004"/>
      <c r="P226" s="1004"/>
      <c r="Q226" s="1004"/>
    </row>
    <row r="227" spans="15:17" s="383" customFormat="1">
      <c r="O227" s="1004"/>
      <c r="P227" s="1004"/>
      <c r="Q227" s="1004"/>
    </row>
    <row r="228" spans="15:17" s="383" customFormat="1">
      <c r="O228" s="1004"/>
      <c r="P228" s="1004"/>
      <c r="Q228" s="1004"/>
    </row>
    <row r="229" spans="15:17" s="383" customFormat="1">
      <c r="O229" s="1004"/>
      <c r="P229" s="1004"/>
      <c r="Q229" s="1004"/>
    </row>
    <row r="230" spans="15:17" s="383" customFormat="1">
      <c r="O230" s="1004"/>
      <c r="P230" s="1004"/>
      <c r="Q230" s="1004"/>
    </row>
    <row r="231" spans="15:17" s="383" customFormat="1">
      <c r="O231" s="1004"/>
      <c r="P231" s="1004"/>
      <c r="Q231" s="1004"/>
    </row>
    <row r="232" spans="15:17" s="383" customFormat="1">
      <c r="O232" s="1004"/>
      <c r="P232" s="1004"/>
      <c r="Q232" s="1004"/>
    </row>
    <row r="233" spans="15:17" s="383" customFormat="1">
      <c r="O233" s="1004"/>
      <c r="P233" s="1004"/>
      <c r="Q233" s="1004"/>
    </row>
    <row r="234" spans="15:17" s="383" customFormat="1">
      <c r="O234" s="1004"/>
      <c r="P234" s="1004"/>
      <c r="Q234" s="1004"/>
    </row>
    <row r="235" spans="15:17" s="383" customFormat="1">
      <c r="O235" s="1004"/>
      <c r="P235" s="1004"/>
      <c r="Q235" s="1004"/>
    </row>
    <row r="236" spans="15:17" s="383" customFormat="1">
      <c r="O236" s="1004"/>
      <c r="P236" s="1004"/>
      <c r="Q236" s="1004"/>
    </row>
    <row r="237" spans="15:17" s="383" customFormat="1">
      <c r="O237" s="1004"/>
      <c r="P237" s="1004"/>
      <c r="Q237" s="1004"/>
    </row>
    <row r="238" spans="15:17" s="383" customFormat="1">
      <c r="O238" s="1004"/>
      <c r="P238" s="1004"/>
      <c r="Q238" s="1004"/>
    </row>
    <row r="239" spans="15:17" s="383" customFormat="1">
      <c r="O239" s="1004"/>
      <c r="P239" s="1004"/>
      <c r="Q239" s="1004"/>
    </row>
    <row r="240" spans="15:17" s="383" customFormat="1">
      <c r="O240" s="1004"/>
      <c r="P240" s="1004"/>
      <c r="Q240" s="1004"/>
    </row>
    <row r="241" spans="15:17" s="383" customFormat="1">
      <c r="O241" s="1004"/>
      <c r="P241" s="1004"/>
      <c r="Q241" s="1004"/>
    </row>
    <row r="242" spans="15:17" s="383" customFormat="1">
      <c r="O242" s="1004"/>
      <c r="P242" s="1004"/>
      <c r="Q242" s="1004"/>
    </row>
    <row r="243" spans="15:17" s="383" customFormat="1">
      <c r="O243" s="1004"/>
      <c r="P243" s="1004"/>
      <c r="Q243" s="1004"/>
    </row>
    <row r="244" spans="15:17" s="383" customFormat="1">
      <c r="O244" s="1004"/>
      <c r="P244" s="1004"/>
      <c r="Q244" s="1004"/>
    </row>
    <row r="245" spans="15:17" s="383" customFormat="1">
      <c r="O245" s="1004"/>
      <c r="P245" s="1004"/>
      <c r="Q245" s="1004"/>
    </row>
    <row r="246" spans="15:17" s="383" customFormat="1">
      <c r="O246" s="1004"/>
      <c r="P246" s="1004"/>
      <c r="Q246" s="1004"/>
    </row>
    <row r="247" spans="15:17" s="383" customFormat="1">
      <c r="O247" s="1004"/>
      <c r="P247" s="1004"/>
      <c r="Q247" s="1004"/>
    </row>
    <row r="248" spans="15:17" s="383" customFormat="1">
      <c r="O248" s="1004"/>
      <c r="P248" s="1004"/>
      <c r="Q248" s="1004"/>
    </row>
    <row r="249" spans="15:17" s="383" customFormat="1">
      <c r="O249" s="1004"/>
      <c r="P249" s="1004"/>
      <c r="Q249" s="1004"/>
    </row>
    <row r="250" spans="15:17" s="383" customFormat="1">
      <c r="O250" s="1004"/>
      <c r="P250" s="1004"/>
      <c r="Q250" s="1004"/>
    </row>
    <row r="251" spans="15:17" s="383" customFormat="1">
      <c r="O251" s="1004"/>
      <c r="P251" s="1004"/>
      <c r="Q251" s="1004"/>
    </row>
    <row r="252" spans="15:17" s="383" customFormat="1">
      <c r="O252" s="1004"/>
      <c r="P252" s="1004"/>
      <c r="Q252" s="1004"/>
    </row>
    <row r="253" spans="15:17" s="383" customFormat="1">
      <c r="O253" s="1004"/>
      <c r="P253" s="1004"/>
      <c r="Q253" s="1004"/>
    </row>
    <row r="254" spans="15:17" s="383" customFormat="1">
      <c r="O254" s="1004"/>
      <c r="P254" s="1004"/>
      <c r="Q254" s="1004"/>
    </row>
    <row r="255" spans="15:17" s="383" customFormat="1">
      <c r="O255" s="1004"/>
      <c r="P255" s="1004"/>
      <c r="Q255" s="1004"/>
    </row>
    <row r="256" spans="15:17" s="383" customFormat="1">
      <c r="O256" s="1004"/>
      <c r="P256" s="1004"/>
      <c r="Q256" s="1004"/>
    </row>
    <row r="257" spans="15:17" s="383" customFormat="1">
      <c r="O257" s="1004"/>
      <c r="P257" s="1004"/>
      <c r="Q257" s="1004"/>
    </row>
    <row r="258" spans="15:17" s="383" customFormat="1">
      <c r="O258" s="1004"/>
      <c r="P258" s="1004"/>
      <c r="Q258" s="1004"/>
    </row>
    <row r="259" spans="15:17" s="383" customFormat="1">
      <c r="O259" s="1004"/>
      <c r="P259" s="1004"/>
      <c r="Q259" s="1004"/>
    </row>
    <row r="260" spans="15:17" s="383" customFormat="1">
      <c r="O260" s="1004"/>
      <c r="P260" s="1004"/>
      <c r="Q260" s="1004"/>
    </row>
    <row r="261" spans="15:17" s="383" customFormat="1">
      <c r="O261" s="1004"/>
      <c r="P261" s="1004"/>
      <c r="Q261" s="1004"/>
    </row>
    <row r="262" spans="15:17" s="383" customFormat="1">
      <c r="O262" s="1004"/>
      <c r="P262" s="1004"/>
      <c r="Q262" s="1004"/>
    </row>
    <row r="263" spans="15:17" s="383" customFormat="1">
      <c r="O263" s="1004"/>
      <c r="P263" s="1004"/>
      <c r="Q263" s="1004"/>
    </row>
    <row r="264" spans="15:17" s="383" customFormat="1">
      <c r="O264" s="1004"/>
      <c r="P264" s="1004"/>
      <c r="Q264" s="1004"/>
    </row>
    <row r="265" spans="15:17" s="383" customFormat="1">
      <c r="O265" s="1004"/>
      <c r="P265" s="1004"/>
      <c r="Q265" s="1004"/>
    </row>
    <row r="266" spans="15:17" s="383" customFormat="1">
      <c r="O266" s="1004"/>
      <c r="P266" s="1004"/>
      <c r="Q266" s="1004"/>
    </row>
    <row r="267" spans="15:17" s="383" customFormat="1">
      <c r="O267" s="1004"/>
      <c r="P267" s="1004"/>
      <c r="Q267" s="1004"/>
    </row>
    <row r="268" spans="15:17" s="383" customFormat="1">
      <c r="O268" s="1004"/>
      <c r="P268" s="1004"/>
      <c r="Q268" s="1004"/>
    </row>
    <row r="269" spans="15:17" s="383" customFormat="1">
      <c r="O269" s="1004"/>
      <c r="P269" s="1004"/>
      <c r="Q269" s="1004"/>
    </row>
    <row r="270" spans="15:17" s="383" customFormat="1">
      <c r="O270" s="1004"/>
      <c r="P270" s="1004"/>
      <c r="Q270" s="1004"/>
    </row>
    <row r="271" spans="15:17" s="383" customFormat="1">
      <c r="O271" s="1004"/>
      <c r="P271" s="1004"/>
      <c r="Q271" s="1004"/>
    </row>
    <row r="272" spans="15:17" s="383" customFormat="1">
      <c r="O272" s="1004"/>
      <c r="P272" s="1004"/>
      <c r="Q272" s="1004"/>
    </row>
    <row r="273" spans="15:17" s="383" customFormat="1">
      <c r="O273" s="1004"/>
      <c r="P273" s="1004"/>
      <c r="Q273" s="1004"/>
    </row>
    <row r="274" spans="15:17" s="383" customFormat="1">
      <c r="O274" s="1004"/>
      <c r="P274" s="1004"/>
      <c r="Q274" s="1004"/>
    </row>
    <row r="275" spans="15:17" s="383" customFormat="1">
      <c r="O275" s="1004"/>
      <c r="P275" s="1004"/>
      <c r="Q275" s="1004"/>
    </row>
    <row r="276" spans="15:17" s="383" customFormat="1">
      <c r="O276" s="1004"/>
      <c r="P276" s="1004"/>
      <c r="Q276" s="1004"/>
    </row>
    <row r="277" spans="15:17" s="383" customFormat="1">
      <c r="O277" s="1004"/>
      <c r="P277" s="1004"/>
      <c r="Q277" s="1004"/>
    </row>
    <row r="278" spans="15:17" s="383" customFormat="1">
      <c r="O278" s="1004"/>
      <c r="P278" s="1004"/>
      <c r="Q278" s="1004"/>
    </row>
    <row r="279" spans="15:17" s="383" customFormat="1">
      <c r="O279" s="1004"/>
      <c r="P279" s="1004"/>
      <c r="Q279" s="1004"/>
    </row>
    <row r="280" spans="15:17" s="383" customFormat="1">
      <c r="O280" s="1004"/>
      <c r="P280" s="1004"/>
      <c r="Q280" s="1004"/>
    </row>
    <row r="281" spans="15:17" s="383" customFormat="1">
      <c r="O281" s="1004"/>
      <c r="P281" s="1004"/>
      <c r="Q281" s="1004"/>
    </row>
    <row r="282" spans="15:17" s="383" customFormat="1">
      <c r="O282" s="1004"/>
      <c r="P282" s="1004"/>
      <c r="Q282" s="1004"/>
    </row>
    <row r="283" spans="15:17" s="383" customFormat="1">
      <c r="O283" s="1004"/>
      <c r="P283" s="1004"/>
      <c r="Q283" s="1004"/>
    </row>
    <row r="284" spans="15:17" s="383" customFormat="1">
      <c r="O284" s="1004"/>
      <c r="P284" s="1004"/>
      <c r="Q284" s="1004"/>
    </row>
    <row r="285" spans="15:17" s="383" customFormat="1">
      <c r="O285" s="1004"/>
      <c r="P285" s="1004"/>
      <c r="Q285" s="1004"/>
    </row>
    <row r="286" spans="15:17" s="383" customFormat="1">
      <c r="O286" s="1004"/>
      <c r="P286" s="1004"/>
      <c r="Q286" s="1004"/>
    </row>
    <row r="287" spans="15:17" s="383" customFormat="1">
      <c r="O287" s="1004"/>
      <c r="P287" s="1004"/>
      <c r="Q287" s="1004"/>
    </row>
    <row r="288" spans="15:17" s="383" customFormat="1">
      <c r="O288" s="1004"/>
      <c r="P288" s="1004"/>
      <c r="Q288" s="1004"/>
    </row>
    <row r="289" spans="15:17" s="383" customFormat="1">
      <c r="O289" s="1004"/>
      <c r="P289" s="1004"/>
      <c r="Q289" s="1004"/>
    </row>
    <row r="290" spans="15:17" s="383" customFormat="1">
      <c r="O290" s="1004"/>
      <c r="P290" s="1004"/>
      <c r="Q290" s="1004"/>
    </row>
    <row r="291" spans="15:17" s="383" customFormat="1">
      <c r="O291" s="1004"/>
      <c r="P291" s="1004"/>
      <c r="Q291" s="1004"/>
    </row>
    <row r="292" spans="15:17" s="383" customFormat="1">
      <c r="O292" s="1004"/>
      <c r="P292" s="1004"/>
      <c r="Q292" s="1004"/>
    </row>
    <row r="293" spans="15:17" s="383" customFormat="1">
      <c r="O293" s="1004"/>
      <c r="P293" s="1004"/>
      <c r="Q293" s="1004"/>
    </row>
    <row r="294" spans="15:17" s="383" customFormat="1">
      <c r="O294" s="1004"/>
      <c r="P294" s="1004"/>
      <c r="Q294" s="1004"/>
    </row>
    <row r="295" spans="15:17" s="383" customFormat="1">
      <c r="O295" s="1004"/>
      <c r="P295" s="1004"/>
      <c r="Q295" s="1004"/>
    </row>
    <row r="296" spans="15:17" s="383" customFormat="1">
      <c r="O296" s="1004"/>
      <c r="P296" s="1004"/>
      <c r="Q296" s="1004"/>
    </row>
    <row r="297" spans="15:17" s="383" customFormat="1">
      <c r="O297" s="1004"/>
      <c r="P297" s="1004"/>
      <c r="Q297" s="1004"/>
    </row>
    <row r="298" spans="15:17" s="383" customFormat="1">
      <c r="O298" s="1004"/>
      <c r="P298" s="1004"/>
      <c r="Q298" s="1004"/>
    </row>
    <row r="299" spans="15:17" s="383" customFormat="1">
      <c r="O299" s="1004"/>
      <c r="P299" s="1004"/>
      <c r="Q299" s="1004"/>
    </row>
    <row r="300" spans="15:17" s="383" customFormat="1">
      <c r="O300" s="1004"/>
      <c r="P300" s="1004"/>
      <c r="Q300" s="1004"/>
    </row>
    <row r="301" spans="15:17" s="383" customFormat="1">
      <c r="O301" s="1004"/>
      <c r="P301" s="1004"/>
      <c r="Q301" s="1004"/>
    </row>
    <row r="302" spans="15:17" s="383" customFormat="1">
      <c r="O302" s="1004"/>
      <c r="P302" s="1004"/>
      <c r="Q302" s="1004"/>
    </row>
    <row r="303" spans="15:17" s="383" customFormat="1">
      <c r="O303" s="1004"/>
      <c r="P303" s="1004"/>
      <c r="Q303" s="1004"/>
    </row>
    <row r="304" spans="15:17" s="383" customFormat="1">
      <c r="O304" s="1004"/>
      <c r="P304" s="1004"/>
      <c r="Q304" s="1004"/>
    </row>
    <row r="305" spans="15:17" s="383" customFormat="1">
      <c r="O305" s="1004"/>
      <c r="P305" s="1004"/>
      <c r="Q305" s="1004"/>
    </row>
    <row r="306" spans="15:17" s="383" customFormat="1">
      <c r="O306" s="1004"/>
      <c r="P306" s="1004"/>
      <c r="Q306" s="1004"/>
    </row>
    <row r="307" spans="15:17" s="383" customFormat="1">
      <c r="O307" s="1004"/>
      <c r="P307" s="1004"/>
      <c r="Q307" s="1004"/>
    </row>
    <row r="308" spans="15:17" s="383" customFormat="1">
      <c r="O308" s="1004"/>
      <c r="P308" s="1004"/>
      <c r="Q308" s="1004"/>
    </row>
    <row r="309" spans="15:17" s="383" customFormat="1">
      <c r="O309" s="1004"/>
      <c r="P309" s="1004"/>
      <c r="Q309" s="1004"/>
    </row>
    <row r="310" spans="15:17" s="383" customFormat="1">
      <c r="O310" s="1004"/>
      <c r="P310" s="1004"/>
      <c r="Q310" s="1004"/>
    </row>
    <row r="311" spans="15:17" s="383" customFormat="1">
      <c r="O311" s="1004"/>
      <c r="P311" s="1004"/>
      <c r="Q311" s="1004"/>
    </row>
    <row r="312" spans="15:17" s="383" customFormat="1">
      <c r="O312" s="1004"/>
      <c r="P312" s="1004"/>
      <c r="Q312" s="1004"/>
    </row>
    <row r="313" spans="15:17" s="383" customFormat="1">
      <c r="O313" s="1004"/>
      <c r="P313" s="1004"/>
      <c r="Q313" s="1004"/>
    </row>
    <row r="314" spans="15:17" s="383" customFormat="1">
      <c r="O314" s="1004"/>
      <c r="P314" s="1004"/>
      <c r="Q314" s="1004"/>
    </row>
    <row r="315" spans="15:17" s="383" customFormat="1">
      <c r="O315" s="1004"/>
      <c r="P315" s="1004"/>
      <c r="Q315" s="1004"/>
    </row>
    <row r="316" spans="15:17" s="383" customFormat="1">
      <c r="O316" s="1004"/>
      <c r="P316" s="1004"/>
      <c r="Q316" s="1004"/>
    </row>
    <row r="317" spans="15:17" s="383" customFormat="1">
      <c r="O317" s="1004"/>
      <c r="P317" s="1004"/>
      <c r="Q317" s="1004"/>
    </row>
    <row r="318" spans="15:17" s="383" customFormat="1">
      <c r="O318" s="1004"/>
      <c r="P318" s="1004"/>
      <c r="Q318" s="1004"/>
    </row>
    <row r="319" spans="15:17" s="383" customFormat="1">
      <c r="O319" s="1004"/>
      <c r="P319" s="1004"/>
      <c r="Q319" s="1004"/>
    </row>
    <row r="320" spans="15:17" s="383" customFormat="1">
      <c r="O320" s="1004"/>
      <c r="P320" s="1004"/>
      <c r="Q320" s="1004"/>
    </row>
    <row r="321" spans="15:17" s="383" customFormat="1">
      <c r="O321" s="1004"/>
      <c r="P321" s="1004"/>
      <c r="Q321" s="1004"/>
    </row>
    <row r="322" spans="15:17" s="383" customFormat="1">
      <c r="O322" s="1004"/>
      <c r="P322" s="1004"/>
      <c r="Q322" s="1004"/>
    </row>
    <row r="323" spans="15:17" s="383" customFormat="1">
      <c r="O323" s="1004"/>
      <c r="P323" s="1004"/>
      <c r="Q323" s="1004"/>
    </row>
    <row r="324" spans="15:17" s="383" customFormat="1">
      <c r="O324" s="1004"/>
      <c r="P324" s="1004"/>
      <c r="Q324" s="1004"/>
    </row>
    <row r="325" spans="15:17" s="383" customFormat="1">
      <c r="O325" s="1004"/>
      <c r="P325" s="1004"/>
      <c r="Q325" s="1004"/>
    </row>
    <row r="326" spans="15:17" s="383" customFormat="1">
      <c r="O326" s="1004"/>
      <c r="P326" s="1004"/>
      <c r="Q326" s="1004"/>
    </row>
    <row r="327" spans="15:17" s="383" customFormat="1">
      <c r="O327" s="1004"/>
      <c r="P327" s="1004"/>
      <c r="Q327" s="1004"/>
    </row>
    <row r="328" spans="15:17" s="383" customFormat="1">
      <c r="O328" s="1004"/>
      <c r="P328" s="1004"/>
      <c r="Q328" s="1004"/>
    </row>
    <row r="329" spans="15:17" s="383" customFormat="1">
      <c r="O329" s="1004"/>
      <c r="P329" s="1004"/>
      <c r="Q329" s="1004"/>
    </row>
    <row r="330" spans="15:17" s="383" customFormat="1">
      <c r="O330" s="1004"/>
      <c r="P330" s="1004"/>
      <c r="Q330" s="1004"/>
    </row>
    <row r="331" spans="15:17" s="383" customFormat="1">
      <c r="O331" s="1004"/>
      <c r="P331" s="1004"/>
      <c r="Q331" s="1004"/>
    </row>
    <row r="332" spans="15:17" s="383" customFormat="1">
      <c r="O332" s="1004"/>
      <c r="P332" s="1004"/>
      <c r="Q332" s="1004"/>
    </row>
    <row r="333" spans="15:17" s="383" customFormat="1">
      <c r="O333" s="1004"/>
      <c r="P333" s="1004"/>
      <c r="Q333" s="1004"/>
    </row>
    <row r="334" spans="15:17" s="383" customFormat="1">
      <c r="O334" s="1004"/>
      <c r="P334" s="1004"/>
      <c r="Q334" s="1004"/>
    </row>
    <row r="335" spans="15:17" s="383" customFormat="1">
      <c r="O335" s="1004"/>
      <c r="P335" s="1004"/>
      <c r="Q335" s="1004"/>
    </row>
    <row r="336" spans="15:17" s="383" customFormat="1">
      <c r="O336" s="1004"/>
      <c r="P336" s="1004"/>
      <c r="Q336" s="1004"/>
    </row>
    <row r="337" spans="15:17" s="383" customFormat="1">
      <c r="O337" s="1004"/>
      <c r="P337" s="1004"/>
      <c r="Q337" s="1004"/>
    </row>
    <row r="338" spans="15:17" s="383" customFormat="1">
      <c r="O338" s="1004"/>
      <c r="P338" s="1004"/>
      <c r="Q338" s="1004"/>
    </row>
    <row r="339" spans="15:17" s="383" customFormat="1">
      <c r="O339" s="1004"/>
      <c r="P339" s="1004"/>
      <c r="Q339" s="1004"/>
    </row>
    <row r="340" spans="15:17" s="383" customFormat="1">
      <c r="O340" s="1004"/>
      <c r="P340" s="1004"/>
      <c r="Q340" s="1004"/>
    </row>
    <row r="341" spans="15:17" s="383" customFormat="1">
      <c r="O341" s="1004"/>
      <c r="P341" s="1004"/>
      <c r="Q341" s="1004"/>
    </row>
    <row r="342" spans="15:17" s="383" customFormat="1">
      <c r="O342" s="1004"/>
      <c r="P342" s="1004"/>
      <c r="Q342" s="1004"/>
    </row>
    <row r="343" spans="15:17" s="383" customFormat="1">
      <c r="O343" s="1004"/>
      <c r="P343" s="1004"/>
      <c r="Q343" s="1004"/>
    </row>
    <row r="344" spans="15:17" s="383" customFormat="1">
      <c r="O344" s="1004"/>
      <c r="P344" s="1004"/>
      <c r="Q344" s="1004"/>
    </row>
    <row r="345" spans="15:17" s="383" customFormat="1">
      <c r="O345" s="1004"/>
      <c r="P345" s="1004"/>
      <c r="Q345" s="1004"/>
    </row>
    <row r="346" spans="15:17" s="383" customFormat="1">
      <c r="O346" s="1004"/>
      <c r="P346" s="1004"/>
      <c r="Q346" s="1004"/>
    </row>
    <row r="347" spans="15:17" s="383" customFormat="1">
      <c r="O347" s="1004"/>
      <c r="P347" s="1004"/>
      <c r="Q347" s="1004"/>
    </row>
    <row r="348" spans="15:17" s="383" customFormat="1">
      <c r="O348" s="1004"/>
      <c r="P348" s="1004"/>
      <c r="Q348" s="1004"/>
    </row>
    <row r="349" spans="15:17" s="383" customFormat="1">
      <c r="O349" s="1004"/>
      <c r="P349" s="1004"/>
      <c r="Q349" s="1004"/>
    </row>
    <row r="350" spans="15:17" s="383" customFormat="1">
      <c r="O350" s="1004"/>
      <c r="P350" s="1004"/>
      <c r="Q350" s="1004"/>
    </row>
    <row r="351" spans="15:17" s="383" customFormat="1">
      <c r="O351" s="1004"/>
      <c r="P351" s="1004"/>
      <c r="Q351" s="1004"/>
    </row>
    <row r="352" spans="15:17" s="383" customFormat="1">
      <c r="O352" s="1004"/>
      <c r="P352" s="1004"/>
      <c r="Q352" s="1004"/>
    </row>
    <row r="353" spans="15:17" s="383" customFormat="1">
      <c r="O353" s="1004"/>
      <c r="P353" s="1004"/>
      <c r="Q353" s="1004"/>
    </row>
    <row r="354" spans="15:17" s="383" customFormat="1">
      <c r="O354" s="1004"/>
      <c r="P354" s="1004"/>
      <c r="Q354" s="1004"/>
    </row>
    <row r="355" spans="15:17" s="383" customFormat="1">
      <c r="O355" s="1004"/>
      <c r="P355" s="1004"/>
      <c r="Q355" s="1004"/>
    </row>
    <row r="356" spans="15:17" s="383" customFormat="1">
      <c r="O356" s="1004"/>
      <c r="P356" s="1004"/>
      <c r="Q356" s="1004"/>
    </row>
    <row r="357" spans="15:17" s="383" customFormat="1">
      <c r="O357" s="1004"/>
      <c r="P357" s="1004"/>
      <c r="Q357" s="1004"/>
    </row>
    <row r="358" spans="15:17" s="383" customFormat="1">
      <c r="O358" s="1004"/>
      <c r="P358" s="1004"/>
      <c r="Q358" s="1004"/>
    </row>
    <row r="359" spans="15:17" s="383" customFormat="1">
      <c r="O359" s="1004"/>
      <c r="P359" s="1004"/>
      <c r="Q359" s="1004"/>
    </row>
    <row r="360" spans="15:17" s="383" customFormat="1">
      <c r="O360" s="1004"/>
      <c r="P360" s="1004"/>
      <c r="Q360" s="1004"/>
    </row>
    <row r="361" spans="15:17" s="383" customFormat="1">
      <c r="O361" s="1004"/>
      <c r="P361" s="1004"/>
      <c r="Q361" s="1004"/>
    </row>
    <row r="362" spans="15:17" s="383" customFormat="1">
      <c r="O362" s="1004"/>
      <c r="P362" s="1004"/>
      <c r="Q362" s="1004"/>
    </row>
    <row r="363" spans="15:17" s="383" customFormat="1">
      <c r="O363" s="1004"/>
      <c r="P363" s="1004"/>
      <c r="Q363" s="1004"/>
    </row>
    <row r="364" spans="15:17" s="383" customFormat="1">
      <c r="O364" s="1004"/>
      <c r="P364" s="1004"/>
      <c r="Q364" s="1004"/>
    </row>
    <row r="365" spans="15:17" s="383" customFormat="1">
      <c r="O365" s="1004"/>
      <c r="P365" s="1004"/>
      <c r="Q365" s="1004"/>
    </row>
    <row r="366" spans="15:17" s="383" customFormat="1">
      <c r="O366" s="1004"/>
      <c r="P366" s="1004"/>
      <c r="Q366" s="1004"/>
    </row>
    <row r="367" spans="15:17" s="383" customFormat="1">
      <c r="O367" s="1004"/>
      <c r="P367" s="1004"/>
      <c r="Q367" s="1004"/>
    </row>
    <row r="368" spans="15:17" s="383" customFormat="1">
      <c r="O368" s="1004"/>
      <c r="P368" s="1004"/>
      <c r="Q368" s="1004"/>
    </row>
    <row r="369" spans="15:17" s="383" customFormat="1">
      <c r="O369" s="1004"/>
      <c r="P369" s="1004"/>
      <c r="Q369" s="1004"/>
    </row>
    <row r="370" spans="15:17" s="383" customFormat="1">
      <c r="O370" s="1004"/>
      <c r="P370" s="1004"/>
      <c r="Q370" s="1004"/>
    </row>
    <row r="371" spans="15:17" s="383" customFormat="1">
      <c r="O371" s="1004"/>
      <c r="P371" s="1004"/>
      <c r="Q371" s="1004"/>
    </row>
    <row r="372" spans="15:17" s="383" customFormat="1">
      <c r="O372" s="1004"/>
      <c r="P372" s="1004"/>
      <c r="Q372" s="1004"/>
    </row>
    <row r="373" spans="15:17" s="383" customFormat="1">
      <c r="O373" s="1004"/>
      <c r="P373" s="1004"/>
      <c r="Q373" s="1004"/>
    </row>
    <row r="374" spans="15:17" s="383" customFormat="1">
      <c r="O374" s="1004"/>
      <c r="P374" s="1004"/>
      <c r="Q374" s="1004"/>
    </row>
    <row r="375" spans="15:17" s="383" customFormat="1">
      <c r="O375" s="1004"/>
      <c r="P375" s="1004"/>
      <c r="Q375" s="1004"/>
    </row>
    <row r="376" spans="15:17" s="383" customFormat="1">
      <c r="O376" s="1004"/>
      <c r="P376" s="1004"/>
      <c r="Q376" s="1004"/>
    </row>
    <row r="377" spans="15:17" s="383" customFormat="1">
      <c r="O377" s="1004"/>
      <c r="P377" s="1004"/>
      <c r="Q377" s="1004"/>
    </row>
    <row r="378" spans="15:17" s="383" customFormat="1">
      <c r="O378" s="1004"/>
      <c r="P378" s="1004"/>
      <c r="Q378" s="1004"/>
    </row>
    <row r="379" spans="15:17" s="383" customFormat="1">
      <c r="O379" s="1004"/>
      <c r="P379" s="1004"/>
      <c r="Q379" s="1004"/>
    </row>
    <row r="380" spans="15:17" s="383" customFormat="1">
      <c r="O380" s="1004"/>
      <c r="P380" s="1004"/>
      <c r="Q380" s="1004"/>
    </row>
    <row r="381" spans="15:17" s="383" customFormat="1">
      <c r="O381" s="1004"/>
      <c r="P381" s="1004"/>
      <c r="Q381" s="1004"/>
    </row>
    <row r="382" spans="15:17" s="383" customFormat="1">
      <c r="O382" s="1004"/>
      <c r="P382" s="1004"/>
      <c r="Q382" s="1004"/>
    </row>
    <row r="383" spans="15:17" s="383" customFormat="1">
      <c r="O383" s="1004"/>
      <c r="P383" s="1004"/>
      <c r="Q383" s="1004"/>
    </row>
    <row r="384" spans="15:17" s="383" customFormat="1">
      <c r="O384" s="1004"/>
      <c r="P384" s="1004"/>
      <c r="Q384" s="1004"/>
    </row>
    <row r="385" spans="15:17" s="383" customFormat="1">
      <c r="O385" s="1004"/>
      <c r="P385" s="1004"/>
      <c r="Q385" s="1004"/>
    </row>
    <row r="386" spans="15:17" s="383" customFormat="1">
      <c r="O386" s="1004"/>
      <c r="P386" s="1004"/>
      <c r="Q386" s="1004"/>
    </row>
    <row r="387" spans="15:17" s="383" customFormat="1">
      <c r="O387" s="1004"/>
      <c r="P387" s="1004"/>
      <c r="Q387" s="1004"/>
    </row>
    <row r="388" spans="15:17" s="383" customFormat="1">
      <c r="O388" s="1004"/>
      <c r="P388" s="1004"/>
      <c r="Q388" s="1004"/>
    </row>
    <row r="389" spans="15:17" s="383" customFormat="1">
      <c r="O389" s="1004"/>
      <c r="P389" s="1004"/>
      <c r="Q389" s="1004"/>
    </row>
    <row r="390" spans="15:17" s="383" customFormat="1">
      <c r="O390" s="1004"/>
      <c r="P390" s="1004"/>
      <c r="Q390" s="1004"/>
    </row>
    <row r="391" spans="15:17" s="383" customFormat="1">
      <c r="O391" s="1004"/>
      <c r="P391" s="1004"/>
      <c r="Q391" s="1004"/>
    </row>
    <row r="392" spans="15:17" s="383" customFormat="1">
      <c r="O392" s="1004"/>
      <c r="P392" s="1004"/>
      <c r="Q392" s="1004"/>
    </row>
    <row r="393" spans="15:17" s="383" customFormat="1">
      <c r="O393" s="1004"/>
      <c r="P393" s="1004"/>
      <c r="Q393" s="1004"/>
    </row>
    <row r="394" spans="15:17" s="383" customFormat="1">
      <c r="O394" s="1004"/>
      <c r="P394" s="1004"/>
      <c r="Q394" s="1004"/>
    </row>
    <row r="395" spans="15:17" s="383" customFormat="1">
      <c r="O395" s="1004"/>
      <c r="P395" s="1004"/>
      <c r="Q395" s="1004"/>
    </row>
    <row r="396" spans="15:17" s="383" customFormat="1">
      <c r="O396" s="1004"/>
      <c r="P396" s="1004"/>
      <c r="Q396" s="1004"/>
    </row>
    <row r="397" spans="15:17" s="383" customFormat="1">
      <c r="O397" s="1004"/>
      <c r="P397" s="1004"/>
      <c r="Q397" s="1004"/>
    </row>
    <row r="398" spans="15:17" s="383" customFormat="1">
      <c r="O398" s="1004"/>
      <c r="P398" s="1004"/>
      <c r="Q398" s="1004"/>
    </row>
    <row r="399" spans="15:17" s="383" customFormat="1">
      <c r="O399" s="1004"/>
      <c r="P399" s="1004"/>
      <c r="Q399" s="1004"/>
    </row>
    <row r="400" spans="15:17" s="383" customFormat="1">
      <c r="O400" s="1004"/>
      <c r="P400" s="1004"/>
      <c r="Q400" s="1004"/>
    </row>
    <row r="401" spans="15:17" s="383" customFormat="1">
      <c r="O401" s="1004"/>
      <c r="P401" s="1004"/>
      <c r="Q401" s="1004"/>
    </row>
    <row r="402" spans="15:17" s="383" customFormat="1">
      <c r="O402" s="1004"/>
      <c r="P402" s="1004"/>
      <c r="Q402" s="1004"/>
    </row>
    <row r="403" spans="15:17" s="383" customFormat="1">
      <c r="O403" s="1004"/>
      <c r="P403" s="1004"/>
      <c r="Q403" s="1004"/>
    </row>
    <row r="404" spans="15:17" s="383" customFormat="1">
      <c r="O404" s="1004"/>
      <c r="P404" s="1004"/>
      <c r="Q404" s="1004"/>
    </row>
    <row r="405" spans="15:17" s="383" customFormat="1">
      <c r="O405" s="1004"/>
      <c r="P405" s="1004"/>
      <c r="Q405" s="1004"/>
    </row>
    <row r="406" spans="15:17" s="383" customFormat="1">
      <c r="O406" s="1004"/>
      <c r="P406" s="1004"/>
      <c r="Q406" s="1004"/>
    </row>
    <row r="407" spans="15:17" s="383" customFormat="1">
      <c r="O407" s="1004"/>
      <c r="P407" s="1004"/>
      <c r="Q407" s="1004"/>
    </row>
    <row r="408" spans="15:17" s="383" customFormat="1">
      <c r="O408" s="1004"/>
      <c r="P408" s="1004"/>
      <c r="Q408" s="1004"/>
    </row>
    <row r="409" spans="15:17" s="383" customFormat="1">
      <c r="O409" s="1004"/>
      <c r="P409" s="1004"/>
      <c r="Q409" s="1004"/>
    </row>
    <row r="410" spans="15:17" s="383" customFormat="1">
      <c r="O410" s="1004"/>
      <c r="P410" s="1004"/>
      <c r="Q410" s="1004"/>
    </row>
    <row r="411" spans="15:17" s="383" customFormat="1">
      <c r="O411" s="1004"/>
      <c r="P411" s="1004"/>
      <c r="Q411" s="1004"/>
    </row>
    <row r="412" spans="15:17" s="383" customFormat="1">
      <c r="O412" s="1004"/>
      <c r="P412" s="1004"/>
      <c r="Q412" s="1004"/>
    </row>
    <row r="413" spans="15:17" s="383" customFormat="1">
      <c r="O413" s="1004"/>
      <c r="P413" s="1004"/>
      <c r="Q413" s="1004"/>
    </row>
    <row r="414" spans="15:17" s="383" customFormat="1">
      <c r="O414" s="1004"/>
      <c r="P414" s="1004"/>
      <c r="Q414" s="1004"/>
    </row>
    <row r="415" spans="15:17" s="383" customFormat="1">
      <c r="O415" s="1004"/>
      <c r="P415" s="1004"/>
      <c r="Q415" s="1004"/>
    </row>
    <row r="416" spans="15:17" s="383" customFormat="1">
      <c r="O416" s="1004"/>
      <c r="P416" s="1004"/>
      <c r="Q416" s="1004"/>
    </row>
    <row r="417" spans="15:17" s="383" customFormat="1">
      <c r="O417" s="1004"/>
      <c r="P417" s="1004"/>
      <c r="Q417" s="1004"/>
    </row>
    <row r="418" spans="15:17" s="383" customFormat="1">
      <c r="O418" s="1004"/>
      <c r="P418" s="1004"/>
      <c r="Q418" s="1004"/>
    </row>
    <row r="419" spans="15:17" s="383" customFormat="1">
      <c r="O419" s="1004"/>
      <c r="P419" s="1004"/>
      <c r="Q419" s="1004"/>
    </row>
    <row r="420" spans="15:17" s="383" customFormat="1">
      <c r="O420" s="1004"/>
      <c r="P420" s="1004"/>
      <c r="Q420" s="1004"/>
    </row>
    <row r="421" spans="15:17" s="383" customFormat="1">
      <c r="O421" s="1004"/>
      <c r="P421" s="1004"/>
      <c r="Q421" s="1004"/>
    </row>
    <row r="422" spans="15:17" s="383" customFormat="1">
      <c r="O422" s="1004"/>
      <c r="P422" s="1004"/>
      <c r="Q422" s="1004"/>
    </row>
    <row r="423" spans="15:17" s="383" customFormat="1">
      <c r="O423" s="1004"/>
      <c r="P423" s="1004"/>
      <c r="Q423" s="1004"/>
    </row>
    <row r="424" spans="15:17" s="383" customFormat="1">
      <c r="O424" s="1004"/>
      <c r="P424" s="1004"/>
      <c r="Q424" s="1004"/>
    </row>
    <row r="425" spans="15:17" s="383" customFormat="1">
      <c r="O425" s="1004"/>
      <c r="P425" s="1004"/>
      <c r="Q425" s="1004"/>
    </row>
    <row r="426" spans="15:17" s="383" customFormat="1">
      <c r="O426" s="1004"/>
      <c r="P426" s="1004"/>
      <c r="Q426" s="1004"/>
    </row>
    <row r="427" spans="15:17" s="383" customFormat="1">
      <c r="O427" s="1004"/>
      <c r="P427" s="1004"/>
      <c r="Q427" s="1004"/>
    </row>
    <row r="428" spans="15:17" s="383" customFormat="1">
      <c r="O428" s="1004"/>
      <c r="P428" s="1004"/>
      <c r="Q428" s="1004"/>
    </row>
    <row r="429" spans="15:17" s="383" customFormat="1">
      <c r="O429" s="1004"/>
      <c r="P429" s="1004"/>
      <c r="Q429" s="1004"/>
    </row>
    <row r="430" spans="15:17" s="383" customFormat="1">
      <c r="O430" s="1004"/>
      <c r="P430" s="1004"/>
      <c r="Q430" s="1004"/>
    </row>
    <row r="431" spans="15:17" s="383" customFormat="1">
      <c r="O431" s="1004"/>
      <c r="P431" s="1004"/>
      <c r="Q431" s="1004"/>
    </row>
    <row r="432" spans="15:17" s="383" customFormat="1">
      <c r="O432" s="1004"/>
      <c r="P432" s="1004"/>
      <c r="Q432" s="1004"/>
    </row>
    <row r="433" spans="15:17" s="383" customFormat="1">
      <c r="O433" s="1004"/>
      <c r="P433" s="1004"/>
      <c r="Q433" s="1004"/>
    </row>
    <row r="434" spans="15:17" s="383" customFormat="1">
      <c r="O434" s="1004"/>
      <c r="P434" s="1004"/>
      <c r="Q434" s="1004"/>
    </row>
    <row r="435" spans="15:17" s="383" customFormat="1">
      <c r="O435" s="1004"/>
      <c r="P435" s="1004"/>
      <c r="Q435" s="1004"/>
    </row>
    <row r="436" spans="15:17" s="383" customFormat="1">
      <c r="O436" s="1004"/>
      <c r="P436" s="1004"/>
      <c r="Q436" s="1004"/>
    </row>
    <row r="437" spans="15:17" s="383" customFormat="1">
      <c r="O437" s="1004"/>
      <c r="P437" s="1004"/>
      <c r="Q437" s="1004"/>
    </row>
    <row r="438" spans="15:17" s="383" customFormat="1">
      <c r="O438" s="1004"/>
      <c r="P438" s="1004"/>
      <c r="Q438" s="1004"/>
    </row>
    <row r="439" spans="15:17" s="383" customFormat="1">
      <c r="O439" s="1004"/>
      <c r="P439" s="1004"/>
      <c r="Q439" s="1004"/>
    </row>
    <row r="440" spans="15:17" s="383" customFormat="1">
      <c r="O440" s="1004"/>
      <c r="P440" s="1004"/>
      <c r="Q440" s="1004"/>
    </row>
    <row r="441" spans="15:17" s="383" customFormat="1">
      <c r="O441" s="1004"/>
      <c r="P441" s="1004"/>
      <c r="Q441" s="1004"/>
    </row>
    <row r="442" spans="15:17" s="383" customFormat="1">
      <c r="O442" s="1004"/>
      <c r="P442" s="1004"/>
      <c r="Q442" s="1004"/>
    </row>
    <row r="443" spans="15:17" s="383" customFormat="1">
      <c r="O443" s="1004"/>
      <c r="P443" s="1004"/>
      <c r="Q443" s="1004"/>
    </row>
    <row r="444" spans="15:17" s="383" customFormat="1">
      <c r="O444" s="1004"/>
      <c r="P444" s="1004"/>
      <c r="Q444" s="1004"/>
    </row>
    <row r="445" spans="15:17" s="383" customFormat="1">
      <c r="O445" s="1004"/>
      <c r="P445" s="1004"/>
      <c r="Q445" s="1004"/>
    </row>
    <row r="446" spans="15:17" s="383" customFormat="1">
      <c r="O446" s="1004"/>
      <c r="P446" s="1004"/>
      <c r="Q446" s="1004"/>
    </row>
    <row r="447" spans="15:17" s="383" customFormat="1">
      <c r="O447" s="1004"/>
      <c r="P447" s="1004"/>
      <c r="Q447" s="1004"/>
    </row>
    <row r="448" spans="15:17" s="383" customFormat="1">
      <c r="O448" s="1004"/>
      <c r="P448" s="1004"/>
      <c r="Q448" s="1004"/>
    </row>
    <row r="449" spans="15:17" s="383" customFormat="1">
      <c r="O449" s="1004"/>
      <c r="P449" s="1004"/>
      <c r="Q449" s="1004"/>
    </row>
    <row r="450" spans="15:17" s="383" customFormat="1">
      <c r="O450" s="1004"/>
      <c r="P450" s="1004"/>
      <c r="Q450" s="1004"/>
    </row>
    <row r="451" spans="15:17" s="383" customFormat="1">
      <c r="O451" s="1004"/>
      <c r="P451" s="1004"/>
      <c r="Q451" s="1004"/>
    </row>
    <row r="452" spans="15:17" s="383" customFormat="1">
      <c r="O452" s="1004"/>
      <c r="P452" s="1004"/>
      <c r="Q452" s="1004"/>
    </row>
    <row r="453" spans="15:17" s="383" customFormat="1">
      <c r="O453" s="1004"/>
      <c r="P453" s="1004"/>
      <c r="Q453" s="1004"/>
    </row>
    <row r="454" spans="15:17" s="383" customFormat="1">
      <c r="O454" s="1004"/>
      <c r="P454" s="1004"/>
      <c r="Q454" s="1004"/>
    </row>
    <row r="455" spans="15:17" s="383" customFormat="1">
      <c r="O455" s="1004"/>
      <c r="P455" s="1004"/>
      <c r="Q455" s="1004"/>
    </row>
    <row r="456" spans="15:17" s="383" customFormat="1">
      <c r="O456" s="1004"/>
      <c r="P456" s="1004"/>
      <c r="Q456" s="1004"/>
    </row>
    <row r="457" spans="15:17" s="383" customFormat="1">
      <c r="O457" s="1004"/>
      <c r="P457" s="1004"/>
      <c r="Q457" s="1004"/>
    </row>
    <row r="458" spans="15:17" s="383" customFormat="1">
      <c r="O458" s="1004"/>
      <c r="P458" s="1004"/>
      <c r="Q458" s="1004"/>
    </row>
    <row r="459" spans="15:17" s="383" customFormat="1">
      <c r="O459" s="1004"/>
      <c r="P459" s="1004"/>
      <c r="Q459" s="1004"/>
    </row>
    <row r="460" spans="15:17" s="383" customFormat="1">
      <c r="O460" s="1004"/>
      <c r="P460" s="1004"/>
      <c r="Q460" s="1004"/>
    </row>
    <row r="461" spans="15:17" s="383" customFormat="1">
      <c r="O461" s="1004"/>
      <c r="P461" s="1004"/>
      <c r="Q461" s="1004"/>
    </row>
    <row r="462" spans="15:17" s="383" customFormat="1">
      <c r="O462" s="1004"/>
      <c r="P462" s="1004"/>
      <c r="Q462" s="1004"/>
    </row>
    <row r="463" spans="15:17" s="383" customFormat="1">
      <c r="O463" s="1004"/>
      <c r="P463" s="1004"/>
      <c r="Q463" s="1004"/>
    </row>
    <row r="464" spans="15:17" s="383" customFormat="1">
      <c r="O464" s="1004"/>
      <c r="P464" s="1004"/>
      <c r="Q464" s="1004"/>
    </row>
    <row r="465" spans="15:17" s="383" customFormat="1">
      <c r="O465" s="1004"/>
      <c r="P465" s="1004"/>
      <c r="Q465" s="1004"/>
    </row>
    <row r="466" spans="15:17" s="383" customFormat="1">
      <c r="O466" s="1004"/>
      <c r="P466" s="1004"/>
      <c r="Q466" s="1004"/>
    </row>
    <row r="467" spans="15:17" s="383" customFormat="1">
      <c r="O467" s="1004"/>
      <c r="P467" s="1004"/>
      <c r="Q467" s="1004"/>
    </row>
    <row r="468" spans="15:17" s="383" customFormat="1">
      <c r="O468" s="1004"/>
      <c r="P468" s="1004"/>
      <c r="Q468" s="1004"/>
    </row>
    <row r="469" spans="15:17" s="383" customFormat="1">
      <c r="O469" s="1004"/>
      <c r="P469" s="1004"/>
      <c r="Q469" s="1004"/>
    </row>
    <row r="470" spans="15:17" s="383" customFormat="1">
      <c r="O470" s="1004"/>
      <c r="P470" s="1004"/>
      <c r="Q470" s="1004"/>
    </row>
    <row r="471" spans="15:17" s="383" customFormat="1">
      <c r="O471" s="1004"/>
      <c r="P471" s="1004"/>
      <c r="Q471" s="1004"/>
    </row>
    <row r="472" spans="15:17" s="383" customFormat="1">
      <c r="O472" s="1004"/>
      <c r="P472" s="1004"/>
      <c r="Q472" s="1004"/>
    </row>
    <row r="473" spans="15:17" s="383" customFormat="1">
      <c r="O473" s="1004"/>
      <c r="P473" s="1004"/>
      <c r="Q473" s="1004"/>
    </row>
    <row r="474" spans="15:17" s="383" customFormat="1">
      <c r="O474" s="1004"/>
      <c r="P474" s="1004"/>
      <c r="Q474" s="1004"/>
    </row>
    <row r="475" spans="15:17" s="383" customFormat="1">
      <c r="O475" s="1004"/>
      <c r="P475" s="1004"/>
      <c r="Q475" s="1004"/>
    </row>
    <row r="476" spans="15:17" s="383" customFormat="1">
      <c r="O476" s="1004"/>
      <c r="P476" s="1004"/>
      <c r="Q476" s="1004"/>
    </row>
    <row r="477" spans="15:17" s="383" customFormat="1">
      <c r="O477" s="1004"/>
      <c r="P477" s="1004"/>
      <c r="Q477" s="1004"/>
    </row>
    <row r="478" spans="15:17" s="383" customFormat="1">
      <c r="O478" s="1004"/>
      <c r="P478" s="1004"/>
      <c r="Q478" s="1004"/>
    </row>
    <row r="479" spans="15:17" s="383" customFormat="1">
      <c r="O479" s="1004"/>
      <c r="P479" s="1004"/>
      <c r="Q479" s="1004"/>
    </row>
    <row r="480" spans="15:17" s="383" customFormat="1">
      <c r="O480" s="1004"/>
      <c r="P480" s="1004"/>
      <c r="Q480" s="1004"/>
    </row>
    <row r="481" spans="15:17" s="383" customFormat="1">
      <c r="O481" s="1004"/>
      <c r="P481" s="1004"/>
      <c r="Q481" s="1004"/>
    </row>
    <row r="482" spans="15:17" s="383" customFormat="1">
      <c r="O482" s="1004"/>
      <c r="P482" s="1004"/>
      <c r="Q482" s="1004"/>
    </row>
    <row r="483" spans="15:17" s="383" customFormat="1">
      <c r="O483" s="1004"/>
      <c r="P483" s="1004"/>
      <c r="Q483" s="1004"/>
    </row>
    <row r="484" spans="15:17" s="383" customFormat="1">
      <c r="O484" s="1004"/>
      <c r="P484" s="1004"/>
      <c r="Q484" s="1004"/>
    </row>
    <row r="485" spans="15:17" s="383" customFormat="1">
      <c r="O485" s="1004"/>
      <c r="P485" s="1004"/>
      <c r="Q485" s="1004"/>
    </row>
    <row r="486" spans="15:17" s="383" customFormat="1">
      <c r="O486" s="1004"/>
      <c r="P486" s="1004"/>
      <c r="Q486" s="1004"/>
    </row>
    <row r="487" spans="15:17" s="383" customFormat="1">
      <c r="O487" s="1004"/>
      <c r="P487" s="1004"/>
      <c r="Q487" s="1004"/>
    </row>
    <row r="488" spans="15:17" s="383" customFormat="1">
      <c r="O488" s="1004"/>
      <c r="P488" s="1004"/>
      <c r="Q488" s="1004"/>
    </row>
    <row r="489" spans="15:17" s="383" customFormat="1">
      <c r="O489" s="1004"/>
      <c r="P489" s="1004"/>
      <c r="Q489" s="1004"/>
    </row>
    <row r="490" spans="15:17" s="383" customFormat="1">
      <c r="O490" s="1004"/>
      <c r="P490" s="1004"/>
      <c r="Q490" s="1004"/>
    </row>
    <row r="491" spans="15:17" s="383" customFormat="1">
      <c r="O491" s="1004"/>
      <c r="P491" s="1004"/>
      <c r="Q491" s="1004"/>
    </row>
    <row r="492" spans="15:17" s="383" customFormat="1">
      <c r="O492" s="1004"/>
      <c r="P492" s="1004"/>
      <c r="Q492" s="1004"/>
    </row>
    <row r="493" spans="15:17" s="383" customFormat="1">
      <c r="O493" s="1004"/>
      <c r="P493" s="1004"/>
      <c r="Q493" s="1004"/>
    </row>
    <row r="494" spans="15:17" s="383" customFormat="1">
      <c r="O494" s="1004"/>
      <c r="P494" s="1004"/>
      <c r="Q494" s="1004"/>
    </row>
    <row r="495" spans="15:17" s="383" customFormat="1">
      <c r="O495" s="1004"/>
      <c r="P495" s="1004"/>
      <c r="Q495" s="1004"/>
    </row>
    <row r="496" spans="15:17" s="383" customFormat="1">
      <c r="O496" s="1004"/>
      <c r="P496" s="1004"/>
      <c r="Q496" s="1004"/>
    </row>
    <row r="497" spans="15:17" s="383" customFormat="1">
      <c r="O497" s="1004"/>
      <c r="P497" s="1004"/>
      <c r="Q497" s="1004"/>
    </row>
    <row r="498" spans="15:17" s="383" customFormat="1">
      <c r="O498" s="1004"/>
      <c r="P498" s="1004"/>
      <c r="Q498" s="1004"/>
    </row>
    <row r="499" spans="15:17" s="383" customFormat="1">
      <c r="O499" s="1004"/>
      <c r="P499" s="1004"/>
      <c r="Q499" s="1004"/>
    </row>
    <row r="500" spans="15:17" s="383" customFormat="1">
      <c r="O500" s="1004"/>
      <c r="P500" s="1004"/>
      <c r="Q500" s="1004"/>
    </row>
    <row r="501" spans="15:17" s="383" customFormat="1">
      <c r="O501" s="1004"/>
      <c r="P501" s="1004"/>
      <c r="Q501" s="1004"/>
    </row>
    <row r="502" spans="15:17" s="383" customFormat="1">
      <c r="O502" s="1004"/>
      <c r="P502" s="1004"/>
      <c r="Q502" s="1004"/>
    </row>
    <row r="503" spans="15:17" s="383" customFormat="1">
      <c r="O503" s="1004"/>
      <c r="P503" s="1004"/>
      <c r="Q503" s="1004"/>
    </row>
    <row r="504" spans="15:17" s="383" customFormat="1">
      <c r="O504" s="1004"/>
      <c r="P504" s="1004"/>
      <c r="Q504" s="1004"/>
    </row>
    <row r="505" spans="15:17" s="383" customFormat="1">
      <c r="O505" s="1004"/>
      <c r="P505" s="1004"/>
      <c r="Q505" s="1004"/>
    </row>
    <row r="506" spans="15:17" s="383" customFormat="1">
      <c r="O506" s="1004"/>
      <c r="P506" s="1004"/>
      <c r="Q506" s="1004"/>
    </row>
    <row r="507" spans="15:17" s="383" customFormat="1">
      <c r="O507" s="1004"/>
      <c r="P507" s="1004"/>
      <c r="Q507" s="1004"/>
    </row>
    <row r="508" spans="15:17" s="383" customFormat="1">
      <c r="O508" s="1004"/>
      <c r="P508" s="1004"/>
      <c r="Q508" s="1004"/>
    </row>
    <row r="509" spans="15:17" s="383" customFormat="1">
      <c r="O509" s="1004"/>
      <c r="P509" s="1004"/>
      <c r="Q509" s="1004"/>
    </row>
    <row r="510" spans="15:17" s="383" customFormat="1">
      <c r="O510" s="1004"/>
      <c r="P510" s="1004"/>
      <c r="Q510" s="1004"/>
    </row>
    <row r="511" spans="15:17" s="383" customFormat="1">
      <c r="O511" s="1004"/>
      <c r="P511" s="1004"/>
      <c r="Q511" s="1004"/>
    </row>
    <row r="512" spans="15:17" s="383" customFormat="1">
      <c r="O512" s="1004"/>
      <c r="P512" s="1004"/>
      <c r="Q512" s="1004"/>
    </row>
    <row r="513" spans="15:17" s="383" customFormat="1">
      <c r="O513" s="1004"/>
      <c r="P513" s="1004"/>
      <c r="Q513" s="1004"/>
    </row>
    <row r="514" spans="15:17" s="383" customFormat="1">
      <c r="O514" s="1004"/>
      <c r="P514" s="1004"/>
      <c r="Q514" s="1004"/>
    </row>
    <row r="515" spans="15:17" s="383" customFormat="1">
      <c r="O515" s="1004"/>
      <c r="P515" s="1004"/>
      <c r="Q515" s="1004"/>
    </row>
    <row r="516" spans="15:17" s="383" customFormat="1">
      <c r="O516" s="1004"/>
      <c r="P516" s="1004"/>
      <c r="Q516" s="1004"/>
    </row>
    <row r="517" spans="15:17" s="383" customFormat="1">
      <c r="O517" s="1004"/>
      <c r="P517" s="1004"/>
      <c r="Q517" s="1004"/>
    </row>
    <row r="518" spans="15:17" s="383" customFormat="1">
      <c r="O518" s="1004"/>
      <c r="P518" s="1004"/>
      <c r="Q518" s="1004"/>
    </row>
    <row r="519" spans="15:17" s="383" customFormat="1">
      <c r="O519" s="1004"/>
      <c r="P519" s="1004"/>
      <c r="Q519" s="1004"/>
    </row>
    <row r="520" spans="15:17" s="383" customFormat="1">
      <c r="O520" s="1004"/>
      <c r="P520" s="1004"/>
      <c r="Q520" s="1004"/>
    </row>
    <row r="521" spans="15:17" s="383" customFormat="1">
      <c r="O521" s="1004"/>
      <c r="P521" s="1004"/>
      <c r="Q521" s="1004"/>
    </row>
    <row r="522" spans="15:17" s="383" customFormat="1">
      <c r="O522" s="1004"/>
      <c r="P522" s="1004"/>
      <c r="Q522" s="1004"/>
    </row>
    <row r="523" spans="15:17" s="383" customFormat="1">
      <c r="O523" s="1004"/>
      <c r="P523" s="1004"/>
      <c r="Q523" s="1004"/>
    </row>
    <row r="524" spans="15:17" s="383" customFormat="1">
      <c r="O524" s="1004"/>
      <c r="P524" s="1004"/>
      <c r="Q524" s="1004"/>
    </row>
    <row r="525" spans="15:17" s="383" customFormat="1">
      <c r="O525" s="1004"/>
      <c r="P525" s="1004"/>
      <c r="Q525" s="1004"/>
    </row>
    <row r="526" spans="15:17" s="383" customFormat="1">
      <c r="O526" s="1004"/>
      <c r="P526" s="1004"/>
      <c r="Q526" s="1004"/>
    </row>
    <row r="527" spans="15:17" s="383" customFormat="1">
      <c r="O527" s="1004"/>
      <c r="P527" s="1004"/>
      <c r="Q527" s="1004"/>
    </row>
    <row r="528" spans="15:17" s="383" customFormat="1">
      <c r="O528" s="1004"/>
      <c r="P528" s="1004"/>
      <c r="Q528" s="1004"/>
    </row>
    <row r="529" spans="15:17" s="383" customFormat="1">
      <c r="O529" s="1004"/>
      <c r="P529" s="1004"/>
      <c r="Q529" s="1004"/>
    </row>
    <row r="530" spans="15:17" s="383" customFormat="1">
      <c r="O530" s="1004"/>
      <c r="P530" s="1004"/>
      <c r="Q530" s="1004"/>
    </row>
    <row r="531" spans="15:17" s="383" customFormat="1">
      <c r="O531" s="1004"/>
      <c r="P531" s="1004"/>
      <c r="Q531" s="1004"/>
    </row>
    <row r="532" spans="15:17" s="383" customFormat="1">
      <c r="O532" s="1004"/>
      <c r="P532" s="1004"/>
      <c r="Q532" s="1004"/>
    </row>
    <row r="533" spans="15:17" s="383" customFormat="1">
      <c r="O533" s="1004"/>
      <c r="P533" s="1004"/>
      <c r="Q533" s="1004"/>
    </row>
    <row r="534" spans="15:17" s="383" customFormat="1">
      <c r="O534" s="1004"/>
      <c r="P534" s="1004"/>
      <c r="Q534" s="1004"/>
    </row>
    <row r="535" spans="15:17" s="383" customFormat="1">
      <c r="O535" s="1004"/>
      <c r="P535" s="1004"/>
      <c r="Q535" s="1004"/>
    </row>
    <row r="536" spans="15:17" s="383" customFormat="1">
      <c r="O536" s="1004"/>
      <c r="P536" s="1004"/>
      <c r="Q536" s="1004"/>
    </row>
    <row r="537" spans="15:17" s="383" customFormat="1">
      <c r="O537" s="1004"/>
      <c r="P537" s="1004"/>
      <c r="Q537" s="1004"/>
    </row>
    <row r="538" spans="15:17" s="383" customFormat="1">
      <c r="O538" s="1004"/>
      <c r="P538" s="1004"/>
      <c r="Q538" s="1004"/>
    </row>
    <row r="539" spans="15:17" s="383" customFormat="1">
      <c r="O539" s="1004"/>
      <c r="P539" s="1004"/>
      <c r="Q539" s="1004"/>
    </row>
    <row r="540" spans="15:17" s="383" customFormat="1">
      <c r="O540" s="1004"/>
      <c r="P540" s="1004"/>
      <c r="Q540" s="1004"/>
    </row>
    <row r="541" spans="15:17" s="383" customFormat="1">
      <c r="O541" s="1004"/>
      <c r="P541" s="1004"/>
      <c r="Q541" s="1004"/>
    </row>
    <row r="542" spans="15:17" s="383" customFormat="1">
      <c r="O542" s="1004"/>
      <c r="P542" s="1004"/>
      <c r="Q542" s="1004"/>
    </row>
    <row r="543" spans="15:17" s="383" customFormat="1">
      <c r="O543" s="1004"/>
      <c r="P543" s="1004"/>
      <c r="Q543" s="1004"/>
    </row>
    <row r="544" spans="15:17" s="383" customFormat="1">
      <c r="O544" s="1004"/>
      <c r="P544" s="1004"/>
      <c r="Q544" s="1004"/>
    </row>
    <row r="545" spans="15:17" s="383" customFormat="1">
      <c r="O545" s="1004"/>
      <c r="P545" s="1004"/>
      <c r="Q545" s="1004"/>
    </row>
    <row r="546" spans="15:17" s="383" customFormat="1">
      <c r="O546" s="1004"/>
      <c r="P546" s="1004"/>
      <c r="Q546" s="1004"/>
    </row>
    <row r="547" spans="15:17" s="383" customFormat="1">
      <c r="O547" s="1004"/>
      <c r="P547" s="1004"/>
      <c r="Q547" s="1004"/>
    </row>
    <row r="548" spans="15:17" s="383" customFormat="1">
      <c r="O548" s="1004"/>
      <c r="P548" s="1004"/>
      <c r="Q548" s="1004"/>
    </row>
    <row r="549" spans="15:17" s="383" customFormat="1">
      <c r="O549" s="1004"/>
      <c r="P549" s="1004"/>
      <c r="Q549" s="1004"/>
    </row>
    <row r="550" spans="15:17" s="383" customFormat="1">
      <c r="O550" s="1004"/>
      <c r="P550" s="1004"/>
      <c r="Q550" s="1004"/>
    </row>
    <row r="551" spans="15:17" s="383" customFormat="1">
      <c r="O551" s="1004"/>
      <c r="P551" s="1004"/>
      <c r="Q551" s="1004"/>
    </row>
    <row r="552" spans="15:17" s="383" customFormat="1">
      <c r="O552" s="1004"/>
      <c r="P552" s="1004"/>
      <c r="Q552" s="1004"/>
    </row>
    <row r="553" spans="15:17" s="383" customFormat="1">
      <c r="O553" s="1004"/>
      <c r="P553" s="1004"/>
      <c r="Q553" s="1004"/>
    </row>
    <row r="554" spans="15:17" s="383" customFormat="1">
      <c r="O554" s="1004"/>
      <c r="P554" s="1004"/>
      <c r="Q554" s="1004"/>
    </row>
    <row r="555" spans="15:17" s="383" customFormat="1">
      <c r="O555" s="1004"/>
      <c r="P555" s="1004"/>
      <c r="Q555" s="1004"/>
    </row>
    <row r="556" spans="15:17" s="383" customFormat="1">
      <c r="O556" s="1004"/>
      <c r="P556" s="1004"/>
      <c r="Q556" s="1004"/>
    </row>
    <row r="557" spans="15:17" s="383" customFormat="1">
      <c r="O557" s="1004"/>
      <c r="P557" s="1004"/>
      <c r="Q557" s="1004"/>
    </row>
    <row r="558" spans="15:17" s="383" customFormat="1">
      <c r="O558" s="1004"/>
      <c r="P558" s="1004"/>
      <c r="Q558" s="1004"/>
    </row>
    <row r="559" spans="15:17" s="383" customFormat="1">
      <c r="O559" s="1004"/>
      <c r="P559" s="1004"/>
      <c r="Q559" s="1004"/>
    </row>
    <row r="560" spans="15:17" s="383" customFormat="1">
      <c r="O560" s="1004"/>
      <c r="P560" s="1004"/>
      <c r="Q560" s="1004"/>
    </row>
    <row r="561" spans="15:17" s="383" customFormat="1">
      <c r="O561" s="1004"/>
      <c r="P561" s="1004"/>
      <c r="Q561" s="1004"/>
    </row>
    <row r="562" spans="15:17" s="383" customFormat="1">
      <c r="O562" s="1004"/>
      <c r="P562" s="1004"/>
      <c r="Q562" s="1004"/>
    </row>
    <row r="563" spans="15:17" s="383" customFormat="1">
      <c r="O563" s="1004"/>
      <c r="P563" s="1004"/>
      <c r="Q563" s="1004"/>
    </row>
    <row r="564" spans="15:17" s="383" customFormat="1">
      <c r="O564" s="1004"/>
      <c r="P564" s="1004"/>
      <c r="Q564" s="1004"/>
    </row>
    <row r="565" spans="15:17" s="383" customFormat="1">
      <c r="O565" s="1004"/>
      <c r="P565" s="1004"/>
      <c r="Q565" s="1004"/>
    </row>
    <row r="566" spans="15:17" s="383" customFormat="1">
      <c r="O566" s="1004"/>
      <c r="P566" s="1004"/>
      <c r="Q566" s="1004"/>
    </row>
    <row r="567" spans="15:17" s="383" customFormat="1">
      <c r="O567" s="1004"/>
      <c r="P567" s="1004"/>
      <c r="Q567" s="1004"/>
    </row>
    <row r="568" spans="15:17" s="383" customFormat="1">
      <c r="O568" s="1004"/>
      <c r="P568" s="1004"/>
      <c r="Q568" s="1004"/>
    </row>
    <row r="569" spans="15:17" s="383" customFormat="1">
      <c r="O569" s="1004"/>
      <c r="P569" s="1004"/>
      <c r="Q569" s="1004"/>
    </row>
    <row r="570" spans="15:17" s="383" customFormat="1">
      <c r="O570" s="1004"/>
      <c r="P570" s="1004"/>
      <c r="Q570" s="1004"/>
    </row>
    <row r="571" spans="15:17" s="383" customFormat="1">
      <c r="O571" s="1004"/>
      <c r="P571" s="1004"/>
      <c r="Q571" s="1004"/>
    </row>
    <row r="572" spans="15:17" s="383" customFormat="1">
      <c r="O572" s="1004"/>
      <c r="P572" s="1004"/>
      <c r="Q572" s="1004"/>
    </row>
    <row r="573" spans="15:17" s="383" customFormat="1">
      <c r="O573" s="1004"/>
      <c r="P573" s="1004"/>
      <c r="Q573" s="1004"/>
    </row>
    <row r="574" spans="15:17" s="383" customFormat="1">
      <c r="O574" s="1004"/>
      <c r="P574" s="1004"/>
      <c r="Q574" s="1004"/>
    </row>
    <row r="575" spans="15:17" s="383" customFormat="1">
      <c r="O575" s="1004"/>
      <c r="P575" s="1004"/>
      <c r="Q575" s="1004"/>
    </row>
    <row r="576" spans="15:17" s="383" customFormat="1">
      <c r="O576" s="1004"/>
      <c r="P576" s="1004"/>
      <c r="Q576" s="1004"/>
    </row>
    <row r="577" spans="15:17" s="383" customFormat="1">
      <c r="O577" s="1004"/>
      <c r="P577" s="1004"/>
      <c r="Q577" s="1004"/>
    </row>
    <row r="578" spans="15:17" s="383" customFormat="1">
      <c r="O578" s="1004"/>
      <c r="P578" s="1004"/>
      <c r="Q578" s="1004"/>
    </row>
    <row r="579" spans="15:17" s="383" customFormat="1">
      <c r="O579" s="1004"/>
      <c r="P579" s="1004"/>
      <c r="Q579" s="1004"/>
    </row>
    <row r="580" spans="15:17" s="383" customFormat="1">
      <c r="O580" s="1004"/>
      <c r="P580" s="1004"/>
      <c r="Q580" s="1004"/>
    </row>
    <row r="581" spans="15:17" s="383" customFormat="1">
      <c r="O581" s="1004"/>
      <c r="P581" s="1004"/>
      <c r="Q581" s="1004"/>
    </row>
    <row r="582" spans="15:17" s="383" customFormat="1">
      <c r="O582" s="1004"/>
      <c r="P582" s="1004"/>
      <c r="Q582" s="1004"/>
    </row>
    <row r="583" spans="15:17" s="383" customFormat="1">
      <c r="O583" s="1004"/>
      <c r="P583" s="1004"/>
      <c r="Q583" s="1004"/>
    </row>
    <row r="584" spans="15:17" s="383" customFormat="1">
      <c r="O584" s="1004"/>
      <c r="P584" s="1004"/>
      <c r="Q584" s="1004"/>
    </row>
    <row r="585" spans="15:17" s="383" customFormat="1">
      <c r="O585" s="1004"/>
      <c r="P585" s="1004"/>
      <c r="Q585" s="1004"/>
    </row>
    <row r="586" spans="15:17" s="383" customFormat="1">
      <c r="O586" s="1004"/>
      <c r="P586" s="1004"/>
      <c r="Q586" s="1004"/>
    </row>
    <row r="587" spans="15:17" s="383" customFormat="1">
      <c r="O587" s="1004"/>
      <c r="P587" s="1004"/>
      <c r="Q587" s="1004"/>
    </row>
    <row r="588" spans="15:17" s="383" customFormat="1">
      <c r="O588" s="1004"/>
      <c r="P588" s="1004"/>
      <c r="Q588" s="1004"/>
    </row>
    <row r="589" spans="15:17" s="383" customFormat="1">
      <c r="O589" s="1004"/>
      <c r="P589" s="1004"/>
      <c r="Q589" s="1004"/>
    </row>
    <row r="590" spans="15:17" s="383" customFormat="1">
      <c r="O590" s="1004"/>
      <c r="P590" s="1004"/>
      <c r="Q590" s="1004"/>
    </row>
    <row r="591" spans="15:17" s="383" customFormat="1">
      <c r="O591" s="1004"/>
      <c r="P591" s="1004"/>
      <c r="Q591" s="1004"/>
    </row>
    <row r="592" spans="15:17" s="383" customFormat="1">
      <c r="O592" s="1004"/>
      <c r="P592" s="1004"/>
      <c r="Q592" s="1004"/>
    </row>
    <row r="593" spans="15:17" s="383" customFormat="1">
      <c r="O593" s="1004"/>
      <c r="P593" s="1004"/>
      <c r="Q593" s="1004"/>
    </row>
    <row r="594" spans="15:17" s="383" customFormat="1">
      <c r="O594" s="1004"/>
      <c r="P594" s="1004"/>
      <c r="Q594" s="1004"/>
    </row>
    <row r="595" spans="15:17" s="383" customFormat="1">
      <c r="O595" s="1004"/>
      <c r="P595" s="1004"/>
      <c r="Q595" s="1004"/>
    </row>
    <row r="596" spans="15:17" s="383" customFormat="1">
      <c r="O596" s="1004"/>
      <c r="P596" s="1004"/>
      <c r="Q596" s="1004"/>
    </row>
    <row r="597" spans="15:17" s="383" customFormat="1">
      <c r="O597" s="1004"/>
      <c r="P597" s="1004"/>
      <c r="Q597" s="1004"/>
    </row>
    <row r="598" spans="15:17" s="383" customFormat="1">
      <c r="O598" s="1004"/>
      <c r="P598" s="1004"/>
      <c r="Q598" s="1004"/>
    </row>
    <row r="599" spans="15:17" s="383" customFormat="1">
      <c r="O599" s="1004"/>
      <c r="P599" s="1004"/>
      <c r="Q599" s="1004"/>
    </row>
    <row r="600" spans="15:17" s="383" customFormat="1">
      <c r="O600" s="1004"/>
      <c r="P600" s="1004"/>
      <c r="Q600" s="1004"/>
    </row>
    <row r="601" spans="15:17" s="383" customFormat="1">
      <c r="O601" s="1004"/>
      <c r="P601" s="1004"/>
      <c r="Q601" s="1004"/>
    </row>
    <row r="602" spans="15:17" s="383" customFormat="1">
      <c r="O602" s="1004"/>
      <c r="P602" s="1004"/>
      <c r="Q602" s="1004"/>
    </row>
    <row r="603" spans="15:17" s="383" customFormat="1">
      <c r="O603" s="1004"/>
      <c r="P603" s="1004"/>
      <c r="Q603" s="1004"/>
    </row>
    <row r="604" spans="15:17" s="383" customFormat="1">
      <c r="O604" s="1004"/>
      <c r="P604" s="1004"/>
      <c r="Q604" s="1004"/>
    </row>
    <row r="605" spans="15:17" s="383" customFormat="1">
      <c r="O605" s="1004"/>
      <c r="P605" s="1004"/>
      <c r="Q605" s="1004"/>
    </row>
    <row r="606" spans="15:17" s="383" customFormat="1">
      <c r="O606" s="1004"/>
      <c r="P606" s="1004"/>
      <c r="Q606" s="1004"/>
    </row>
    <row r="607" spans="15:17" s="383" customFormat="1">
      <c r="O607" s="1004"/>
      <c r="P607" s="1004"/>
      <c r="Q607" s="1004"/>
    </row>
    <row r="608" spans="15:17" s="383" customFormat="1">
      <c r="O608" s="1004"/>
      <c r="P608" s="1004"/>
      <c r="Q608" s="1004"/>
    </row>
    <row r="609" spans="15:17" s="383" customFormat="1">
      <c r="O609" s="1004"/>
      <c r="P609" s="1004"/>
      <c r="Q609" s="1004"/>
    </row>
    <row r="610" spans="15:17" s="383" customFormat="1">
      <c r="O610" s="1004"/>
      <c r="P610" s="1004"/>
      <c r="Q610" s="1004"/>
    </row>
    <row r="611" spans="15:17" s="383" customFormat="1">
      <c r="O611" s="1004"/>
      <c r="P611" s="1004"/>
      <c r="Q611" s="1004"/>
    </row>
    <row r="612" spans="15:17" s="383" customFormat="1">
      <c r="O612" s="1004"/>
      <c r="P612" s="1004"/>
      <c r="Q612" s="1004"/>
    </row>
    <row r="613" spans="15:17" s="383" customFormat="1">
      <c r="O613" s="1004"/>
      <c r="P613" s="1004"/>
      <c r="Q613" s="1004"/>
    </row>
    <row r="614" spans="15:17" s="383" customFormat="1">
      <c r="O614" s="1004"/>
      <c r="P614" s="1004"/>
      <c r="Q614" s="1004"/>
    </row>
    <row r="615" spans="15:17" s="383" customFormat="1">
      <c r="O615" s="1004"/>
      <c r="P615" s="1004"/>
      <c r="Q615" s="1004"/>
    </row>
    <row r="616" spans="15:17" s="383" customFormat="1">
      <c r="O616" s="1004"/>
      <c r="P616" s="1004"/>
      <c r="Q616" s="1004"/>
    </row>
    <row r="617" spans="15:17" s="383" customFormat="1">
      <c r="O617" s="1004"/>
      <c r="P617" s="1004"/>
      <c r="Q617" s="1004"/>
    </row>
    <row r="618" spans="15:17" s="383" customFormat="1">
      <c r="O618" s="1004"/>
      <c r="P618" s="1004"/>
      <c r="Q618" s="1004"/>
    </row>
    <row r="619" spans="15:17" s="383" customFormat="1">
      <c r="O619" s="1004"/>
      <c r="P619" s="1004"/>
      <c r="Q619" s="1004"/>
    </row>
    <row r="620" spans="15:17" s="383" customFormat="1">
      <c r="O620" s="1004"/>
      <c r="P620" s="1004"/>
      <c r="Q620" s="1004"/>
    </row>
    <row r="621" spans="15:17" s="383" customFormat="1">
      <c r="O621" s="1004"/>
      <c r="P621" s="1004"/>
      <c r="Q621" s="1004"/>
    </row>
    <row r="622" spans="15:17" s="383" customFormat="1">
      <c r="O622" s="1004"/>
      <c r="P622" s="1004"/>
      <c r="Q622" s="1004"/>
    </row>
    <row r="623" spans="15:17" s="383" customFormat="1">
      <c r="O623" s="1004"/>
      <c r="P623" s="1004"/>
      <c r="Q623" s="1004"/>
    </row>
    <row r="624" spans="15:17" s="383" customFormat="1">
      <c r="O624" s="1004"/>
      <c r="P624" s="1004"/>
      <c r="Q624" s="1004"/>
    </row>
    <row r="625" spans="15:17" s="383" customFormat="1">
      <c r="O625" s="1004"/>
      <c r="P625" s="1004"/>
      <c r="Q625" s="1004"/>
    </row>
    <row r="626" spans="15:17" s="383" customFormat="1">
      <c r="O626" s="1004"/>
      <c r="P626" s="1004"/>
      <c r="Q626" s="1004"/>
    </row>
    <row r="627" spans="15:17" s="383" customFormat="1">
      <c r="O627" s="1004"/>
      <c r="P627" s="1004"/>
      <c r="Q627" s="1004"/>
    </row>
    <row r="628" spans="15:17" s="383" customFormat="1">
      <c r="O628" s="1004"/>
      <c r="P628" s="1004"/>
      <c r="Q628" s="1004"/>
    </row>
    <row r="629" spans="15:17" s="383" customFormat="1">
      <c r="O629" s="1004"/>
      <c r="P629" s="1004"/>
      <c r="Q629" s="1004"/>
    </row>
    <row r="630" spans="15:17" s="383" customFormat="1">
      <c r="O630" s="1004"/>
      <c r="P630" s="1004"/>
      <c r="Q630" s="1004"/>
    </row>
    <row r="631" spans="15:17" s="383" customFormat="1">
      <c r="O631" s="1004"/>
      <c r="P631" s="1004"/>
      <c r="Q631" s="1004"/>
    </row>
    <row r="632" spans="15:17" s="383" customFormat="1">
      <c r="O632" s="1004"/>
      <c r="P632" s="1004"/>
      <c r="Q632" s="1004"/>
    </row>
    <row r="633" spans="15:17" s="383" customFormat="1">
      <c r="O633" s="1004"/>
      <c r="P633" s="1004"/>
      <c r="Q633" s="1004"/>
    </row>
    <row r="634" spans="15:17" s="383" customFormat="1">
      <c r="O634" s="1004"/>
      <c r="P634" s="1004"/>
      <c r="Q634" s="1004"/>
    </row>
    <row r="635" spans="15:17" s="383" customFormat="1">
      <c r="O635" s="1004"/>
      <c r="P635" s="1004"/>
      <c r="Q635" s="1004"/>
    </row>
    <row r="636" spans="15:17" s="383" customFormat="1">
      <c r="O636" s="1004"/>
      <c r="P636" s="1004"/>
      <c r="Q636" s="1004"/>
    </row>
    <row r="637" spans="15:17" s="383" customFormat="1">
      <c r="O637" s="1004"/>
      <c r="P637" s="1004"/>
      <c r="Q637" s="1004"/>
    </row>
    <row r="638" spans="15:17" s="383" customFormat="1">
      <c r="O638" s="1004"/>
      <c r="P638" s="1004"/>
      <c r="Q638" s="1004"/>
    </row>
    <row r="639" spans="15:17" s="383" customFormat="1">
      <c r="O639" s="1004"/>
      <c r="P639" s="1004"/>
      <c r="Q639" s="1004"/>
    </row>
    <row r="640" spans="15:17" s="383" customFormat="1">
      <c r="O640" s="1004"/>
      <c r="P640" s="1004"/>
      <c r="Q640" s="1004"/>
    </row>
    <row r="641" spans="15:17" s="383" customFormat="1">
      <c r="O641" s="1004"/>
      <c r="P641" s="1004"/>
      <c r="Q641" s="1004"/>
    </row>
    <row r="642" spans="15:17" s="383" customFormat="1">
      <c r="O642" s="1004"/>
      <c r="P642" s="1004"/>
      <c r="Q642" s="1004"/>
    </row>
    <row r="643" spans="15:17" s="383" customFormat="1">
      <c r="O643" s="1004"/>
      <c r="P643" s="1004"/>
      <c r="Q643" s="1004"/>
    </row>
    <row r="644" spans="15:17" s="383" customFormat="1">
      <c r="O644" s="1004"/>
      <c r="P644" s="1004"/>
      <c r="Q644" s="1004"/>
    </row>
    <row r="645" spans="15:17" s="383" customFormat="1">
      <c r="O645" s="1004"/>
      <c r="P645" s="1004"/>
      <c r="Q645" s="1004"/>
    </row>
    <row r="646" spans="15:17" s="383" customFormat="1">
      <c r="O646" s="1004"/>
      <c r="P646" s="1004"/>
      <c r="Q646" s="1004"/>
    </row>
    <row r="647" spans="15:17" s="383" customFormat="1">
      <c r="O647" s="1004"/>
      <c r="P647" s="1004"/>
      <c r="Q647" s="1004"/>
    </row>
    <row r="648" spans="15:17" s="383" customFormat="1">
      <c r="O648" s="1004"/>
      <c r="P648" s="1004"/>
      <c r="Q648" s="1004"/>
    </row>
    <row r="649" spans="15:17" s="383" customFormat="1">
      <c r="O649" s="1004"/>
      <c r="P649" s="1004"/>
      <c r="Q649" s="1004"/>
    </row>
    <row r="650" spans="15:17" s="383" customFormat="1">
      <c r="O650" s="1004"/>
      <c r="P650" s="1004"/>
      <c r="Q650" s="1004"/>
    </row>
    <row r="651" spans="15:17" s="383" customFormat="1">
      <c r="O651" s="1004"/>
      <c r="P651" s="1004"/>
      <c r="Q651" s="1004"/>
    </row>
    <row r="652" spans="15:17" s="383" customFormat="1">
      <c r="O652" s="1004"/>
      <c r="P652" s="1004"/>
      <c r="Q652" s="1004"/>
    </row>
    <row r="653" spans="15:17" s="383" customFormat="1">
      <c r="O653" s="1004"/>
      <c r="P653" s="1004"/>
      <c r="Q653" s="1004"/>
    </row>
    <row r="654" spans="15:17" s="383" customFormat="1">
      <c r="O654" s="1004"/>
      <c r="P654" s="1004"/>
      <c r="Q654" s="1004"/>
    </row>
    <row r="655" spans="15:17" s="383" customFormat="1">
      <c r="O655" s="1004"/>
      <c r="P655" s="1004"/>
      <c r="Q655" s="1004"/>
    </row>
    <row r="656" spans="15:17" s="383" customFormat="1">
      <c r="O656" s="1004"/>
      <c r="P656" s="1004"/>
      <c r="Q656" s="1004"/>
    </row>
    <row r="657" spans="15:17" s="383" customFormat="1">
      <c r="O657" s="1004"/>
      <c r="P657" s="1004"/>
      <c r="Q657" s="1004"/>
    </row>
    <row r="658" spans="15:17" s="383" customFormat="1">
      <c r="O658" s="1004"/>
      <c r="P658" s="1004"/>
      <c r="Q658" s="1004"/>
    </row>
    <row r="659" spans="15:17" s="383" customFormat="1">
      <c r="O659" s="1004"/>
      <c r="P659" s="1004"/>
      <c r="Q659" s="1004"/>
    </row>
    <row r="660" spans="15:17" s="383" customFormat="1">
      <c r="O660" s="1004"/>
      <c r="P660" s="1004"/>
      <c r="Q660" s="1004"/>
    </row>
    <row r="661" spans="15:17" s="383" customFormat="1">
      <c r="O661" s="1004"/>
      <c r="P661" s="1004"/>
      <c r="Q661" s="1004"/>
    </row>
    <row r="662" spans="15:17" s="383" customFormat="1">
      <c r="O662" s="1004"/>
      <c r="P662" s="1004"/>
      <c r="Q662" s="1004"/>
    </row>
    <row r="663" spans="15:17" s="383" customFormat="1">
      <c r="O663" s="1004"/>
      <c r="P663" s="1004"/>
      <c r="Q663" s="1004"/>
    </row>
    <row r="664" spans="15:17" s="383" customFormat="1">
      <c r="O664" s="1004"/>
      <c r="P664" s="1004"/>
      <c r="Q664" s="1004"/>
    </row>
    <row r="665" spans="15:17" s="383" customFormat="1">
      <c r="O665" s="1004"/>
      <c r="P665" s="1004"/>
      <c r="Q665" s="1004"/>
    </row>
    <row r="666" spans="15:17" s="383" customFormat="1">
      <c r="O666" s="1004"/>
      <c r="P666" s="1004"/>
      <c r="Q666" s="1004"/>
    </row>
    <row r="667" spans="15:17" s="383" customFormat="1">
      <c r="O667" s="1004"/>
      <c r="P667" s="1004"/>
      <c r="Q667" s="1004"/>
    </row>
    <row r="668" spans="15:17" s="383" customFormat="1">
      <c r="O668" s="1004"/>
      <c r="P668" s="1004"/>
      <c r="Q668" s="1004"/>
    </row>
    <row r="669" spans="15:17" s="383" customFormat="1">
      <c r="O669" s="1004"/>
      <c r="P669" s="1004"/>
      <c r="Q669" s="1004"/>
    </row>
    <row r="670" spans="15:17" s="383" customFormat="1">
      <c r="O670" s="1004"/>
      <c r="P670" s="1004"/>
      <c r="Q670" s="1004"/>
    </row>
    <row r="671" spans="15:17" s="383" customFormat="1">
      <c r="O671" s="1004"/>
      <c r="P671" s="1004"/>
      <c r="Q671" s="1004"/>
    </row>
    <row r="672" spans="15:17" s="383" customFormat="1">
      <c r="O672" s="1004"/>
      <c r="P672" s="1004"/>
      <c r="Q672" s="1004"/>
    </row>
    <row r="673" spans="15:17" s="383" customFormat="1">
      <c r="O673" s="1004"/>
      <c r="P673" s="1004"/>
      <c r="Q673" s="1004"/>
    </row>
    <row r="674" spans="15:17" s="383" customFormat="1">
      <c r="O674" s="1004"/>
      <c r="P674" s="1004"/>
      <c r="Q674" s="1004"/>
    </row>
    <row r="675" spans="15:17" s="383" customFormat="1">
      <c r="O675" s="1004"/>
      <c r="P675" s="1004"/>
      <c r="Q675" s="1004"/>
    </row>
    <row r="676" spans="15:17" s="383" customFormat="1">
      <c r="O676" s="1004"/>
      <c r="P676" s="1004"/>
      <c r="Q676" s="1004"/>
    </row>
    <row r="677" spans="15:17" s="383" customFormat="1">
      <c r="O677" s="1004"/>
      <c r="P677" s="1004"/>
      <c r="Q677" s="1004"/>
    </row>
    <row r="678" spans="15:17" s="383" customFormat="1">
      <c r="O678" s="1004"/>
      <c r="P678" s="1004"/>
      <c r="Q678" s="1004"/>
    </row>
    <row r="679" spans="15:17" s="383" customFormat="1">
      <c r="O679" s="1004"/>
      <c r="P679" s="1004"/>
      <c r="Q679" s="1004"/>
    </row>
    <row r="680" spans="15:17" s="383" customFormat="1">
      <c r="O680" s="1004"/>
      <c r="P680" s="1004"/>
      <c r="Q680" s="1004"/>
    </row>
    <row r="681" spans="15:17" s="383" customFormat="1">
      <c r="O681" s="1004"/>
      <c r="P681" s="1004"/>
      <c r="Q681" s="1004"/>
    </row>
    <row r="682" spans="15:17" s="383" customFormat="1">
      <c r="O682" s="1004"/>
      <c r="P682" s="1004"/>
      <c r="Q682" s="1004"/>
    </row>
    <row r="683" spans="15:17" s="383" customFormat="1">
      <c r="O683" s="1004"/>
      <c r="P683" s="1004"/>
      <c r="Q683" s="1004"/>
    </row>
    <row r="684" spans="15:17" s="383" customFormat="1">
      <c r="O684" s="1004"/>
      <c r="P684" s="1004"/>
      <c r="Q684" s="1004"/>
    </row>
    <row r="685" spans="15:17" s="383" customFormat="1">
      <c r="O685" s="1004"/>
      <c r="P685" s="1004"/>
      <c r="Q685" s="1004"/>
    </row>
    <row r="686" spans="15:17" s="383" customFormat="1">
      <c r="O686" s="1004"/>
      <c r="P686" s="1004"/>
      <c r="Q686" s="1004"/>
    </row>
    <row r="687" spans="15:17" s="383" customFormat="1">
      <c r="O687" s="1004"/>
      <c r="P687" s="1004"/>
      <c r="Q687" s="1004"/>
    </row>
    <row r="688" spans="15:17" s="383" customFormat="1">
      <c r="O688" s="1004"/>
      <c r="P688" s="1004"/>
      <c r="Q688" s="1004"/>
    </row>
    <row r="689" spans="15:17" s="383" customFormat="1">
      <c r="O689" s="1004"/>
      <c r="P689" s="1004"/>
      <c r="Q689" s="1004"/>
    </row>
    <row r="690" spans="15:17" s="383" customFormat="1">
      <c r="O690" s="1004"/>
      <c r="P690" s="1004"/>
      <c r="Q690" s="1004"/>
    </row>
    <row r="691" spans="15:17" s="383" customFormat="1">
      <c r="O691" s="1004"/>
      <c r="P691" s="1004"/>
      <c r="Q691" s="1004"/>
    </row>
    <row r="692" spans="15:17" s="383" customFormat="1">
      <c r="O692" s="1004"/>
      <c r="P692" s="1004"/>
      <c r="Q692" s="1004"/>
    </row>
    <row r="693" spans="15:17" s="383" customFormat="1">
      <c r="O693" s="1004"/>
      <c r="P693" s="1004"/>
      <c r="Q693" s="1004"/>
    </row>
    <row r="694" spans="15:17" s="383" customFormat="1">
      <c r="O694" s="1004"/>
      <c r="P694" s="1004"/>
      <c r="Q694" s="1004"/>
    </row>
    <row r="695" spans="15:17" s="383" customFormat="1">
      <c r="O695" s="1004"/>
      <c r="P695" s="1004"/>
      <c r="Q695" s="1004"/>
    </row>
    <row r="696" spans="15:17" s="383" customFormat="1">
      <c r="O696" s="1004"/>
      <c r="P696" s="1004"/>
      <c r="Q696" s="1004"/>
    </row>
    <row r="697" spans="15:17" s="383" customFormat="1">
      <c r="O697" s="1004"/>
      <c r="P697" s="1004"/>
      <c r="Q697" s="1004"/>
    </row>
    <row r="698" spans="15:17" s="383" customFormat="1">
      <c r="O698" s="1004"/>
      <c r="P698" s="1004"/>
      <c r="Q698" s="1004"/>
    </row>
    <row r="699" spans="15:17" s="383" customFormat="1">
      <c r="O699" s="1004"/>
      <c r="P699" s="1004"/>
      <c r="Q699" s="1004"/>
    </row>
    <row r="700" spans="15:17" s="383" customFormat="1">
      <c r="O700" s="1004"/>
      <c r="P700" s="1004"/>
      <c r="Q700" s="1004"/>
    </row>
    <row r="701" spans="15:17" s="383" customFormat="1">
      <c r="O701" s="1004"/>
      <c r="P701" s="1004"/>
      <c r="Q701" s="1004"/>
    </row>
    <row r="702" spans="15:17" s="383" customFormat="1">
      <c r="O702" s="1004"/>
      <c r="P702" s="1004"/>
      <c r="Q702" s="1004"/>
    </row>
    <row r="703" spans="15:17" s="383" customFormat="1">
      <c r="O703" s="1004"/>
      <c r="P703" s="1004"/>
      <c r="Q703" s="1004"/>
    </row>
    <row r="704" spans="15:17" s="383" customFormat="1">
      <c r="O704" s="1004"/>
      <c r="P704" s="1004"/>
      <c r="Q704" s="1004"/>
    </row>
    <row r="705" spans="15:17" s="383" customFormat="1">
      <c r="O705" s="1004"/>
      <c r="P705" s="1004"/>
      <c r="Q705" s="1004"/>
    </row>
    <row r="706" spans="15:17" s="383" customFormat="1">
      <c r="O706" s="1004"/>
      <c r="P706" s="1004"/>
      <c r="Q706" s="1004"/>
    </row>
    <row r="707" spans="15:17" s="383" customFormat="1">
      <c r="O707" s="1004"/>
      <c r="P707" s="1004"/>
      <c r="Q707" s="1004"/>
    </row>
    <row r="708" spans="15:17" s="383" customFormat="1">
      <c r="O708" s="1004"/>
      <c r="P708" s="1004"/>
      <c r="Q708" s="1004"/>
    </row>
    <row r="709" spans="15:17" s="383" customFormat="1">
      <c r="O709" s="1004"/>
      <c r="P709" s="1004"/>
      <c r="Q709" s="1004"/>
    </row>
    <row r="710" spans="15:17" s="383" customFormat="1">
      <c r="O710" s="1004"/>
      <c r="P710" s="1004"/>
      <c r="Q710" s="1004"/>
    </row>
    <row r="711" spans="15:17" s="383" customFormat="1">
      <c r="O711" s="1004"/>
      <c r="P711" s="1004"/>
      <c r="Q711" s="1004"/>
    </row>
    <row r="712" spans="15:17" s="383" customFormat="1">
      <c r="O712" s="1004"/>
      <c r="P712" s="1004"/>
      <c r="Q712" s="1004"/>
    </row>
    <row r="713" spans="15:17" s="383" customFormat="1">
      <c r="O713" s="1004"/>
      <c r="P713" s="1004"/>
      <c r="Q713" s="1004"/>
    </row>
    <row r="714" spans="15:17" s="383" customFormat="1">
      <c r="O714" s="1004"/>
      <c r="P714" s="1004"/>
      <c r="Q714" s="1004"/>
    </row>
    <row r="715" spans="15:17" s="383" customFormat="1">
      <c r="O715" s="1004"/>
      <c r="P715" s="1004"/>
      <c r="Q715" s="1004"/>
    </row>
    <row r="716" spans="15:17" s="383" customFormat="1">
      <c r="O716" s="1004"/>
      <c r="P716" s="1004"/>
      <c r="Q716" s="1004"/>
    </row>
    <row r="717" spans="15:17" s="383" customFormat="1">
      <c r="O717" s="1004"/>
      <c r="P717" s="1004"/>
      <c r="Q717" s="1004"/>
    </row>
    <row r="718" spans="15:17" s="383" customFormat="1">
      <c r="O718" s="1004"/>
      <c r="P718" s="1004"/>
      <c r="Q718" s="1004"/>
    </row>
    <row r="719" spans="15:17" s="383" customFormat="1">
      <c r="O719" s="1004"/>
      <c r="P719" s="1004"/>
      <c r="Q719" s="1004"/>
    </row>
    <row r="720" spans="15:17" s="383" customFormat="1">
      <c r="O720" s="1004"/>
      <c r="P720" s="1004"/>
      <c r="Q720" s="1004"/>
    </row>
    <row r="721" spans="15:17" s="383" customFormat="1">
      <c r="O721" s="1004"/>
      <c r="P721" s="1004"/>
      <c r="Q721" s="1004"/>
    </row>
    <row r="722" spans="15:17" s="383" customFormat="1">
      <c r="O722" s="1004"/>
      <c r="P722" s="1004"/>
      <c r="Q722" s="1004"/>
    </row>
    <row r="723" spans="15:17" s="383" customFormat="1">
      <c r="O723" s="1004"/>
      <c r="P723" s="1004"/>
      <c r="Q723" s="1004"/>
    </row>
    <row r="724" spans="15:17" s="383" customFormat="1">
      <c r="O724" s="1004"/>
      <c r="P724" s="1004"/>
      <c r="Q724" s="1004"/>
    </row>
    <row r="725" spans="15:17" s="383" customFormat="1">
      <c r="O725" s="1004"/>
      <c r="P725" s="1004"/>
      <c r="Q725" s="1004"/>
    </row>
    <row r="726" spans="15:17" s="383" customFormat="1">
      <c r="O726" s="1004"/>
      <c r="P726" s="1004"/>
      <c r="Q726" s="1004"/>
    </row>
    <row r="727" spans="15:17" s="383" customFormat="1">
      <c r="O727" s="1004"/>
      <c r="P727" s="1004"/>
      <c r="Q727" s="1004"/>
    </row>
    <row r="728" spans="15:17" s="383" customFormat="1">
      <c r="O728" s="1004"/>
      <c r="P728" s="1004"/>
      <c r="Q728" s="1004"/>
    </row>
    <row r="729" spans="15:17" s="383" customFormat="1">
      <c r="O729" s="1004"/>
      <c r="P729" s="1004"/>
      <c r="Q729" s="1004"/>
    </row>
    <row r="730" spans="15:17" s="383" customFormat="1">
      <c r="O730" s="1004"/>
      <c r="P730" s="1004"/>
      <c r="Q730" s="1004"/>
    </row>
    <row r="731" spans="15:17" s="383" customFormat="1">
      <c r="O731" s="1004"/>
      <c r="P731" s="1004"/>
      <c r="Q731" s="1004"/>
    </row>
    <row r="732" spans="15:17" s="383" customFormat="1">
      <c r="O732" s="1004"/>
      <c r="P732" s="1004"/>
      <c r="Q732" s="1004"/>
    </row>
    <row r="733" spans="15:17" s="383" customFormat="1">
      <c r="O733" s="1004"/>
      <c r="P733" s="1004"/>
      <c r="Q733" s="1004"/>
    </row>
    <row r="734" spans="15:17" s="383" customFormat="1">
      <c r="O734" s="1004"/>
      <c r="P734" s="1004"/>
      <c r="Q734" s="1004"/>
    </row>
    <row r="735" spans="15:17" s="383" customFormat="1">
      <c r="O735" s="1004"/>
      <c r="P735" s="1004"/>
      <c r="Q735" s="1004"/>
    </row>
    <row r="736" spans="15:17" s="383" customFormat="1">
      <c r="O736" s="1004"/>
      <c r="P736" s="1004"/>
      <c r="Q736" s="1004"/>
    </row>
    <row r="737" spans="15:17" s="383" customFormat="1">
      <c r="O737" s="1004"/>
      <c r="P737" s="1004"/>
      <c r="Q737" s="1004"/>
    </row>
    <row r="738" spans="15:17" s="383" customFormat="1">
      <c r="O738" s="1004"/>
      <c r="P738" s="1004"/>
      <c r="Q738" s="1004"/>
    </row>
    <row r="739" spans="15:17" s="383" customFormat="1">
      <c r="O739" s="1004"/>
      <c r="P739" s="1004"/>
      <c r="Q739" s="1004"/>
    </row>
    <row r="740" spans="15:17" s="383" customFormat="1">
      <c r="O740" s="1004"/>
      <c r="P740" s="1004"/>
      <c r="Q740" s="1004"/>
    </row>
    <row r="741" spans="15:17" s="383" customFormat="1">
      <c r="O741" s="1004"/>
      <c r="P741" s="1004"/>
      <c r="Q741" s="1004"/>
    </row>
    <row r="742" spans="15:17" s="383" customFormat="1">
      <c r="O742" s="1004"/>
      <c r="P742" s="1004"/>
      <c r="Q742" s="1004"/>
    </row>
    <row r="743" spans="15:17" s="383" customFormat="1">
      <c r="O743" s="1004"/>
      <c r="P743" s="1004"/>
      <c r="Q743" s="1004"/>
    </row>
    <row r="744" spans="15:17" s="383" customFormat="1">
      <c r="O744" s="1004"/>
      <c r="P744" s="1004"/>
      <c r="Q744" s="1004"/>
    </row>
    <row r="745" spans="15:17" s="383" customFormat="1">
      <c r="O745" s="1004"/>
      <c r="P745" s="1004"/>
      <c r="Q745" s="1004"/>
    </row>
    <row r="746" spans="15:17" s="383" customFormat="1">
      <c r="O746" s="1004"/>
      <c r="P746" s="1004"/>
      <c r="Q746" s="1004"/>
    </row>
    <row r="747" spans="15:17" s="383" customFormat="1">
      <c r="O747" s="1004"/>
      <c r="P747" s="1004"/>
      <c r="Q747" s="1004"/>
    </row>
    <row r="748" spans="15:17" s="383" customFormat="1">
      <c r="O748" s="1004"/>
      <c r="P748" s="1004"/>
      <c r="Q748" s="1004"/>
    </row>
    <row r="749" spans="15:17" s="383" customFormat="1">
      <c r="O749" s="1004"/>
      <c r="P749" s="1004"/>
      <c r="Q749" s="1004"/>
    </row>
    <row r="750" spans="15:17" s="383" customFormat="1">
      <c r="O750" s="1004"/>
      <c r="P750" s="1004"/>
      <c r="Q750" s="1004"/>
    </row>
    <row r="751" spans="15:17" s="383" customFormat="1">
      <c r="O751" s="1004"/>
      <c r="P751" s="1004"/>
      <c r="Q751" s="1004"/>
    </row>
    <row r="752" spans="15:17" s="383" customFormat="1">
      <c r="O752" s="1004"/>
      <c r="P752" s="1004"/>
      <c r="Q752" s="1004"/>
    </row>
    <row r="753" spans="15:17" s="383" customFormat="1">
      <c r="O753" s="1004"/>
      <c r="P753" s="1004"/>
      <c r="Q753" s="1004"/>
    </row>
    <row r="754" spans="15:17" s="383" customFormat="1">
      <c r="O754" s="1004"/>
      <c r="P754" s="1004"/>
      <c r="Q754" s="1004"/>
    </row>
    <row r="755" spans="15:17" s="383" customFormat="1">
      <c r="O755" s="1004"/>
      <c r="P755" s="1004"/>
      <c r="Q755" s="1004"/>
    </row>
    <row r="756" spans="15:17" s="383" customFormat="1">
      <c r="O756" s="1004"/>
      <c r="P756" s="1004"/>
      <c r="Q756" s="1004"/>
    </row>
    <row r="757" spans="15:17" s="383" customFormat="1">
      <c r="O757" s="1004"/>
      <c r="P757" s="1004"/>
      <c r="Q757" s="1004"/>
    </row>
    <row r="758" spans="15:17" s="383" customFormat="1">
      <c r="O758" s="1004"/>
      <c r="P758" s="1004"/>
      <c r="Q758" s="1004"/>
    </row>
    <row r="759" spans="15:17" s="383" customFormat="1">
      <c r="O759" s="1004"/>
      <c r="P759" s="1004"/>
      <c r="Q759" s="1004"/>
    </row>
    <row r="760" spans="15:17" s="383" customFormat="1">
      <c r="O760" s="1004"/>
      <c r="P760" s="1004"/>
      <c r="Q760" s="1004"/>
    </row>
    <row r="761" spans="15:17" s="383" customFormat="1">
      <c r="O761" s="1004"/>
      <c r="P761" s="1004"/>
      <c r="Q761" s="1004"/>
    </row>
    <row r="762" spans="15:17" s="383" customFormat="1">
      <c r="O762" s="1004"/>
      <c r="P762" s="1004"/>
      <c r="Q762" s="1004"/>
    </row>
    <row r="763" spans="15:17" s="383" customFormat="1">
      <c r="O763" s="1004"/>
      <c r="P763" s="1004"/>
      <c r="Q763" s="1004"/>
    </row>
    <row r="764" spans="15:17" s="383" customFormat="1">
      <c r="O764" s="1004"/>
      <c r="P764" s="1004"/>
      <c r="Q764" s="1004"/>
    </row>
    <row r="765" spans="15:17" s="383" customFormat="1">
      <c r="O765" s="1004"/>
      <c r="P765" s="1004"/>
      <c r="Q765" s="1004"/>
    </row>
    <row r="766" spans="15:17" s="383" customFormat="1">
      <c r="O766" s="1004"/>
      <c r="P766" s="1004"/>
      <c r="Q766" s="1004"/>
    </row>
    <row r="767" spans="15:17" s="383" customFormat="1">
      <c r="O767" s="1004"/>
      <c r="P767" s="1004"/>
      <c r="Q767" s="1004"/>
    </row>
    <row r="768" spans="15:17" s="383" customFormat="1">
      <c r="O768" s="1004"/>
      <c r="P768" s="1004"/>
      <c r="Q768" s="1004"/>
    </row>
    <row r="769" spans="15:17" s="383" customFormat="1">
      <c r="O769" s="1004"/>
      <c r="P769" s="1004"/>
      <c r="Q769" s="1004"/>
    </row>
    <row r="770" spans="15:17" s="383" customFormat="1">
      <c r="O770" s="1004"/>
      <c r="P770" s="1004"/>
      <c r="Q770" s="1004"/>
    </row>
    <row r="771" spans="15:17" s="383" customFormat="1">
      <c r="O771" s="1004"/>
      <c r="P771" s="1004"/>
      <c r="Q771" s="1004"/>
    </row>
    <row r="772" spans="15:17" s="383" customFormat="1">
      <c r="O772" s="1004"/>
      <c r="P772" s="1004"/>
      <c r="Q772" s="1004"/>
    </row>
    <row r="773" spans="15:17" s="383" customFormat="1">
      <c r="O773" s="1004"/>
      <c r="P773" s="1004"/>
      <c r="Q773" s="1004"/>
    </row>
    <row r="774" spans="15:17" s="383" customFormat="1">
      <c r="O774" s="1004"/>
      <c r="P774" s="1004"/>
      <c r="Q774" s="1004"/>
    </row>
    <row r="775" spans="15:17" s="383" customFormat="1">
      <c r="O775" s="1004"/>
      <c r="P775" s="1004"/>
      <c r="Q775" s="1004"/>
    </row>
    <row r="776" spans="15:17" s="383" customFormat="1">
      <c r="O776" s="1004"/>
      <c r="P776" s="1004"/>
      <c r="Q776" s="1004"/>
    </row>
    <row r="777" spans="15:17" s="383" customFormat="1">
      <c r="O777" s="1004"/>
      <c r="P777" s="1004"/>
      <c r="Q777" s="1004"/>
    </row>
    <row r="778" spans="15:17" s="383" customFormat="1">
      <c r="O778" s="1004"/>
      <c r="P778" s="1004"/>
      <c r="Q778" s="1004"/>
    </row>
    <row r="779" spans="15:17" s="383" customFormat="1">
      <c r="O779" s="1004"/>
      <c r="P779" s="1004"/>
      <c r="Q779" s="1004"/>
    </row>
    <row r="780" spans="15:17" s="383" customFormat="1">
      <c r="O780" s="1004"/>
      <c r="P780" s="1004"/>
      <c r="Q780" s="1004"/>
    </row>
    <row r="781" spans="15:17" s="383" customFormat="1">
      <c r="O781" s="1004"/>
      <c r="P781" s="1004"/>
      <c r="Q781" s="1004"/>
    </row>
    <row r="782" spans="15:17" s="383" customFormat="1">
      <c r="O782" s="1004"/>
      <c r="P782" s="1004"/>
      <c r="Q782" s="1004"/>
    </row>
    <row r="783" spans="15:17" s="383" customFormat="1">
      <c r="O783" s="1004"/>
      <c r="P783" s="1004"/>
      <c r="Q783" s="1004"/>
    </row>
    <row r="784" spans="15:17" s="383" customFormat="1">
      <c r="O784" s="1004"/>
      <c r="P784" s="1004"/>
      <c r="Q784" s="1004"/>
    </row>
    <row r="785" spans="15:17" s="383" customFormat="1">
      <c r="O785" s="1004"/>
      <c r="P785" s="1004"/>
      <c r="Q785" s="1004"/>
    </row>
    <row r="786" spans="15:17" s="383" customFormat="1">
      <c r="O786" s="1004"/>
      <c r="P786" s="1004"/>
      <c r="Q786" s="1004"/>
    </row>
    <row r="787" spans="15:17" s="383" customFormat="1">
      <c r="O787" s="1004"/>
      <c r="P787" s="1004"/>
      <c r="Q787" s="1004"/>
    </row>
    <row r="788" spans="15:17" s="383" customFormat="1">
      <c r="O788" s="1004"/>
      <c r="P788" s="1004"/>
      <c r="Q788" s="1004"/>
    </row>
    <row r="789" spans="15:17" s="383" customFormat="1">
      <c r="O789" s="1004"/>
      <c r="P789" s="1004"/>
      <c r="Q789" s="1004"/>
    </row>
    <row r="790" spans="15:17" s="383" customFormat="1">
      <c r="O790" s="1004"/>
      <c r="P790" s="1004"/>
      <c r="Q790" s="1004"/>
    </row>
    <row r="791" spans="15:17" s="383" customFormat="1">
      <c r="O791" s="1004"/>
      <c r="P791" s="1004"/>
      <c r="Q791" s="1004"/>
    </row>
    <row r="792" spans="15:17" s="383" customFormat="1">
      <c r="O792" s="1004"/>
      <c r="P792" s="1004"/>
      <c r="Q792" s="1004"/>
    </row>
    <row r="793" spans="15:17" s="383" customFormat="1">
      <c r="O793" s="1004"/>
      <c r="P793" s="1004"/>
      <c r="Q793" s="1004"/>
    </row>
    <row r="794" spans="15:17" s="383" customFormat="1">
      <c r="O794" s="1004"/>
      <c r="P794" s="1004"/>
      <c r="Q794" s="1004"/>
    </row>
    <row r="795" spans="15:17" s="383" customFormat="1">
      <c r="O795" s="1004"/>
      <c r="P795" s="1004"/>
      <c r="Q795" s="1004"/>
    </row>
    <row r="796" spans="15:17" s="383" customFormat="1">
      <c r="O796" s="1004"/>
      <c r="P796" s="1004"/>
      <c r="Q796" s="1004"/>
    </row>
    <row r="797" spans="15:17" s="383" customFormat="1">
      <c r="O797" s="1004"/>
      <c r="P797" s="1004"/>
      <c r="Q797" s="1004"/>
    </row>
    <row r="798" spans="15:17" s="383" customFormat="1">
      <c r="O798" s="1004"/>
      <c r="P798" s="1004"/>
      <c r="Q798" s="1004"/>
    </row>
    <row r="799" spans="15:17" s="383" customFormat="1">
      <c r="O799" s="1004"/>
      <c r="P799" s="1004"/>
      <c r="Q799" s="1004"/>
    </row>
    <row r="800" spans="15:17" s="383" customFormat="1">
      <c r="O800" s="1004"/>
      <c r="P800" s="1004"/>
      <c r="Q800" s="1004"/>
    </row>
    <row r="801" spans="15:17" s="383" customFormat="1">
      <c r="O801" s="1004"/>
      <c r="P801" s="1004"/>
      <c r="Q801" s="1004"/>
    </row>
    <row r="802" spans="15:17" s="383" customFormat="1">
      <c r="O802" s="1004"/>
      <c r="P802" s="1004"/>
      <c r="Q802" s="1004"/>
    </row>
    <row r="803" spans="15:17" s="383" customFormat="1">
      <c r="O803" s="1004"/>
      <c r="P803" s="1004"/>
      <c r="Q803" s="1004"/>
    </row>
    <row r="804" spans="15:17" s="383" customFormat="1">
      <c r="O804" s="1004"/>
      <c r="P804" s="1004"/>
      <c r="Q804" s="1004"/>
    </row>
    <row r="805" spans="15:17" s="383" customFormat="1">
      <c r="O805" s="1004"/>
      <c r="P805" s="1004"/>
      <c r="Q805" s="1004"/>
    </row>
    <row r="806" spans="15:17" s="383" customFormat="1">
      <c r="O806" s="1004"/>
      <c r="P806" s="1004"/>
      <c r="Q806" s="1004"/>
    </row>
    <row r="807" spans="15:17" s="383" customFormat="1">
      <c r="O807" s="1004"/>
      <c r="P807" s="1004"/>
      <c r="Q807" s="1004"/>
    </row>
    <row r="808" spans="15:17" s="383" customFormat="1">
      <c r="O808" s="1004"/>
      <c r="P808" s="1004"/>
      <c r="Q808" s="1004"/>
    </row>
    <row r="809" spans="15:17" s="383" customFormat="1">
      <c r="O809" s="1004"/>
      <c r="P809" s="1004"/>
      <c r="Q809" s="1004"/>
    </row>
    <row r="810" spans="15:17" s="383" customFormat="1">
      <c r="O810" s="1004"/>
      <c r="P810" s="1004"/>
      <c r="Q810" s="1004"/>
    </row>
    <row r="811" spans="15:17" s="383" customFormat="1">
      <c r="O811" s="1004"/>
      <c r="P811" s="1004"/>
      <c r="Q811" s="1004"/>
    </row>
    <row r="812" spans="15:17" s="383" customFormat="1">
      <c r="O812" s="1004"/>
      <c r="P812" s="1004"/>
      <c r="Q812" s="1004"/>
    </row>
    <row r="813" spans="15:17" s="383" customFormat="1">
      <c r="O813" s="1004"/>
      <c r="P813" s="1004"/>
      <c r="Q813" s="1004"/>
    </row>
    <row r="814" spans="15:17" s="383" customFormat="1">
      <c r="O814" s="1004"/>
      <c r="P814" s="1004"/>
      <c r="Q814" s="1004"/>
    </row>
    <row r="815" spans="15:17" s="383" customFormat="1">
      <c r="O815" s="1004"/>
      <c r="P815" s="1004"/>
      <c r="Q815" s="1004"/>
    </row>
    <row r="816" spans="15:17" s="383" customFormat="1">
      <c r="O816" s="1004"/>
      <c r="P816" s="1004"/>
      <c r="Q816" s="1004"/>
    </row>
    <row r="817" spans="15:17" s="383" customFormat="1">
      <c r="O817" s="1004"/>
      <c r="P817" s="1004"/>
      <c r="Q817" s="1004"/>
    </row>
    <row r="818" spans="15:17" s="383" customFormat="1">
      <c r="O818" s="1004"/>
      <c r="P818" s="1004"/>
      <c r="Q818" s="1004"/>
    </row>
    <row r="819" spans="15:17" s="383" customFormat="1">
      <c r="O819" s="1004"/>
      <c r="P819" s="1004"/>
      <c r="Q819" s="1004"/>
    </row>
    <row r="820" spans="15:17" s="383" customFormat="1">
      <c r="O820" s="1004"/>
      <c r="P820" s="1004"/>
      <c r="Q820" s="1004"/>
    </row>
    <row r="821" spans="15:17" s="383" customFormat="1">
      <c r="O821" s="1004"/>
      <c r="P821" s="1004"/>
      <c r="Q821" s="1004"/>
    </row>
    <row r="822" spans="15:17" s="383" customFormat="1">
      <c r="O822" s="1004"/>
      <c r="P822" s="1004"/>
      <c r="Q822" s="1004"/>
    </row>
    <row r="823" spans="15:17" s="383" customFormat="1">
      <c r="O823" s="1004"/>
      <c r="P823" s="1004"/>
      <c r="Q823" s="1004"/>
    </row>
    <row r="824" spans="15:17" s="383" customFormat="1">
      <c r="O824" s="1004"/>
      <c r="P824" s="1004"/>
      <c r="Q824" s="1004"/>
    </row>
    <row r="825" spans="15:17" s="383" customFormat="1">
      <c r="O825" s="1004"/>
      <c r="P825" s="1004"/>
      <c r="Q825" s="1004"/>
    </row>
    <row r="826" spans="15:17" s="383" customFormat="1">
      <c r="O826" s="1004"/>
      <c r="P826" s="1004"/>
      <c r="Q826" s="1004"/>
    </row>
    <row r="827" spans="15:17" s="383" customFormat="1">
      <c r="O827" s="1004"/>
      <c r="P827" s="1004"/>
      <c r="Q827" s="1004"/>
    </row>
    <row r="828" spans="15:17" s="383" customFormat="1">
      <c r="O828" s="1004"/>
      <c r="P828" s="1004"/>
      <c r="Q828" s="1004"/>
    </row>
    <row r="829" spans="15:17" s="383" customFormat="1">
      <c r="O829" s="1004"/>
      <c r="P829" s="1004"/>
      <c r="Q829" s="1004"/>
    </row>
    <row r="830" spans="15:17" s="383" customFormat="1">
      <c r="O830" s="1004"/>
      <c r="P830" s="1004"/>
      <c r="Q830" s="1004"/>
    </row>
    <row r="831" spans="15:17" s="383" customFormat="1">
      <c r="O831" s="1004"/>
      <c r="P831" s="1004"/>
      <c r="Q831" s="1004"/>
    </row>
    <row r="832" spans="15:17" s="383" customFormat="1">
      <c r="O832" s="1004"/>
      <c r="P832" s="1004"/>
      <c r="Q832" s="1004"/>
    </row>
    <row r="833" spans="15:17" s="383" customFormat="1">
      <c r="O833" s="1004"/>
      <c r="P833" s="1004"/>
      <c r="Q833" s="1004"/>
    </row>
    <row r="834" spans="15:17" s="383" customFormat="1">
      <c r="O834" s="1004"/>
      <c r="P834" s="1004"/>
      <c r="Q834" s="1004"/>
    </row>
    <row r="835" spans="15:17" s="383" customFormat="1">
      <c r="O835" s="1004"/>
      <c r="P835" s="1004"/>
      <c r="Q835" s="1004"/>
    </row>
    <row r="836" spans="15:17" s="383" customFormat="1">
      <c r="O836" s="1004"/>
      <c r="P836" s="1004"/>
      <c r="Q836" s="1004"/>
    </row>
    <row r="837" spans="15:17" s="383" customFormat="1">
      <c r="O837" s="1004"/>
      <c r="P837" s="1004"/>
      <c r="Q837" s="1004"/>
    </row>
    <row r="838" spans="15:17" s="383" customFormat="1">
      <c r="O838" s="1004"/>
      <c r="P838" s="1004"/>
      <c r="Q838" s="1004"/>
    </row>
    <row r="839" spans="15:17" s="383" customFormat="1">
      <c r="O839" s="1004"/>
      <c r="P839" s="1004"/>
      <c r="Q839" s="1004"/>
    </row>
    <row r="840" spans="15:17" s="383" customFormat="1">
      <c r="O840" s="1004"/>
      <c r="P840" s="1004"/>
      <c r="Q840" s="1004"/>
    </row>
    <row r="841" spans="15:17" s="383" customFormat="1">
      <c r="O841" s="1004"/>
      <c r="P841" s="1004"/>
      <c r="Q841" s="1004"/>
    </row>
    <row r="842" spans="15:17" s="383" customFormat="1">
      <c r="O842" s="1004"/>
      <c r="P842" s="1004"/>
      <c r="Q842" s="1004"/>
    </row>
    <row r="843" spans="15:17" s="383" customFormat="1">
      <c r="O843" s="1004"/>
      <c r="P843" s="1004"/>
      <c r="Q843" s="1004"/>
    </row>
    <row r="844" spans="15:17" s="383" customFormat="1">
      <c r="O844" s="1004"/>
      <c r="P844" s="1004"/>
      <c r="Q844" s="1004"/>
    </row>
    <row r="845" spans="15:17" s="383" customFormat="1">
      <c r="O845" s="1004"/>
      <c r="P845" s="1004"/>
      <c r="Q845" s="1004"/>
    </row>
    <row r="846" spans="15:17" s="383" customFormat="1">
      <c r="O846" s="1004"/>
      <c r="P846" s="1004"/>
      <c r="Q846" s="1004"/>
    </row>
    <row r="847" spans="15:17" s="383" customFormat="1">
      <c r="O847" s="1004"/>
      <c r="P847" s="1004"/>
      <c r="Q847" s="1004"/>
    </row>
    <row r="848" spans="15:17" s="383" customFormat="1">
      <c r="O848" s="1004"/>
      <c r="P848" s="1004"/>
      <c r="Q848" s="1004"/>
    </row>
    <row r="849" spans="15:17" s="383" customFormat="1">
      <c r="O849" s="1004"/>
      <c r="P849" s="1004"/>
      <c r="Q849" s="1004"/>
    </row>
    <row r="850" spans="15:17" s="383" customFormat="1">
      <c r="O850" s="1004"/>
      <c r="P850" s="1004"/>
      <c r="Q850" s="1004"/>
    </row>
    <row r="851" spans="15:17" s="383" customFormat="1">
      <c r="O851" s="1004"/>
      <c r="P851" s="1004"/>
      <c r="Q851" s="1004"/>
    </row>
    <row r="852" spans="15:17" s="383" customFormat="1">
      <c r="O852" s="1004"/>
      <c r="P852" s="1004"/>
      <c r="Q852" s="1004"/>
    </row>
    <row r="853" spans="15:17" s="383" customFormat="1">
      <c r="O853" s="1004"/>
      <c r="P853" s="1004"/>
      <c r="Q853" s="1004"/>
    </row>
    <row r="854" spans="15:17" s="383" customFormat="1">
      <c r="O854" s="1004"/>
      <c r="P854" s="1004"/>
      <c r="Q854" s="1004"/>
    </row>
    <row r="855" spans="15:17" s="383" customFormat="1">
      <c r="O855" s="1004"/>
      <c r="P855" s="1004"/>
      <c r="Q855" s="1004"/>
    </row>
    <row r="856" spans="15:17" s="383" customFormat="1">
      <c r="O856" s="1004"/>
      <c r="P856" s="1004"/>
      <c r="Q856" s="1004"/>
    </row>
    <row r="857" spans="15:17" s="383" customFormat="1">
      <c r="O857" s="1004"/>
      <c r="P857" s="1004"/>
      <c r="Q857" s="1004"/>
    </row>
    <row r="858" spans="15:17" s="383" customFormat="1">
      <c r="O858" s="1004"/>
      <c r="P858" s="1004"/>
      <c r="Q858" s="1004"/>
    </row>
    <row r="859" spans="15:17" s="383" customFormat="1">
      <c r="O859" s="1004"/>
      <c r="P859" s="1004"/>
      <c r="Q859" s="1004"/>
    </row>
    <row r="860" spans="15:17" s="383" customFormat="1">
      <c r="O860" s="1004"/>
      <c r="P860" s="1004"/>
      <c r="Q860" s="1004"/>
    </row>
    <row r="861" spans="15:17" s="383" customFormat="1">
      <c r="O861" s="1004"/>
      <c r="P861" s="1004"/>
      <c r="Q861" s="1004"/>
    </row>
    <row r="862" spans="15:17" s="383" customFormat="1">
      <c r="O862" s="1004"/>
      <c r="P862" s="1004"/>
      <c r="Q862" s="1004"/>
    </row>
    <row r="863" spans="15:17" s="383" customFormat="1">
      <c r="O863" s="1004"/>
      <c r="P863" s="1004"/>
      <c r="Q863" s="1004"/>
    </row>
    <row r="864" spans="15:17" s="383" customFormat="1">
      <c r="O864" s="1004"/>
      <c r="P864" s="1004"/>
      <c r="Q864" s="1004"/>
    </row>
    <row r="865" spans="15:17" s="383" customFormat="1">
      <c r="O865" s="1004"/>
      <c r="P865" s="1004"/>
      <c r="Q865" s="1004"/>
    </row>
    <row r="866" spans="15:17" s="383" customFormat="1">
      <c r="O866" s="1004"/>
      <c r="P866" s="1004"/>
      <c r="Q866" s="1004"/>
    </row>
    <row r="867" spans="15:17" s="383" customFormat="1">
      <c r="O867" s="1004"/>
      <c r="P867" s="1004"/>
      <c r="Q867" s="1004"/>
    </row>
    <row r="868" spans="15:17" s="383" customFormat="1">
      <c r="O868" s="1004"/>
      <c r="P868" s="1004"/>
      <c r="Q868" s="1004"/>
    </row>
    <row r="869" spans="15:17" s="383" customFormat="1">
      <c r="O869" s="1004"/>
      <c r="P869" s="1004"/>
      <c r="Q869" s="1004"/>
    </row>
    <row r="870" spans="15:17" s="383" customFormat="1">
      <c r="O870" s="1004"/>
      <c r="P870" s="1004"/>
      <c r="Q870" s="1004"/>
    </row>
    <row r="871" spans="15:17" s="383" customFormat="1">
      <c r="O871" s="1004"/>
      <c r="P871" s="1004"/>
      <c r="Q871" s="1004"/>
    </row>
    <row r="872" spans="15:17" s="383" customFormat="1">
      <c r="O872" s="1004"/>
      <c r="P872" s="1004"/>
      <c r="Q872" s="1004"/>
    </row>
    <row r="873" spans="15:17" s="383" customFormat="1">
      <c r="O873" s="1004"/>
      <c r="P873" s="1004"/>
      <c r="Q873" s="1004"/>
    </row>
    <row r="874" spans="15:17" s="383" customFormat="1">
      <c r="O874" s="1004"/>
      <c r="P874" s="1004"/>
      <c r="Q874" s="1004"/>
    </row>
    <row r="875" spans="15:17" s="383" customFormat="1">
      <c r="O875" s="1004"/>
      <c r="P875" s="1004"/>
      <c r="Q875" s="1004"/>
    </row>
    <row r="876" spans="15:17" s="383" customFormat="1">
      <c r="O876" s="1004"/>
      <c r="P876" s="1004"/>
      <c r="Q876" s="1004"/>
    </row>
    <row r="877" spans="15:17" s="383" customFormat="1">
      <c r="O877" s="1004"/>
      <c r="P877" s="1004"/>
      <c r="Q877" s="1004"/>
    </row>
    <row r="878" spans="15:17" s="383" customFormat="1">
      <c r="O878" s="1004"/>
      <c r="P878" s="1004"/>
      <c r="Q878" s="1004"/>
    </row>
    <row r="879" spans="15:17" s="383" customFormat="1">
      <c r="O879" s="1004"/>
      <c r="P879" s="1004"/>
      <c r="Q879" s="1004"/>
    </row>
    <row r="880" spans="15:17" s="383" customFormat="1">
      <c r="O880" s="1004"/>
      <c r="P880" s="1004"/>
      <c r="Q880" s="1004"/>
    </row>
    <row r="881" spans="15:17" s="383" customFormat="1">
      <c r="O881" s="1004"/>
      <c r="P881" s="1004"/>
      <c r="Q881" s="1004"/>
    </row>
    <row r="882" spans="15:17" s="383" customFormat="1">
      <c r="O882" s="1004"/>
      <c r="P882" s="1004"/>
      <c r="Q882" s="1004"/>
    </row>
    <row r="883" spans="15:17" s="383" customFormat="1">
      <c r="O883" s="1004"/>
      <c r="P883" s="1004"/>
      <c r="Q883" s="1004"/>
    </row>
    <row r="884" spans="15:17" s="383" customFormat="1">
      <c r="O884" s="1004"/>
      <c r="P884" s="1004"/>
      <c r="Q884" s="1004"/>
    </row>
    <row r="885" spans="15:17" s="383" customFormat="1">
      <c r="O885" s="1004"/>
      <c r="P885" s="1004"/>
      <c r="Q885" s="1004"/>
    </row>
    <row r="886" spans="15:17" s="383" customFormat="1">
      <c r="O886" s="1004"/>
      <c r="P886" s="1004"/>
      <c r="Q886" s="1004"/>
    </row>
    <row r="887" spans="15:17" s="383" customFormat="1">
      <c r="O887" s="1004"/>
      <c r="P887" s="1004"/>
      <c r="Q887" s="1004"/>
    </row>
    <row r="888" spans="15:17" s="383" customFormat="1">
      <c r="O888" s="1004"/>
      <c r="P888" s="1004"/>
      <c r="Q888" s="1004"/>
    </row>
    <row r="889" spans="15:17" s="383" customFormat="1">
      <c r="O889" s="1004"/>
      <c r="P889" s="1004"/>
      <c r="Q889" s="1004"/>
    </row>
    <row r="890" spans="15:17" s="383" customFormat="1">
      <c r="O890" s="1004"/>
      <c r="P890" s="1004"/>
      <c r="Q890" s="1004"/>
    </row>
    <row r="891" spans="15:17" s="383" customFormat="1">
      <c r="O891" s="1004"/>
      <c r="P891" s="1004"/>
      <c r="Q891" s="1004"/>
    </row>
    <row r="892" spans="15:17" s="383" customFormat="1">
      <c r="O892" s="1004"/>
      <c r="P892" s="1004"/>
      <c r="Q892" s="1004"/>
    </row>
    <row r="893" spans="15:17" s="383" customFormat="1">
      <c r="O893" s="1004"/>
      <c r="P893" s="1004"/>
      <c r="Q893" s="1004"/>
    </row>
    <row r="894" spans="15:17" s="383" customFormat="1">
      <c r="O894" s="1004"/>
      <c r="P894" s="1004"/>
      <c r="Q894" s="1004"/>
    </row>
    <row r="895" spans="15:17" s="383" customFormat="1">
      <c r="O895" s="1004"/>
      <c r="P895" s="1004"/>
      <c r="Q895" s="1004"/>
    </row>
    <row r="896" spans="15:17" s="383" customFormat="1">
      <c r="O896" s="1004"/>
      <c r="P896" s="1004"/>
      <c r="Q896" s="1004"/>
    </row>
    <row r="897" spans="15:17" s="383" customFormat="1">
      <c r="O897" s="1004"/>
      <c r="P897" s="1004"/>
      <c r="Q897" s="1004"/>
    </row>
    <row r="898" spans="15:17" s="383" customFormat="1">
      <c r="O898" s="1004"/>
      <c r="P898" s="1004"/>
      <c r="Q898" s="1004"/>
    </row>
    <row r="899" spans="15:17" s="383" customFormat="1">
      <c r="O899" s="1004"/>
      <c r="P899" s="1004"/>
      <c r="Q899" s="1004"/>
    </row>
    <row r="900" spans="15:17" s="383" customFormat="1">
      <c r="O900" s="1004"/>
      <c r="P900" s="1004"/>
      <c r="Q900" s="1004"/>
    </row>
    <row r="901" spans="15:17" s="383" customFormat="1">
      <c r="O901" s="1004"/>
      <c r="P901" s="1004"/>
      <c r="Q901" s="1004"/>
    </row>
    <row r="902" spans="15:17" s="383" customFormat="1">
      <c r="O902" s="1004"/>
      <c r="P902" s="1004"/>
      <c r="Q902" s="1004"/>
    </row>
    <row r="903" spans="15:17" s="383" customFormat="1">
      <c r="O903" s="1004"/>
      <c r="P903" s="1004"/>
      <c r="Q903" s="1004"/>
    </row>
    <row r="904" spans="15:17" s="383" customFormat="1">
      <c r="O904" s="1004"/>
      <c r="P904" s="1004"/>
      <c r="Q904" s="1004"/>
    </row>
    <row r="905" spans="15:17" s="383" customFormat="1">
      <c r="O905" s="1004"/>
      <c r="P905" s="1004"/>
      <c r="Q905" s="1004"/>
    </row>
    <row r="906" spans="15:17" s="383" customFormat="1">
      <c r="O906" s="1004"/>
      <c r="P906" s="1004"/>
      <c r="Q906" s="1004"/>
    </row>
    <row r="907" spans="15:17" s="383" customFormat="1">
      <c r="O907" s="1004"/>
      <c r="P907" s="1004"/>
      <c r="Q907" s="1004"/>
    </row>
    <row r="908" spans="15:17" s="383" customFormat="1">
      <c r="O908" s="1004"/>
      <c r="P908" s="1004"/>
      <c r="Q908" s="1004"/>
    </row>
    <row r="909" spans="15:17" s="383" customFormat="1">
      <c r="O909" s="1004"/>
      <c r="P909" s="1004"/>
      <c r="Q909" s="1004"/>
    </row>
    <row r="910" spans="15:17" s="383" customFormat="1">
      <c r="O910" s="1004"/>
      <c r="P910" s="1004"/>
      <c r="Q910" s="1004"/>
    </row>
    <row r="911" spans="15:17" s="383" customFormat="1">
      <c r="O911" s="1004"/>
      <c r="P911" s="1004"/>
      <c r="Q911" s="1004"/>
    </row>
    <row r="912" spans="15:17" s="383" customFormat="1">
      <c r="O912" s="1004"/>
      <c r="P912" s="1004"/>
      <c r="Q912" s="1004"/>
    </row>
    <row r="913" spans="15:17" s="383" customFormat="1">
      <c r="O913" s="1004"/>
      <c r="P913" s="1004"/>
      <c r="Q913" s="1004"/>
    </row>
    <row r="914" spans="15:17" s="383" customFormat="1">
      <c r="O914" s="1004"/>
      <c r="P914" s="1004"/>
      <c r="Q914" s="1004"/>
    </row>
    <row r="915" spans="15:17" s="383" customFormat="1">
      <c r="O915" s="1004"/>
      <c r="P915" s="1004"/>
      <c r="Q915" s="1004"/>
    </row>
    <row r="916" spans="15:17" s="383" customFormat="1">
      <c r="O916" s="1004"/>
      <c r="P916" s="1004"/>
      <c r="Q916" s="1004"/>
    </row>
    <row r="917" spans="15:17" s="383" customFormat="1">
      <c r="O917" s="1004"/>
      <c r="P917" s="1004"/>
      <c r="Q917" s="1004"/>
    </row>
    <row r="918" spans="15:17" s="383" customFormat="1">
      <c r="O918" s="1004"/>
      <c r="P918" s="1004"/>
      <c r="Q918" s="1004"/>
    </row>
    <row r="919" spans="15:17" s="383" customFormat="1">
      <c r="O919" s="1004"/>
      <c r="P919" s="1004"/>
      <c r="Q919" s="1004"/>
    </row>
    <row r="920" spans="15:17" s="383" customFormat="1">
      <c r="O920" s="1004"/>
      <c r="P920" s="1004"/>
      <c r="Q920" s="1004"/>
    </row>
    <row r="921" spans="15:17" s="383" customFormat="1">
      <c r="O921" s="1004"/>
      <c r="P921" s="1004"/>
      <c r="Q921" s="1004"/>
    </row>
    <row r="922" spans="15:17" s="383" customFormat="1">
      <c r="O922" s="1004"/>
      <c r="P922" s="1004"/>
      <c r="Q922" s="1004"/>
    </row>
    <row r="923" spans="15:17" s="383" customFormat="1">
      <c r="O923" s="1004"/>
      <c r="P923" s="1004"/>
      <c r="Q923" s="1004"/>
    </row>
    <row r="924" spans="15:17" s="383" customFormat="1">
      <c r="O924" s="1004"/>
      <c r="P924" s="1004"/>
      <c r="Q924" s="1004"/>
    </row>
    <row r="925" spans="15:17" s="383" customFormat="1">
      <c r="O925" s="1004"/>
      <c r="P925" s="1004"/>
      <c r="Q925" s="1004"/>
    </row>
    <row r="926" spans="15:17" s="383" customFormat="1">
      <c r="O926" s="1004"/>
      <c r="P926" s="1004"/>
      <c r="Q926" s="1004"/>
    </row>
    <row r="927" spans="15:17" s="383" customFormat="1">
      <c r="O927" s="1004"/>
      <c r="P927" s="1004"/>
      <c r="Q927" s="1004"/>
    </row>
    <row r="928" spans="15:17" s="383" customFormat="1">
      <c r="O928" s="1004"/>
      <c r="P928" s="1004"/>
      <c r="Q928" s="1004"/>
    </row>
    <row r="929" spans="15:17" s="383" customFormat="1">
      <c r="O929" s="1004"/>
      <c r="P929" s="1004"/>
      <c r="Q929" s="1004"/>
    </row>
    <row r="930" spans="15:17" s="383" customFormat="1">
      <c r="O930" s="1004"/>
      <c r="P930" s="1004"/>
      <c r="Q930" s="1004"/>
    </row>
    <row r="931" spans="15:17" s="383" customFormat="1">
      <c r="O931" s="1004"/>
      <c r="P931" s="1004"/>
      <c r="Q931" s="1004"/>
    </row>
    <row r="932" spans="15:17" s="383" customFormat="1">
      <c r="O932" s="1004"/>
      <c r="P932" s="1004"/>
      <c r="Q932" s="1004"/>
    </row>
    <row r="933" spans="15:17" s="383" customFormat="1">
      <c r="O933" s="1004"/>
      <c r="P933" s="1004"/>
      <c r="Q933" s="1004"/>
    </row>
    <row r="934" spans="15:17" s="383" customFormat="1">
      <c r="O934" s="1004"/>
      <c r="P934" s="1004"/>
      <c r="Q934" s="1004"/>
    </row>
    <row r="935" spans="15:17" s="383" customFormat="1">
      <c r="O935" s="1004"/>
      <c r="P935" s="1004"/>
      <c r="Q935" s="1004"/>
    </row>
    <row r="936" spans="15:17" s="383" customFormat="1">
      <c r="O936" s="1004"/>
      <c r="P936" s="1004"/>
      <c r="Q936" s="1004"/>
    </row>
    <row r="937" spans="15:17" s="383" customFormat="1">
      <c r="O937" s="1004"/>
      <c r="P937" s="1004"/>
      <c r="Q937" s="1004"/>
    </row>
    <row r="938" spans="15:17" s="383" customFormat="1">
      <c r="O938" s="1004"/>
      <c r="P938" s="1004"/>
      <c r="Q938" s="1004"/>
    </row>
    <row r="939" spans="15:17" s="383" customFormat="1">
      <c r="O939" s="1004"/>
      <c r="P939" s="1004"/>
      <c r="Q939" s="1004"/>
    </row>
    <row r="940" spans="15:17" s="383" customFormat="1">
      <c r="O940" s="1004"/>
      <c r="P940" s="1004"/>
      <c r="Q940" s="1004"/>
    </row>
    <row r="941" spans="15:17" s="383" customFormat="1">
      <c r="O941" s="1004"/>
      <c r="P941" s="1004"/>
      <c r="Q941" s="1004"/>
    </row>
    <row r="942" spans="15:17" s="383" customFormat="1">
      <c r="O942" s="1004"/>
      <c r="P942" s="1004"/>
      <c r="Q942" s="1004"/>
    </row>
    <row r="943" spans="15:17" s="383" customFormat="1">
      <c r="O943" s="1004"/>
      <c r="P943" s="1004"/>
      <c r="Q943" s="1004"/>
    </row>
    <row r="944" spans="15:17" s="383" customFormat="1">
      <c r="O944" s="1004"/>
      <c r="P944" s="1004"/>
      <c r="Q944" s="1004"/>
    </row>
    <row r="945" spans="15:17" s="383" customFormat="1">
      <c r="O945" s="1004"/>
      <c r="P945" s="1004"/>
      <c r="Q945" s="1004"/>
    </row>
    <row r="946" spans="15:17" s="383" customFormat="1">
      <c r="O946" s="1004"/>
      <c r="P946" s="1004"/>
      <c r="Q946" s="1004"/>
    </row>
    <row r="947" spans="15:17" s="383" customFormat="1">
      <c r="O947" s="1004"/>
      <c r="P947" s="1004"/>
      <c r="Q947" s="1004"/>
    </row>
    <row r="948" spans="15:17" s="383" customFormat="1">
      <c r="O948" s="1004"/>
      <c r="P948" s="1004"/>
      <c r="Q948" s="1004"/>
    </row>
    <row r="949" spans="15:17" s="383" customFormat="1">
      <c r="O949" s="1004"/>
      <c r="P949" s="1004"/>
      <c r="Q949" s="1004"/>
    </row>
    <row r="950" spans="15:17" s="383" customFormat="1">
      <c r="O950" s="1004"/>
      <c r="P950" s="1004"/>
      <c r="Q950" s="1004"/>
    </row>
    <row r="951" spans="15:17" s="383" customFormat="1">
      <c r="O951" s="1004"/>
      <c r="P951" s="1004"/>
      <c r="Q951" s="1004"/>
    </row>
    <row r="952" spans="15:17" s="383" customFormat="1">
      <c r="O952" s="1004"/>
      <c r="P952" s="1004"/>
      <c r="Q952" s="1004"/>
    </row>
    <row r="953" spans="15:17" s="383" customFormat="1">
      <c r="O953" s="1004"/>
      <c r="P953" s="1004"/>
      <c r="Q953" s="1004"/>
    </row>
    <row r="954" spans="15:17" s="383" customFormat="1">
      <c r="O954" s="1004"/>
      <c r="P954" s="1004"/>
      <c r="Q954" s="1004"/>
    </row>
    <row r="955" spans="15:17" s="383" customFormat="1">
      <c r="O955" s="1004"/>
      <c r="P955" s="1004"/>
      <c r="Q955" s="1004"/>
    </row>
    <row r="956" spans="15:17" s="383" customFormat="1">
      <c r="O956" s="1004"/>
      <c r="P956" s="1004"/>
      <c r="Q956" s="1004"/>
    </row>
    <row r="957" spans="15:17" s="383" customFormat="1">
      <c r="O957" s="1004"/>
      <c r="P957" s="1004"/>
      <c r="Q957" s="1004"/>
    </row>
    <row r="958" spans="15:17" s="383" customFormat="1">
      <c r="O958" s="1004"/>
      <c r="P958" s="1004"/>
      <c r="Q958" s="1004"/>
    </row>
    <row r="959" spans="15:17" s="383" customFormat="1">
      <c r="O959" s="1004"/>
      <c r="P959" s="1004"/>
      <c r="Q959" s="1004"/>
    </row>
    <row r="960" spans="15:17" s="383" customFormat="1">
      <c r="O960" s="1004"/>
      <c r="P960" s="1004"/>
      <c r="Q960" s="1004"/>
    </row>
    <row r="961" spans="15:17" s="383" customFormat="1">
      <c r="O961" s="1004"/>
      <c r="P961" s="1004"/>
      <c r="Q961" s="1004"/>
    </row>
    <row r="962" spans="15:17" s="383" customFormat="1">
      <c r="O962" s="1004"/>
      <c r="P962" s="1004"/>
      <c r="Q962" s="1004"/>
    </row>
    <row r="963" spans="15:17" s="383" customFormat="1">
      <c r="O963" s="1004"/>
      <c r="P963" s="1004"/>
      <c r="Q963" s="1004"/>
    </row>
    <row r="964" spans="15:17" s="383" customFormat="1">
      <c r="O964" s="1004"/>
      <c r="P964" s="1004"/>
      <c r="Q964" s="1004"/>
    </row>
    <row r="965" spans="15:17" s="383" customFormat="1">
      <c r="O965" s="1004"/>
      <c r="P965" s="1004"/>
      <c r="Q965" s="1004"/>
    </row>
    <row r="966" spans="15:17" s="383" customFormat="1">
      <c r="O966" s="1004"/>
      <c r="P966" s="1004"/>
      <c r="Q966" s="1004"/>
    </row>
    <row r="967" spans="15:17" s="383" customFormat="1">
      <c r="O967" s="1004"/>
      <c r="P967" s="1004"/>
      <c r="Q967" s="1004"/>
    </row>
    <row r="968" spans="15:17" s="383" customFormat="1">
      <c r="O968" s="1004"/>
      <c r="P968" s="1004"/>
      <c r="Q968" s="1004"/>
    </row>
    <row r="969" spans="15:17" s="383" customFormat="1">
      <c r="O969" s="1004"/>
      <c r="P969" s="1004"/>
      <c r="Q969" s="1004"/>
    </row>
    <row r="970" spans="15:17" s="383" customFormat="1">
      <c r="O970" s="1004"/>
      <c r="P970" s="1004"/>
      <c r="Q970" s="1004"/>
    </row>
    <row r="971" spans="15:17" s="383" customFormat="1">
      <c r="O971" s="1004"/>
      <c r="P971" s="1004"/>
      <c r="Q971" s="1004"/>
    </row>
    <row r="972" spans="15:17" s="383" customFormat="1">
      <c r="O972" s="1004"/>
      <c r="P972" s="1004"/>
      <c r="Q972" s="1004"/>
    </row>
    <row r="973" spans="15:17" s="383" customFormat="1">
      <c r="O973" s="1004"/>
      <c r="P973" s="1004"/>
      <c r="Q973" s="1004"/>
    </row>
    <row r="974" spans="15:17" s="383" customFormat="1">
      <c r="O974" s="1004"/>
      <c r="P974" s="1004"/>
      <c r="Q974" s="1004"/>
    </row>
    <row r="975" spans="15:17" s="383" customFormat="1">
      <c r="O975" s="1004"/>
      <c r="P975" s="1004"/>
      <c r="Q975" s="1004"/>
    </row>
    <row r="976" spans="15:17" s="383" customFormat="1">
      <c r="O976" s="1004"/>
      <c r="P976" s="1004"/>
      <c r="Q976" s="1004"/>
    </row>
    <row r="977" spans="15:17" s="383" customFormat="1">
      <c r="O977" s="1004"/>
      <c r="P977" s="1004"/>
      <c r="Q977" s="1004"/>
    </row>
    <row r="978" spans="15:17" s="383" customFormat="1">
      <c r="O978" s="1004"/>
      <c r="P978" s="1004"/>
      <c r="Q978" s="1004"/>
    </row>
    <row r="979" spans="15:17" s="383" customFormat="1">
      <c r="O979" s="1004"/>
      <c r="P979" s="1004"/>
      <c r="Q979" s="1004"/>
    </row>
    <row r="980" spans="15:17" s="383" customFormat="1">
      <c r="O980" s="1004"/>
      <c r="P980" s="1004"/>
      <c r="Q980" s="1004"/>
    </row>
    <row r="981" spans="15:17" s="383" customFormat="1">
      <c r="O981" s="1004"/>
      <c r="P981" s="1004"/>
      <c r="Q981" s="1004"/>
    </row>
    <row r="982" spans="15:17" s="383" customFormat="1">
      <c r="O982" s="1004"/>
      <c r="P982" s="1004"/>
      <c r="Q982" s="1004"/>
    </row>
    <row r="983" spans="15:17" s="383" customFormat="1">
      <c r="O983" s="1004"/>
      <c r="P983" s="1004"/>
      <c r="Q983" s="1004"/>
    </row>
    <row r="984" spans="15:17" s="383" customFormat="1">
      <c r="O984" s="1004"/>
      <c r="P984" s="1004"/>
      <c r="Q984" s="1004"/>
    </row>
    <row r="985" spans="15:17" s="383" customFormat="1">
      <c r="O985" s="1004"/>
      <c r="P985" s="1004"/>
      <c r="Q985" s="1004"/>
    </row>
    <row r="986" spans="15:17" s="383" customFormat="1">
      <c r="O986" s="1004"/>
      <c r="P986" s="1004"/>
      <c r="Q986" s="1004"/>
    </row>
    <row r="987" spans="15:17" s="383" customFormat="1">
      <c r="O987" s="1004"/>
      <c r="P987" s="1004"/>
      <c r="Q987" s="1004"/>
    </row>
    <row r="988" spans="15:17" s="383" customFormat="1">
      <c r="O988" s="1004"/>
      <c r="P988" s="1004"/>
      <c r="Q988" s="1004"/>
    </row>
    <row r="989" spans="15:17" s="383" customFormat="1">
      <c r="O989" s="1004"/>
      <c r="P989" s="1004"/>
      <c r="Q989" s="1004"/>
    </row>
    <row r="990" spans="15:17" s="383" customFormat="1">
      <c r="O990" s="1004"/>
      <c r="P990" s="1004"/>
      <c r="Q990" s="1004"/>
    </row>
    <row r="991" spans="15:17" s="383" customFormat="1">
      <c r="O991" s="1004"/>
      <c r="P991" s="1004"/>
      <c r="Q991" s="1004"/>
    </row>
    <row r="992" spans="15:17" s="383" customFormat="1">
      <c r="O992" s="1004"/>
      <c r="P992" s="1004"/>
      <c r="Q992" s="1004"/>
    </row>
    <row r="993" spans="15:17" s="383" customFormat="1">
      <c r="O993" s="1004"/>
      <c r="P993" s="1004"/>
      <c r="Q993" s="1004"/>
    </row>
    <row r="994" spans="15:17" s="383" customFormat="1">
      <c r="O994" s="1004"/>
      <c r="P994" s="1004"/>
      <c r="Q994" s="1004"/>
    </row>
    <row r="995" spans="15:17" s="383" customFormat="1">
      <c r="O995" s="1004"/>
      <c r="P995" s="1004"/>
      <c r="Q995" s="1004"/>
    </row>
    <row r="996" spans="15:17" s="383" customFormat="1">
      <c r="O996" s="1004"/>
      <c r="P996" s="1004"/>
      <c r="Q996" s="1004"/>
    </row>
    <row r="997" spans="15:17" s="383" customFormat="1">
      <c r="O997" s="1004"/>
      <c r="P997" s="1004"/>
      <c r="Q997" s="1004"/>
    </row>
    <row r="998" spans="15:17" s="383" customFormat="1">
      <c r="O998" s="1004"/>
      <c r="P998" s="1004"/>
      <c r="Q998" s="1004"/>
    </row>
    <row r="999" spans="15:17" s="383" customFormat="1">
      <c r="O999" s="1004"/>
      <c r="P999" s="1004"/>
      <c r="Q999" s="1004"/>
    </row>
    <row r="1000" spans="15:17" s="383" customFormat="1">
      <c r="O1000" s="1004"/>
      <c r="P1000" s="1004"/>
      <c r="Q1000" s="1004"/>
    </row>
    <row r="1001" spans="15:17" s="383" customFormat="1">
      <c r="O1001" s="1004"/>
      <c r="P1001" s="1004"/>
      <c r="Q1001" s="1004"/>
    </row>
    <row r="1002" spans="15:17" s="383" customFormat="1">
      <c r="O1002" s="1004"/>
      <c r="P1002" s="1004"/>
      <c r="Q1002" s="1004"/>
    </row>
    <row r="1003" spans="15:17" s="383" customFormat="1">
      <c r="O1003" s="1004"/>
      <c r="P1003" s="1004"/>
      <c r="Q1003" s="1004"/>
    </row>
    <row r="1004" spans="15:17" s="383" customFormat="1">
      <c r="O1004" s="1004"/>
      <c r="P1004" s="1004"/>
      <c r="Q1004" s="1004"/>
    </row>
    <row r="1005" spans="15:17" s="383" customFormat="1">
      <c r="O1005" s="1004"/>
      <c r="P1005" s="1004"/>
      <c r="Q1005" s="1004"/>
    </row>
    <row r="1006" spans="15:17" s="383" customFormat="1">
      <c r="O1006" s="1004"/>
      <c r="P1006" s="1004"/>
      <c r="Q1006" s="1004"/>
    </row>
    <row r="1007" spans="15:17" s="383" customFormat="1">
      <c r="O1007" s="1004"/>
      <c r="P1007" s="1004"/>
      <c r="Q1007" s="1004"/>
    </row>
    <row r="1008" spans="15:17" s="383" customFormat="1">
      <c r="O1008" s="1004"/>
      <c r="P1008" s="1004"/>
      <c r="Q1008" s="1004"/>
    </row>
    <row r="1009" spans="15:17" s="383" customFormat="1">
      <c r="O1009" s="1004"/>
      <c r="P1009" s="1004"/>
      <c r="Q1009" s="1004"/>
    </row>
    <row r="1010" spans="15:17" s="383" customFormat="1">
      <c r="O1010" s="1004"/>
      <c r="P1010" s="1004"/>
      <c r="Q1010" s="1004"/>
    </row>
    <row r="1011" spans="15:17" s="383" customFormat="1">
      <c r="O1011" s="1004"/>
      <c r="P1011" s="1004"/>
      <c r="Q1011" s="1004"/>
    </row>
    <row r="1012" spans="15:17" s="383" customFormat="1">
      <c r="O1012" s="1004"/>
      <c r="P1012" s="1004"/>
      <c r="Q1012" s="1004"/>
    </row>
    <row r="1013" spans="15:17" s="383" customFormat="1">
      <c r="O1013" s="1004"/>
      <c r="P1013" s="1004"/>
      <c r="Q1013" s="1004"/>
    </row>
    <row r="1014" spans="15:17" s="383" customFormat="1">
      <c r="O1014" s="1004"/>
      <c r="P1014" s="1004"/>
      <c r="Q1014" s="1004"/>
    </row>
    <row r="1015" spans="15:17" s="383" customFormat="1">
      <c r="O1015" s="1004"/>
      <c r="P1015" s="1004"/>
      <c r="Q1015" s="1004"/>
    </row>
    <row r="1016" spans="15:17" s="383" customFormat="1">
      <c r="O1016" s="1004"/>
      <c r="P1016" s="1004"/>
      <c r="Q1016" s="1004"/>
    </row>
    <row r="1017" spans="15:17" s="383" customFormat="1">
      <c r="O1017" s="1004"/>
      <c r="P1017" s="1004"/>
      <c r="Q1017" s="1004"/>
    </row>
    <row r="1018" spans="15:17" s="383" customFormat="1">
      <c r="O1018" s="1004"/>
      <c r="P1018" s="1004"/>
      <c r="Q1018" s="1004"/>
    </row>
    <row r="1019" spans="15:17" s="383" customFormat="1">
      <c r="O1019" s="1004"/>
      <c r="P1019" s="1004"/>
      <c r="Q1019" s="1004"/>
    </row>
    <row r="1020" spans="15:17" s="383" customFormat="1">
      <c r="O1020" s="1004"/>
      <c r="P1020" s="1004"/>
      <c r="Q1020" s="1004"/>
    </row>
    <row r="1021" spans="15:17" s="383" customFormat="1">
      <c r="O1021" s="1004"/>
      <c r="P1021" s="1004"/>
      <c r="Q1021" s="1004"/>
    </row>
    <row r="1022" spans="15:17" s="383" customFormat="1">
      <c r="O1022" s="1004"/>
      <c r="P1022" s="1004"/>
      <c r="Q1022" s="1004"/>
    </row>
    <row r="1023" spans="15:17" s="383" customFormat="1">
      <c r="O1023" s="1004"/>
      <c r="P1023" s="1004"/>
      <c r="Q1023" s="1004"/>
    </row>
    <row r="1024" spans="15:17" s="383" customFormat="1">
      <c r="O1024" s="1004"/>
      <c r="P1024" s="1004"/>
      <c r="Q1024" s="1004"/>
    </row>
    <row r="1025" spans="15:17" s="383" customFormat="1">
      <c r="O1025" s="1004"/>
      <c r="P1025" s="1004"/>
      <c r="Q1025" s="1004"/>
    </row>
    <row r="1026" spans="15:17" s="383" customFormat="1">
      <c r="O1026" s="1004"/>
      <c r="P1026" s="1004"/>
      <c r="Q1026" s="1004"/>
    </row>
    <row r="1027" spans="15:17" s="383" customFormat="1">
      <c r="O1027" s="1004"/>
      <c r="P1027" s="1004"/>
      <c r="Q1027" s="1004"/>
    </row>
    <row r="1028" spans="15:17" s="383" customFormat="1">
      <c r="O1028" s="1004"/>
      <c r="P1028" s="1004"/>
      <c r="Q1028" s="1004"/>
    </row>
    <row r="1029" spans="15:17" s="383" customFormat="1">
      <c r="O1029" s="1004"/>
      <c r="P1029" s="1004"/>
      <c r="Q1029" s="1004"/>
    </row>
    <row r="1030" spans="15:17" s="383" customFormat="1">
      <c r="O1030" s="1004"/>
      <c r="P1030" s="1004"/>
      <c r="Q1030" s="1004"/>
    </row>
    <row r="1031" spans="15:17" s="383" customFormat="1">
      <c r="O1031" s="1004"/>
      <c r="P1031" s="1004"/>
      <c r="Q1031" s="1004"/>
    </row>
    <row r="1032" spans="15:17" s="383" customFormat="1">
      <c r="O1032" s="1004"/>
      <c r="P1032" s="1004"/>
      <c r="Q1032" s="1004"/>
    </row>
    <row r="1033" spans="15:17" s="383" customFormat="1">
      <c r="O1033" s="1004"/>
      <c r="P1033" s="1004"/>
      <c r="Q1033" s="1004"/>
    </row>
    <row r="1034" spans="15:17" s="383" customFormat="1">
      <c r="O1034" s="1004"/>
      <c r="P1034" s="1004"/>
      <c r="Q1034" s="1004"/>
    </row>
    <row r="1035" spans="15:17" s="383" customFormat="1">
      <c r="O1035" s="1004"/>
      <c r="P1035" s="1004"/>
      <c r="Q1035" s="1004"/>
    </row>
    <row r="1036" spans="15:17" s="383" customFormat="1">
      <c r="O1036" s="1004"/>
      <c r="P1036" s="1004"/>
      <c r="Q1036" s="1004"/>
    </row>
    <row r="1037" spans="15:17" s="383" customFormat="1">
      <c r="O1037" s="1004"/>
      <c r="P1037" s="1004"/>
      <c r="Q1037" s="1004"/>
    </row>
    <row r="1038" spans="15:17" s="383" customFormat="1">
      <c r="O1038" s="1004"/>
      <c r="P1038" s="1004"/>
      <c r="Q1038" s="1004"/>
    </row>
    <row r="1039" spans="15:17" s="383" customFormat="1">
      <c r="O1039" s="1004"/>
      <c r="P1039" s="1004"/>
      <c r="Q1039" s="1004"/>
    </row>
    <row r="1040" spans="15:17" s="383" customFormat="1">
      <c r="O1040" s="1004"/>
      <c r="P1040" s="1004"/>
      <c r="Q1040" s="1004"/>
    </row>
    <row r="1041" spans="15:17" s="383" customFormat="1">
      <c r="O1041" s="1004"/>
      <c r="P1041" s="1004"/>
      <c r="Q1041" s="1004"/>
    </row>
    <row r="1042" spans="15:17" s="383" customFormat="1">
      <c r="O1042" s="1004"/>
      <c r="P1042" s="1004"/>
      <c r="Q1042" s="1004"/>
    </row>
    <row r="1043" spans="15:17" s="383" customFormat="1">
      <c r="O1043" s="1004"/>
      <c r="P1043" s="1004"/>
      <c r="Q1043" s="1004"/>
    </row>
    <row r="1044" spans="15:17" s="383" customFormat="1">
      <c r="O1044" s="1004"/>
      <c r="P1044" s="1004"/>
      <c r="Q1044" s="1004"/>
    </row>
    <row r="1045" spans="15:17" s="383" customFormat="1">
      <c r="O1045" s="1004"/>
      <c r="P1045" s="1004"/>
      <c r="Q1045" s="1004"/>
    </row>
    <row r="1046" spans="15:17" s="383" customFormat="1">
      <c r="O1046" s="1004"/>
      <c r="P1046" s="1004"/>
      <c r="Q1046" s="1004"/>
    </row>
    <row r="1047" spans="15:17" s="383" customFormat="1">
      <c r="O1047" s="1004"/>
      <c r="P1047" s="1004"/>
      <c r="Q1047" s="1004"/>
    </row>
    <row r="1048" spans="15:17" s="383" customFormat="1">
      <c r="O1048" s="1004"/>
      <c r="P1048" s="1004"/>
      <c r="Q1048" s="1004"/>
    </row>
    <row r="1049" spans="15:17" s="383" customFormat="1">
      <c r="O1049" s="1004"/>
      <c r="P1049" s="1004"/>
      <c r="Q1049" s="1004"/>
    </row>
    <row r="1050" spans="15:17" s="383" customFormat="1">
      <c r="O1050" s="1004"/>
      <c r="P1050" s="1004"/>
      <c r="Q1050" s="1004"/>
    </row>
    <row r="1051" spans="15:17" s="383" customFormat="1">
      <c r="O1051" s="1004"/>
      <c r="P1051" s="1004"/>
      <c r="Q1051" s="1004"/>
    </row>
    <row r="1052" spans="15:17" s="383" customFormat="1">
      <c r="O1052" s="1004"/>
      <c r="P1052" s="1004"/>
      <c r="Q1052" s="1004"/>
    </row>
    <row r="1053" spans="15:17" s="383" customFormat="1">
      <c r="O1053" s="1004"/>
      <c r="P1053" s="1004"/>
      <c r="Q1053" s="1004"/>
    </row>
    <row r="1054" spans="15:17" s="383" customFormat="1">
      <c r="O1054" s="1004"/>
      <c r="P1054" s="1004"/>
      <c r="Q1054" s="1004"/>
    </row>
    <row r="1055" spans="15:17" s="383" customFormat="1">
      <c r="O1055" s="1004"/>
      <c r="P1055" s="1004"/>
      <c r="Q1055" s="1004"/>
    </row>
    <row r="1056" spans="15:17" s="383" customFormat="1">
      <c r="O1056" s="1004"/>
      <c r="P1056" s="1004"/>
      <c r="Q1056" s="1004"/>
    </row>
    <row r="1057" spans="15:17" s="383" customFormat="1">
      <c r="O1057" s="1004"/>
      <c r="P1057" s="1004"/>
      <c r="Q1057" s="1004"/>
    </row>
    <row r="1058" spans="15:17" s="383" customFormat="1">
      <c r="O1058" s="1004"/>
      <c r="P1058" s="1004"/>
      <c r="Q1058" s="1004"/>
    </row>
    <row r="1059" spans="15:17" s="383" customFormat="1">
      <c r="O1059" s="1004"/>
      <c r="P1059" s="1004"/>
      <c r="Q1059" s="1004"/>
    </row>
    <row r="1060" spans="15:17" s="383" customFormat="1">
      <c r="O1060" s="1004"/>
      <c r="P1060" s="1004"/>
      <c r="Q1060" s="1004"/>
    </row>
    <row r="1061" spans="15:17" s="383" customFormat="1">
      <c r="O1061" s="1004"/>
      <c r="P1061" s="1004"/>
      <c r="Q1061" s="1004"/>
    </row>
    <row r="1062" spans="15:17" s="383" customFormat="1">
      <c r="O1062" s="1004"/>
      <c r="P1062" s="1004"/>
      <c r="Q1062" s="1004"/>
    </row>
    <row r="1063" spans="15:17" s="383" customFormat="1">
      <c r="O1063" s="1004"/>
      <c r="P1063" s="1004"/>
      <c r="Q1063" s="1004"/>
    </row>
    <row r="1064" spans="15:17" s="383" customFormat="1">
      <c r="O1064" s="1004"/>
      <c r="P1064" s="1004"/>
      <c r="Q1064" s="1004"/>
    </row>
    <row r="1065" spans="15:17" s="383" customFormat="1">
      <c r="O1065" s="1004"/>
      <c r="P1065" s="1004"/>
      <c r="Q1065" s="1004"/>
    </row>
    <row r="1066" spans="15:17" s="383" customFormat="1">
      <c r="O1066" s="1004"/>
      <c r="P1066" s="1004"/>
      <c r="Q1066" s="1004"/>
    </row>
    <row r="1067" spans="15:17" s="383" customFormat="1">
      <c r="O1067" s="1004"/>
      <c r="P1067" s="1004"/>
      <c r="Q1067" s="1004"/>
    </row>
    <row r="1068" spans="15:17" s="383" customFormat="1">
      <c r="O1068" s="1004"/>
      <c r="P1068" s="1004"/>
      <c r="Q1068" s="1004"/>
    </row>
    <row r="1069" spans="15:17" s="383" customFormat="1">
      <c r="O1069" s="1004"/>
      <c r="P1069" s="1004"/>
      <c r="Q1069" s="1004"/>
    </row>
    <row r="1070" spans="15:17" s="383" customFormat="1">
      <c r="O1070" s="1004"/>
      <c r="P1070" s="1004"/>
      <c r="Q1070" s="1004"/>
    </row>
    <row r="1071" spans="15:17" s="383" customFormat="1">
      <c r="O1071" s="1004"/>
      <c r="P1071" s="1004"/>
      <c r="Q1071" s="1004"/>
    </row>
    <row r="1072" spans="15:17" s="383" customFormat="1">
      <c r="O1072" s="1004"/>
      <c r="P1072" s="1004"/>
      <c r="Q1072" s="1004"/>
    </row>
    <row r="1073" spans="15:17" s="383" customFormat="1">
      <c r="O1073" s="1004"/>
      <c r="P1073" s="1004"/>
      <c r="Q1073" s="1004"/>
    </row>
    <row r="1074" spans="15:17" s="383" customFormat="1">
      <c r="O1074" s="1004"/>
      <c r="P1074" s="1004"/>
      <c r="Q1074" s="1004"/>
    </row>
    <row r="1075" spans="15:17" s="383" customFormat="1">
      <c r="O1075" s="1004"/>
      <c r="P1075" s="1004"/>
      <c r="Q1075" s="1004"/>
    </row>
    <row r="1076" spans="15:17" s="383" customFormat="1">
      <c r="O1076" s="1004"/>
      <c r="P1076" s="1004"/>
      <c r="Q1076" s="1004"/>
    </row>
    <row r="1077" spans="15:17" s="383" customFormat="1">
      <c r="O1077" s="1004"/>
      <c r="P1077" s="1004"/>
      <c r="Q1077" s="1004"/>
    </row>
    <row r="1078" spans="15:17" s="383" customFormat="1">
      <c r="O1078" s="1004"/>
      <c r="P1078" s="1004"/>
      <c r="Q1078" s="1004"/>
    </row>
    <row r="1079" spans="15:17" s="383" customFormat="1">
      <c r="O1079" s="1004"/>
      <c r="P1079" s="1004"/>
      <c r="Q1079" s="1004"/>
    </row>
    <row r="1080" spans="15:17" s="383" customFormat="1">
      <c r="O1080" s="1004"/>
      <c r="P1080" s="1004"/>
      <c r="Q1080" s="1004"/>
    </row>
    <row r="1081" spans="15:17" s="383" customFormat="1">
      <c r="O1081" s="1004"/>
      <c r="P1081" s="1004"/>
      <c r="Q1081" s="1004"/>
    </row>
    <row r="1082" spans="15:17" s="383" customFormat="1">
      <c r="O1082" s="1004"/>
      <c r="P1082" s="1004"/>
      <c r="Q1082" s="1004"/>
    </row>
    <row r="1083" spans="15:17" s="383" customFormat="1">
      <c r="O1083" s="1004"/>
      <c r="P1083" s="1004"/>
      <c r="Q1083" s="1004"/>
    </row>
    <row r="1084" spans="15:17" s="383" customFormat="1">
      <c r="O1084" s="1004"/>
      <c r="P1084" s="1004"/>
      <c r="Q1084" s="1004"/>
    </row>
    <row r="1085" spans="15:17" s="383" customFormat="1">
      <c r="O1085" s="1004"/>
      <c r="P1085" s="1004"/>
      <c r="Q1085" s="1004"/>
    </row>
    <row r="1086" spans="15:17" s="383" customFormat="1">
      <c r="O1086" s="1004"/>
      <c r="P1086" s="1004"/>
      <c r="Q1086" s="1004"/>
    </row>
    <row r="1087" spans="15:17" s="383" customFormat="1">
      <c r="O1087" s="1004"/>
      <c r="P1087" s="1004"/>
      <c r="Q1087" s="1004"/>
    </row>
    <row r="1088" spans="15:17" s="383" customFormat="1">
      <c r="O1088" s="1004"/>
      <c r="P1088" s="1004"/>
      <c r="Q1088" s="1004"/>
    </row>
    <row r="1089" spans="15:17" s="383" customFormat="1">
      <c r="O1089" s="1004"/>
      <c r="P1089" s="1004"/>
      <c r="Q1089" s="1004"/>
    </row>
    <row r="1090" spans="15:17" s="383" customFormat="1">
      <c r="O1090" s="1004"/>
      <c r="P1090" s="1004"/>
      <c r="Q1090" s="1004"/>
    </row>
    <row r="1091" spans="15:17" s="383" customFormat="1">
      <c r="O1091" s="1004"/>
      <c r="P1091" s="1004"/>
      <c r="Q1091" s="1004"/>
    </row>
    <row r="1092" spans="15:17" s="383" customFormat="1">
      <c r="O1092" s="1004"/>
      <c r="P1092" s="1004"/>
      <c r="Q1092" s="1004"/>
    </row>
    <row r="1093" spans="15:17" s="383" customFormat="1">
      <c r="O1093" s="1004"/>
      <c r="P1093" s="1004"/>
      <c r="Q1093" s="1004"/>
    </row>
    <row r="1094" spans="15:17" s="383" customFormat="1">
      <c r="O1094" s="1004"/>
      <c r="P1094" s="1004"/>
      <c r="Q1094" s="1004"/>
    </row>
    <row r="1095" spans="15:17" s="383" customFormat="1">
      <c r="O1095" s="1004"/>
      <c r="P1095" s="1004"/>
      <c r="Q1095" s="1004"/>
    </row>
    <row r="1096" spans="15:17" s="383" customFormat="1">
      <c r="O1096" s="1004"/>
      <c r="P1096" s="1004"/>
      <c r="Q1096" s="1004"/>
    </row>
    <row r="1097" spans="15:17" s="383" customFormat="1">
      <c r="O1097" s="1004"/>
      <c r="P1097" s="1004"/>
      <c r="Q1097" s="1004"/>
    </row>
    <row r="1098" spans="15:17" s="383" customFormat="1">
      <c r="O1098" s="1004"/>
      <c r="P1098" s="1004"/>
      <c r="Q1098" s="1004"/>
    </row>
    <row r="1099" spans="15:17" s="383" customFormat="1">
      <c r="O1099" s="1004"/>
      <c r="P1099" s="1004"/>
      <c r="Q1099" s="1004"/>
    </row>
    <row r="1100" spans="15:17" s="383" customFormat="1">
      <c r="O1100" s="1004"/>
      <c r="P1100" s="1004"/>
      <c r="Q1100" s="1004"/>
    </row>
    <row r="1101" spans="15:17" s="383" customFormat="1">
      <c r="O1101" s="1004"/>
      <c r="P1101" s="1004"/>
      <c r="Q1101" s="1004"/>
    </row>
    <row r="1102" spans="15:17" s="383" customFormat="1">
      <c r="O1102" s="1004"/>
      <c r="P1102" s="1004"/>
      <c r="Q1102" s="1004"/>
    </row>
    <row r="1103" spans="15:17" s="383" customFormat="1">
      <c r="O1103" s="1004"/>
      <c r="P1103" s="1004"/>
      <c r="Q1103" s="1004"/>
    </row>
    <row r="1104" spans="15:17" s="383" customFormat="1">
      <c r="O1104" s="1004"/>
      <c r="P1104" s="1004"/>
      <c r="Q1104" s="1004"/>
    </row>
    <row r="1105" spans="15:17" s="383" customFormat="1">
      <c r="O1105" s="1004"/>
      <c r="P1105" s="1004"/>
      <c r="Q1105" s="1004"/>
    </row>
    <row r="1106" spans="15:17" s="383" customFormat="1">
      <c r="O1106" s="1004"/>
      <c r="P1106" s="1004"/>
      <c r="Q1106" s="1004"/>
    </row>
    <row r="1107" spans="15:17" s="383" customFormat="1">
      <c r="O1107" s="1004"/>
      <c r="P1107" s="1004"/>
      <c r="Q1107" s="1004"/>
    </row>
    <row r="1108" spans="15:17" s="383" customFormat="1">
      <c r="O1108" s="1004"/>
      <c r="P1108" s="1004"/>
      <c r="Q1108" s="1004"/>
    </row>
    <row r="1109" spans="15:17" s="383" customFormat="1">
      <c r="O1109" s="1004"/>
      <c r="P1109" s="1004"/>
      <c r="Q1109" s="1004"/>
    </row>
    <row r="1110" spans="15:17" s="383" customFormat="1">
      <c r="O1110" s="1004"/>
      <c r="P1110" s="1004"/>
      <c r="Q1110" s="1004"/>
    </row>
    <row r="1111" spans="15:17" s="383" customFormat="1">
      <c r="O1111" s="1004"/>
      <c r="P1111" s="1004"/>
      <c r="Q1111" s="1004"/>
    </row>
    <row r="1112" spans="15:17" s="383" customFormat="1">
      <c r="O1112" s="1004"/>
      <c r="P1112" s="1004"/>
      <c r="Q1112" s="1004"/>
    </row>
    <row r="1113" spans="15:17" s="383" customFormat="1">
      <c r="O1113" s="1004"/>
      <c r="P1113" s="1004"/>
      <c r="Q1113" s="1004"/>
    </row>
    <row r="1114" spans="15:17" s="383" customFormat="1">
      <c r="O1114" s="1004"/>
      <c r="P1114" s="1004"/>
      <c r="Q1114" s="1004"/>
    </row>
    <row r="1115" spans="15:17" s="383" customFormat="1">
      <c r="O1115" s="1004"/>
      <c r="P1115" s="1004"/>
      <c r="Q1115" s="1004"/>
    </row>
  </sheetData>
  <sheetProtection algorithmName="SHA-512" hashValue="CsENvWQUzjqQPLnto4x+04TBIA2lL9nInqxMmTz0rddUkY3R5AoZKeX3k16bobyT5vxNwtA2RbmatoU3pgCGzg==" saltValue="K31jM4J1TbfO1aPxNJwkcA==" spinCount="100000" sheet="1" objects="1" scenarios="1"/>
  <mergeCells count="242">
    <mergeCell ref="A62:A64"/>
    <mergeCell ref="B62:B64"/>
    <mergeCell ref="C62:C64"/>
    <mergeCell ref="K62:K64"/>
    <mergeCell ref="L62:L64"/>
    <mergeCell ref="M62:M64"/>
    <mergeCell ref="N62:N64"/>
    <mergeCell ref="O62:O64"/>
    <mergeCell ref="P62:P64"/>
    <mergeCell ref="A65:A67"/>
    <mergeCell ref="B65:B67"/>
    <mergeCell ref="C65:C67"/>
    <mergeCell ref="K65:K67"/>
    <mergeCell ref="L65:L67"/>
    <mergeCell ref="M65:M67"/>
    <mergeCell ref="N65:N67"/>
    <mergeCell ref="O65:O67"/>
    <mergeCell ref="P65:P67"/>
    <mergeCell ref="A2:R2"/>
    <mergeCell ref="Q53:Q54"/>
    <mergeCell ref="N47:N49"/>
    <mergeCell ref="O47:O49"/>
    <mergeCell ref="P47:P49"/>
    <mergeCell ref="A50:A52"/>
    <mergeCell ref="P50:P52"/>
    <mergeCell ref="Q50:Q52"/>
    <mergeCell ref="M50:M52"/>
    <mergeCell ref="N50:N52"/>
    <mergeCell ref="O50:O52"/>
    <mergeCell ref="K50:K52"/>
    <mergeCell ref="M47:M49"/>
    <mergeCell ref="A6:E6"/>
    <mergeCell ref="R13:R29"/>
    <mergeCell ref="R30:R32"/>
    <mergeCell ref="K30:K32"/>
    <mergeCell ref="K37:K39"/>
    <mergeCell ref="R37:R39"/>
    <mergeCell ref="K40:K42"/>
    <mergeCell ref="R40:R42"/>
    <mergeCell ref="R43:R45"/>
    <mergeCell ref="Q15:Q16"/>
    <mergeCell ref="N17:N18"/>
    <mergeCell ref="Q23:Q25"/>
    <mergeCell ref="K43:K45"/>
    <mergeCell ref="N33:N34"/>
    <mergeCell ref="O33:O34"/>
    <mergeCell ref="L13:L14"/>
    <mergeCell ref="M13:M14"/>
    <mergeCell ref="N13:N14"/>
    <mergeCell ref="O13:O14"/>
    <mergeCell ref="P13:P14"/>
    <mergeCell ref="Q13:Q14"/>
    <mergeCell ref="N30:N32"/>
    <mergeCell ref="O30:O32"/>
    <mergeCell ref="P30:P32"/>
    <mergeCell ref="O17:O18"/>
    <mergeCell ref="P17:P18"/>
    <mergeCell ref="Q17:Q18"/>
    <mergeCell ref="Q19:Q20"/>
    <mergeCell ref="P19:P20"/>
    <mergeCell ref="N21:N22"/>
    <mergeCell ref="O21:O22"/>
    <mergeCell ref="P21:P22"/>
    <mergeCell ref="Q21:Q22"/>
    <mergeCell ref="M21:M22"/>
    <mergeCell ref="K35:K36"/>
    <mergeCell ref="O10:Q10"/>
    <mergeCell ref="J10:J11"/>
    <mergeCell ref="L10:L11"/>
    <mergeCell ref="M10:M11"/>
    <mergeCell ref="N10:N11"/>
    <mergeCell ref="A13:A14"/>
    <mergeCell ref="B13:B14"/>
    <mergeCell ref="C13:C14"/>
    <mergeCell ref="H10:H11"/>
    <mergeCell ref="I10:I11"/>
    <mergeCell ref="C10:C11"/>
    <mergeCell ref="D10:D11"/>
    <mergeCell ref="E10:E11"/>
    <mergeCell ref="F10:F11"/>
    <mergeCell ref="G10:G11"/>
    <mergeCell ref="C15:C16"/>
    <mergeCell ref="L15:L16"/>
    <mergeCell ref="M15:M16"/>
    <mergeCell ref="N15:N16"/>
    <mergeCell ref="O15:O16"/>
    <mergeCell ref="P15:P16"/>
    <mergeCell ref="K10:K11"/>
    <mergeCell ref="A15:A16"/>
    <mergeCell ref="B15:B16"/>
    <mergeCell ref="A10:A11"/>
    <mergeCell ref="B10:B11"/>
    <mergeCell ref="K13:K29"/>
    <mergeCell ref="A17:A18"/>
    <mergeCell ref="B17:B18"/>
    <mergeCell ref="C17:C18"/>
    <mergeCell ref="L17:L18"/>
    <mergeCell ref="M17:M18"/>
    <mergeCell ref="A19:A20"/>
    <mergeCell ref="B19:B20"/>
    <mergeCell ref="C19:C20"/>
    <mergeCell ref="L19:L20"/>
    <mergeCell ref="M19:M20"/>
    <mergeCell ref="N19:N20"/>
    <mergeCell ref="O19:O20"/>
    <mergeCell ref="M30:M32"/>
    <mergeCell ref="B30:B32"/>
    <mergeCell ref="C30:C32"/>
    <mergeCell ref="L30:L32"/>
    <mergeCell ref="L23:L29"/>
    <mergeCell ref="M23:M29"/>
    <mergeCell ref="B23:B27"/>
    <mergeCell ref="C23:C27"/>
    <mergeCell ref="D25:D27"/>
    <mergeCell ref="E25:E27"/>
    <mergeCell ref="F25:F27"/>
    <mergeCell ref="G25:G27"/>
    <mergeCell ref="H25:H27"/>
    <mergeCell ref="I25:I27"/>
    <mergeCell ref="J25:J27"/>
    <mergeCell ref="A59:A60"/>
    <mergeCell ref="B59:B60"/>
    <mergeCell ref="K53:K54"/>
    <mergeCell ref="K55:K57"/>
    <mergeCell ref="A30:A32"/>
    <mergeCell ref="A21:A22"/>
    <mergeCell ref="B21:B22"/>
    <mergeCell ref="C21:C22"/>
    <mergeCell ref="L21:L22"/>
    <mergeCell ref="A23:A27"/>
    <mergeCell ref="A35:A36"/>
    <mergeCell ref="K33:K34"/>
    <mergeCell ref="B80:D80"/>
    <mergeCell ref="B76:D76"/>
    <mergeCell ref="B77:D77"/>
    <mergeCell ref="B78:D78"/>
    <mergeCell ref="C35:C36"/>
    <mergeCell ref="L35:L36"/>
    <mergeCell ref="M35:M36"/>
    <mergeCell ref="C33:C34"/>
    <mergeCell ref="L33:L34"/>
    <mergeCell ref="M33:M34"/>
    <mergeCell ref="B73:D73"/>
    <mergeCell ref="B74:D74"/>
    <mergeCell ref="B75:D75"/>
    <mergeCell ref="B70:D70"/>
    <mergeCell ref="B72:D72"/>
    <mergeCell ref="B55:B57"/>
    <mergeCell ref="C55:C57"/>
    <mergeCell ref="M59:M60"/>
    <mergeCell ref="B53:B54"/>
    <mergeCell ref="C53:C54"/>
    <mergeCell ref="L53:L54"/>
    <mergeCell ref="P53:P54"/>
    <mergeCell ref="L59:L60"/>
    <mergeCell ref="B71:D71"/>
    <mergeCell ref="P33:P34"/>
    <mergeCell ref="C59:C60"/>
    <mergeCell ref="R50:R52"/>
    <mergeCell ref="R55:R57"/>
    <mergeCell ref="R53:R54"/>
    <mergeCell ref="M53:M54"/>
    <mergeCell ref="B33:B34"/>
    <mergeCell ref="Q33:Q34"/>
    <mergeCell ref="Q47:Q49"/>
    <mergeCell ref="R47:R49"/>
    <mergeCell ref="R59:R60"/>
    <mergeCell ref="P55:P57"/>
    <mergeCell ref="Q55:Q57"/>
    <mergeCell ref="N59:N60"/>
    <mergeCell ref="O59:O60"/>
    <mergeCell ref="P59:P60"/>
    <mergeCell ref="Q62:Q64"/>
    <mergeCell ref="R62:R64"/>
    <mergeCell ref="Q65:Q67"/>
    <mergeCell ref="R65:R67"/>
    <mergeCell ref="B35:B36"/>
    <mergeCell ref="N35:N36"/>
    <mergeCell ref="L55:L57"/>
    <mergeCell ref="M55:M57"/>
    <mergeCell ref="N55:N57"/>
    <mergeCell ref="O55:O57"/>
    <mergeCell ref="B50:B52"/>
    <mergeCell ref="C50:C52"/>
    <mergeCell ref="L50:L52"/>
    <mergeCell ref="A47:A49"/>
    <mergeCell ref="B47:B49"/>
    <mergeCell ref="C47:C49"/>
    <mergeCell ref="K47:K49"/>
    <mergeCell ref="L47:L49"/>
    <mergeCell ref="N53:N54"/>
    <mergeCell ref="O53:O54"/>
    <mergeCell ref="A55:A57"/>
    <mergeCell ref="A53:A54"/>
    <mergeCell ref="A1:R1"/>
    <mergeCell ref="P23:P25"/>
    <mergeCell ref="A83:C83"/>
    <mergeCell ref="N40:N42"/>
    <mergeCell ref="O40:O42"/>
    <mergeCell ref="P40:P42"/>
    <mergeCell ref="Q40:Q42"/>
    <mergeCell ref="Q37:Q39"/>
    <mergeCell ref="A40:A42"/>
    <mergeCell ref="B40:B42"/>
    <mergeCell ref="C40:C42"/>
    <mergeCell ref="L40:L42"/>
    <mergeCell ref="M40:M42"/>
    <mergeCell ref="C37:C39"/>
    <mergeCell ref="L37:L39"/>
    <mergeCell ref="M37:M39"/>
    <mergeCell ref="N37:N39"/>
    <mergeCell ref="O37:O39"/>
    <mergeCell ref="P37:P39"/>
    <mergeCell ref="A68:D68"/>
    <mergeCell ref="B69:D69"/>
    <mergeCell ref="B79:D79"/>
    <mergeCell ref="K59:K60"/>
    <mergeCell ref="Q59:Q60"/>
    <mergeCell ref="A7:N7"/>
    <mergeCell ref="B3:R3"/>
    <mergeCell ref="B4:R4"/>
    <mergeCell ref="A5:XFD5"/>
    <mergeCell ref="R10:R11"/>
    <mergeCell ref="A43:A45"/>
    <mergeCell ref="B43:B45"/>
    <mergeCell ref="C43:C45"/>
    <mergeCell ref="L43:L45"/>
    <mergeCell ref="M43:M45"/>
    <mergeCell ref="N43:N45"/>
    <mergeCell ref="O43:O45"/>
    <mergeCell ref="P43:P45"/>
    <mergeCell ref="Q43:Q45"/>
    <mergeCell ref="O35:O36"/>
    <mergeCell ref="P35:P36"/>
    <mergeCell ref="Q35:Q36"/>
    <mergeCell ref="A37:A39"/>
    <mergeCell ref="B37:B39"/>
    <mergeCell ref="Q30:Q32"/>
    <mergeCell ref="A33:A34"/>
    <mergeCell ref="R33:R34"/>
    <mergeCell ref="N23:N25"/>
    <mergeCell ref="O23:O25"/>
  </mergeCells>
  <conditionalFormatting sqref="G11:J11 E10:L10">
    <cfRule type="dataBar" priority="8">
      <dataBar>
        <cfvo type="min"/>
        <cfvo type="max"/>
        <color rgb="FF638EC6"/>
      </dataBar>
      <extLst>
        <ext xmlns:x14="http://schemas.microsoft.com/office/spreadsheetml/2009/9/main" uri="{B025F937-C7B1-47D3-B67F-A62EFF666E3E}">
          <x14:id>{29C299C1-D674-4E79-9B19-544D0B95209D}</x14:id>
        </ext>
      </extLst>
    </cfRule>
  </conditionalFormatting>
  <pageMargins left="0.7" right="0.7" top="0.75" bottom="0.75" header="0.3" footer="0.3"/>
  <pageSetup paperSize="8" scale="6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29C299C1-D674-4E79-9B19-544D0B95209D}">
            <x14:dataBar minLength="0" maxLength="100" border="1" negativeBarBorderColorSameAsPositive="0">
              <x14:cfvo type="autoMin"/>
              <x14:cfvo type="autoMax"/>
              <x14:borderColor rgb="FF638EC6"/>
              <x14:negativeFillColor rgb="FFFF0000"/>
              <x14:negativeBorderColor rgb="FFFF0000"/>
              <x14:axisColor rgb="FF000000"/>
            </x14:dataBar>
          </x14:cfRule>
          <xm:sqref>G11:J11 E10:L10</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DEC0F-9E04-419A-B5BC-8A3122F3A9CD}">
  <sheetPr>
    <pageSetUpPr fitToPage="1"/>
  </sheetPr>
  <dimension ref="A1:V1136"/>
  <sheetViews>
    <sheetView zoomScale="83" zoomScaleNormal="83" workbookViewId="0">
      <pane xSplit="6" ySplit="13" topLeftCell="H14" activePane="bottomRight" state="frozen"/>
      <selection pane="topRight" activeCell="K1" sqref="K1"/>
      <selection pane="bottomLeft" activeCell="A7" sqref="A7"/>
      <selection pane="bottomRight" activeCell="AC18" sqref="AC18"/>
    </sheetView>
  </sheetViews>
  <sheetFormatPr defaultColWidth="9.109375" defaultRowHeight="13.2"/>
  <cols>
    <col min="1" max="1" width="15.77734375" style="400" customWidth="1"/>
    <col min="2" max="2" width="27.5546875" style="400" customWidth="1"/>
    <col min="3" max="3" width="4.33203125" style="400" customWidth="1"/>
    <col min="4" max="4" width="5.5546875" style="400" customWidth="1"/>
    <col min="5" max="5" width="10.6640625" style="429" hidden="1" customWidth="1"/>
    <col min="6" max="6" width="12.88671875" style="429" hidden="1" customWidth="1"/>
    <col min="7" max="7" width="10.6640625" style="400" hidden="1" customWidth="1"/>
    <col min="8" max="10" width="10.6640625" style="400" customWidth="1"/>
    <col min="11" max="11" width="12.77734375" style="400" customWidth="1"/>
    <col min="12" max="12" width="61" style="400" customWidth="1"/>
    <col min="13" max="13" width="15.5546875" style="400" customWidth="1"/>
    <col min="14" max="14" width="30.5546875" style="400" customWidth="1"/>
    <col min="15" max="17" width="6.33203125" style="1003" customWidth="1"/>
    <col min="18" max="18" width="29.44140625" style="400" customWidth="1"/>
    <col min="19" max="20" width="0" style="400" hidden="1" customWidth="1"/>
    <col min="21" max="22" width="8.88671875" style="430" hidden="1" customWidth="1"/>
    <col min="23" max="23" width="0" style="400" hidden="1" customWidth="1"/>
    <col min="24" max="16384" width="9.109375" style="400"/>
  </cols>
  <sheetData>
    <row r="1" spans="1:22" ht="14.4" customHeight="1">
      <c r="A1" s="1935" t="s">
        <v>2833</v>
      </c>
      <c r="B1" s="1935"/>
      <c r="C1" s="1935"/>
      <c r="D1" s="1935"/>
      <c r="E1" s="1935"/>
      <c r="F1" s="1935"/>
      <c r="G1" s="402"/>
      <c r="H1" s="2154"/>
      <c r="I1" s="2154"/>
      <c r="J1" s="2154"/>
      <c r="K1" s="2154"/>
      <c r="L1" s="2154"/>
      <c r="M1" s="452"/>
      <c r="N1" s="452"/>
      <c r="O1" s="1398"/>
      <c r="P1" s="1398"/>
      <c r="Q1" s="1398"/>
      <c r="R1" s="452"/>
      <c r="U1" s="400"/>
      <c r="V1" s="400"/>
    </row>
    <row r="2" spans="1:22" s="387" customFormat="1" ht="14.25" customHeight="1">
      <c r="A2" s="1936" t="s">
        <v>3701</v>
      </c>
      <c r="B2" s="1936"/>
      <c r="C2" s="1936"/>
      <c r="D2" s="1936"/>
      <c r="E2" s="1936"/>
      <c r="F2" s="1936"/>
      <c r="G2" s="1936"/>
      <c r="H2" s="1936"/>
      <c r="I2" s="1936"/>
      <c r="J2" s="1936"/>
      <c r="K2" s="1936"/>
      <c r="L2" s="1936"/>
      <c r="M2" s="1936"/>
      <c r="N2" s="1936"/>
      <c r="O2" s="1936"/>
      <c r="P2" s="1936"/>
      <c r="Q2" s="1936"/>
      <c r="R2" s="1936"/>
    </row>
    <row r="3" spans="1:22" s="387" customFormat="1" ht="6" customHeight="1">
      <c r="A3" s="546"/>
      <c r="B3" s="546"/>
      <c r="C3" s="546"/>
      <c r="D3" s="546"/>
      <c r="E3" s="546"/>
      <c r="F3" s="546"/>
      <c r="G3" s="546"/>
      <c r="H3" s="546"/>
      <c r="I3" s="546"/>
      <c r="J3" s="546"/>
      <c r="K3" s="546"/>
      <c r="L3" s="546"/>
      <c r="M3" s="546"/>
      <c r="N3" s="546"/>
      <c r="O3" s="1399"/>
      <c r="P3" s="1399"/>
      <c r="Q3" s="1399"/>
      <c r="R3" s="546"/>
    </row>
    <row r="4" spans="1:22" s="387" customFormat="1" ht="18.600000000000001" customHeight="1">
      <c r="A4" s="591" t="str">
        <f>A14</f>
        <v>08.01.01.(T)</v>
      </c>
      <c r="B4" s="1936" t="str">
        <f>B14</f>
        <v>Mažinti aplinkos užterštumą ir gerinti vandens telkinių, bendro naudojimo ir kitų teritorijų būklę</v>
      </c>
      <c r="C4" s="1936"/>
      <c r="D4" s="1936"/>
      <c r="E4" s="1936"/>
      <c r="F4" s="1936"/>
      <c r="G4" s="1936"/>
      <c r="H4" s="1936"/>
      <c r="I4" s="1936"/>
      <c r="J4" s="1936"/>
      <c r="K4" s="1936"/>
      <c r="L4" s="1936"/>
      <c r="M4" s="1936"/>
      <c r="N4" s="1936"/>
      <c r="O4" s="1936"/>
      <c r="P4" s="1936"/>
      <c r="Q4" s="1936"/>
      <c r="R4" s="1936"/>
    </row>
    <row r="5" spans="1:22" s="387" customFormat="1" ht="18.600000000000001" customHeight="1">
      <c r="A5" s="591" t="str">
        <f>A60</f>
        <v>08.01.02. (T)</v>
      </c>
      <c r="B5" s="1936" t="str">
        <f>B60</f>
        <v>Įgyvendinti Lietuvos Respublikos geriamojo vandens tiekimo ir nuotekų tvarkymo įstatymo nuostatas</v>
      </c>
      <c r="C5" s="1936"/>
      <c r="D5" s="1936"/>
      <c r="E5" s="1936"/>
      <c r="F5" s="1936"/>
      <c r="G5" s="1936"/>
      <c r="H5" s="1936"/>
      <c r="I5" s="1936"/>
      <c r="J5" s="1936"/>
      <c r="K5" s="1936"/>
      <c r="L5" s="1936"/>
      <c r="M5" s="1936"/>
      <c r="N5" s="1936"/>
      <c r="O5" s="1936"/>
      <c r="P5" s="1936"/>
      <c r="Q5" s="1936"/>
      <c r="R5" s="1936"/>
    </row>
    <row r="6" spans="1:22" s="387" customFormat="1" ht="21.6" customHeight="1">
      <c r="A6" s="591" t="str">
        <f>A79</f>
        <v>08.01.03. (T)</v>
      </c>
      <c r="B6" s="1936" t="str">
        <f>B79</f>
        <v>Įgyvendinti Lietuvos Respublikos triukšmo valdymo įstatymo nuostatas</v>
      </c>
      <c r="C6" s="1936"/>
      <c r="D6" s="1936"/>
      <c r="E6" s="1936"/>
      <c r="F6" s="1936"/>
      <c r="G6" s="1936"/>
      <c r="H6" s="1936"/>
      <c r="I6" s="1936"/>
      <c r="J6" s="1936"/>
      <c r="K6" s="1936"/>
      <c r="L6" s="1936"/>
      <c r="M6" s="1936"/>
      <c r="N6" s="1936"/>
      <c r="O6" s="1936"/>
      <c r="P6" s="1936"/>
      <c r="Q6" s="1936"/>
      <c r="R6" s="1936"/>
    </row>
    <row r="7" spans="1:22" s="387" customFormat="1" ht="21.6" customHeight="1">
      <c r="A7" s="591" t="str">
        <f>A82</f>
        <v>08.01.04. (T)</v>
      </c>
      <c r="B7" s="1936" t="str">
        <f>B82</f>
        <v>Įgyvendinti Lietuvos Respublikos gyvūnų gerovės ir apsaugos įstatymo nuostatas</v>
      </c>
      <c r="C7" s="1936"/>
      <c r="D7" s="1936"/>
      <c r="E7" s="1936"/>
      <c r="F7" s="1936"/>
      <c r="G7" s="1936"/>
      <c r="H7" s="1936"/>
      <c r="I7" s="1936"/>
      <c r="J7" s="1936"/>
      <c r="K7" s="1936"/>
      <c r="L7" s="1936"/>
      <c r="M7" s="1936"/>
      <c r="N7" s="1936"/>
      <c r="O7" s="1936"/>
      <c r="P7" s="1936"/>
      <c r="Q7" s="1936"/>
    </row>
    <row r="8" spans="1:22" s="387" customFormat="1" ht="21" customHeight="1">
      <c r="A8" s="591" t="str">
        <f>A86</f>
        <v>08.01.05. (T)</v>
      </c>
      <c r="B8" s="1936" t="str">
        <f>B86</f>
        <v>Išsaugoti, formuoti etalonines kraštovaizdžio teritorijas, gerinti ekologinę būklę gamtinio karkaso teritorijose</v>
      </c>
      <c r="C8" s="1936"/>
      <c r="D8" s="1936"/>
      <c r="E8" s="1936"/>
      <c r="F8" s="1936"/>
      <c r="G8" s="1936"/>
      <c r="H8" s="1936"/>
      <c r="I8" s="1936"/>
      <c r="J8" s="1936"/>
      <c r="K8" s="1936"/>
      <c r="L8" s="1936"/>
      <c r="M8" s="1936"/>
      <c r="N8" s="1936"/>
      <c r="O8" s="1936"/>
      <c r="P8" s="1936"/>
      <c r="Q8" s="1936"/>
    </row>
    <row r="9" spans="1:22" ht="33.6" customHeight="1">
      <c r="A9" s="1880" t="s">
        <v>3866</v>
      </c>
      <c r="B9" s="1880"/>
      <c r="C9" s="1880"/>
      <c r="D9" s="1880"/>
      <c r="E9" s="1880"/>
      <c r="F9" s="1880"/>
      <c r="G9" s="1880"/>
      <c r="H9" s="1880"/>
      <c r="I9" s="1880"/>
      <c r="J9" s="1880"/>
      <c r="K9" s="1880"/>
      <c r="L9" s="1880"/>
      <c r="M9" s="1880"/>
      <c r="N9" s="1880"/>
      <c r="O9" s="1880"/>
      <c r="P9" s="1880"/>
      <c r="Q9" s="1880"/>
      <c r="R9" s="427"/>
      <c r="U9" s="400"/>
      <c r="V9" s="400"/>
    </row>
    <row r="10" spans="1:22">
      <c r="E10" s="400"/>
      <c r="F10" s="400"/>
      <c r="U10" s="400"/>
      <c r="V10" s="400"/>
    </row>
    <row r="11" spans="1:22">
      <c r="A11" s="2183" t="s">
        <v>3875</v>
      </c>
      <c r="B11" s="2183"/>
      <c r="C11" s="2183"/>
      <c r="D11" s="2183"/>
      <c r="E11" s="2183"/>
      <c r="F11" s="2183"/>
      <c r="G11" s="2183"/>
      <c r="H11" s="2183"/>
      <c r="I11" s="382"/>
      <c r="J11" s="382"/>
      <c r="K11" s="382"/>
      <c r="U11" s="400"/>
      <c r="V11" s="400"/>
    </row>
    <row r="12" spans="1:22" ht="50.4" customHeight="1">
      <c r="A12" s="1722" t="s">
        <v>999</v>
      </c>
      <c r="B12" s="1722" t="s">
        <v>2550</v>
      </c>
      <c r="C12" s="2000" t="s">
        <v>1368</v>
      </c>
      <c r="D12" s="2002" t="s">
        <v>1369</v>
      </c>
      <c r="E12" s="1732" t="s">
        <v>1388</v>
      </c>
      <c r="F12" s="1730" t="s">
        <v>1499</v>
      </c>
      <c r="G12" s="1996" t="s">
        <v>1385</v>
      </c>
      <c r="H12" s="1775" t="s">
        <v>2713</v>
      </c>
      <c r="I12" s="1722" t="s">
        <v>2567</v>
      </c>
      <c r="J12" s="1770" t="s">
        <v>2634</v>
      </c>
      <c r="K12" s="1988" t="s">
        <v>2596</v>
      </c>
      <c r="L12" s="1988" t="s">
        <v>3908</v>
      </c>
      <c r="M12" s="1722" t="s">
        <v>1000</v>
      </c>
      <c r="N12" s="1722" t="s">
        <v>1390</v>
      </c>
      <c r="O12" s="1775" t="s">
        <v>1001</v>
      </c>
      <c r="P12" s="1775"/>
      <c r="Q12" s="1775"/>
      <c r="R12" s="1780" t="s">
        <v>1002</v>
      </c>
      <c r="U12" s="400"/>
      <c r="V12" s="400"/>
    </row>
    <row r="13" spans="1:22" ht="64.2" customHeight="1">
      <c r="A13" s="1808"/>
      <c r="B13" s="1808"/>
      <c r="C13" s="2001"/>
      <c r="D13" s="1965"/>
      <c r="E13" s="1967"/>
      <c r="F13" s="2137"/>
      <c r="G13" s="1968"/>
      <c r="H13" s="1722"/>
      <c r="I13" s="1808"/>
      <c r="J13" s="1995"/>
      <c r="K13" s="1998"/>
      <c r="L13" s="1998"/>
      <c r="M13" s="1808"/>
      <c r="N13" s="1808"/>
      <c r="O13" s="941">
        <v>2024</v>
      </c>
      <c r="P13" s="941">
        <v>2025</v>
      </c>
      <c r="Q13" s="941">
        <v>2026</v>
      </c>
      <c r="R13" s="1724"/>
      <c r="U13" s="400"/>
      <c r="V13" s="400"/>
    </row>
    <row r="14" spans="1:22" ht="48.6" customHeight="1">
      <c r="A14" s="879" t="s">
        <v>2714</v>
      </c>
      <c r="B14" s="984" t="s">
        <v>1599</v>
      </c>
      <c r="C14" s="879"/>
      <c r="D14" s="879"/>
      <c r="E14" s="1116">
        <f>SUM(E17,E19,E21,E23,E26,E28,E32,E35,E40,E43,E46,E53,E56,E59)</f>
        <v>3774.1850000000004</v>
      </c>
      <c r="F14" s="1232">
        <f>H14/E14-1</f>
        <v>8.9069295755242361E-2</v>
      </c>
      <c r="G14" s="1116">
        <f t="shared" ref="G14:J14" si="0">SUM(G17,G19,G21,G23,G26,G28,G32,G35,G40,G43,G46,G53,G56,G59)</f>
        <v>4390.7250000000004</v>
      </c>
      <c r="H14" s="1116">
        <f t="shared" si="0"/>
        <v>4110.3490000000002</v>
      </c>
      <c r="I14" s="1116">
        <f t="shared" si="0"/>
        <v>5487.8550000000005</v>
      </c>
      <c r="J14" s="1116">
        <f t="shared" si="0"/>
        <v>4676.2170000000006</v>
      </c>
      <c r="K14" s="879" t="s">
        <v>3196</v>
      </c>
      <c r="L14" s="879"/>
      <c r="M14" s="1255" t="s">
        <v>1970</v>
      </c>
      <c r="N14" s="1255" t="s">
        <v>657</v>
      </c>
      <c r="O14" s="1146" t="s">
        <v>1989</v>
      </c>
      <c r="P14" s="1146" t="s">
        <v>1989</v>
      </c>
      <c r="Q14" s="1146" t="s">
        <v>1989</v>
      </c>
      <c r="R14" s="1255" t="s">
        <v>3198</v>
      </c>
      <c r="U14" s="400"/>
      <c r="V14" s="400"/>
    </row>
    <row r="15" spans="1:22" ht="34.200000000000003" customHeight="1">
      <c r="A15" s="2167" t="s">
        <v>2715</v>
      </c>
      <c r="B15" s="1890" t="s">
        <v>1956</v>
      </c>
      <c r="C15" s="2168">
        <v>188711925</v>
      </c>
      <c r="D15" s="1307" t="s">
        <v>668</v>
      </c>
      <c r="E15" s="1308">
        <v>10</v>
      </c>
      <c r="F15" s="1382">
        <f t="shared" ref="F15:F62" si="1">H15/E15-1</f>
        <v>-0.5</v>
      </c>
      <c r="G15" s="1308">
        <v>5</v>
      </c>
      <c r="H15" s="1308">
        <v>5</v>
      </c>
      <c r="I15" s="1308">
        <v>5</v>
      </c>
      <c r="J15" s="1308">
        <v>5</v>
      </c>
      <c r="K15" s="1887" t="s">
        <v>3197</v>
      </c>
      <c r="L15" s="2160" t="s">
        <v>2187</v>
      </c>
      <c r="M15" s="1941" t="s">
        <v>1969</v>
      </c>
      <c r="N15" s="1941" t="s">
        <v>3466</v>
      </c>
      <c r="O15" s="2142" t="s">
        <v>1847</v>
      </c>
      <c r="P15" s="2142" t="s">
        <v>1847</v>
      </c>
      <c r="Q15" s="2142" t="s">
        <v>1847</v>
      </c>
      <c r="R15" s="2147" t="s">
        <v>3218</v>
      </c>
      <c r="U15" s="400"/>
      <c r="V15" s="400"/>
    </row>
    <row r="16" spans="1:22" ht="39.6" customHeight="1">
      <c r="A16" s="2153"/>
      <c r="B16" s="1893"/>
      <c r="C16" s="2169"/>
      <c r="D16" s="1309" t="s">
        <v>1913</v>
      </c>
      <c r="E16" s="1310">
        <v>14.183999999999999</v>
      </c>
      <c r="F16" s="1382">
        <f t="shared" si="1"/>
        <v>-0.2649464184997179</v>
      </c>
      <c r="G16" s="1310">
        <v>10.426</v>
      </c>
      <c r="H16" s="1310">
        <v>10.426</v>
      </c>
      <c r="I16" s="1311">
        <v>10</v>
      </c>
      <c r="J16" s="1312">
        <v>10</v>
      </c>
      <c r="K16" s="2012"/>
      <c r="L16" s="2161"/>
      <c r="M16" s="1937"/>
      <c r="N16" s="1937"/>
      <c r="O16" s="2170"/>
      <c r="P16" s="2170"/>
      <c r="Q16" s="2170"/>
      <c r="R16" s="2184"/>
      <c r="U16" s="400"/>
      <c r="V16" s="400"/>
    </row>
    <row r="17" spans="1:22" ht="23.25" customHeight="1">
      <c r="A17" s="2153"/>
      <c r="B17" s="1893"/>
      <c r="C17" s="2169"/>
      <c r="D17" s="1313" t="s">
        <v>1372</v>
      </c>
      <c r="E17" s="1314">
        <f>SUM(E15:E16)</f>
        <v>24.183999999999997</v>
      </c>
      <c r="F17" s="1383">
        <f t="shared" si="1"/>
        <v>-0.36214025802183258</v>
      </c>
      <c r="G17" s="1314">
        <f t="shared" ref="G17:J17" si="2">SUM(G15:G16)</f>
        <v>15.426</v>
      </c>
      <c r="H17" s="1314">
        <f t="shared" si="2"/>
        <v>15.426</v>
      </c>
      <c r="I17" s="1314">
        <f t="shared" si="2"/>
        <v>15</v>
      </c>
      <c r="J17" s="1314">
        <f t="shared" si="2"/>
        <v>15</v>
      </c>
      <c r="K17" s="2012"/>
      <c r="L17" s="2161"/>
      <c r="M17" s="1937"/>
      <c r="N17" s="1937"/>
      <c r="O17" s="2170"/>
      <c r="P17" s="2170"/>
      <c r="Q17" s="2170"/>
      <c r="R17" s="2184"/>
      <c r="U17" s="400"/>
      <c r="V17" s="400"/>
    </row>
    <row r="18" spans="1:22" ht="79.2" customHeight="1">
      <c r="A18" s="2167" t="s">
        <v>2716</v>
      </c>
      <c r="B18" s="1890" t="s">
        <v>1600</v>
      </c>
      <c r="C18" s="2168" t="s">
        <v>1525</v>
      </c>
      <c r="D18" s="1307" t="s">
        <v>668</v>
      </c>
      <c r="E18" s="1308">
        <v>1381.7</v>
      </c>
      <c r="F18" s="1315">
        <f t="shared" si="1"/>
        <v>-2.6561482232033029E-2</v>
      </c>
      <c r="G18" s="1308">
        <v>1603.08</v>
      </c>
      <c r="H18" s="1308">
        <v>1345</v>
      </c>
      <c r="I18" s="1308">
        <v>1483.08</v>
      </c>
      <c r="J18" s="1308">
        <v>1483.08</v>
      </c>
      <c r="K18" s="2012"/>
      <c r="L18" s="2160" t="s">
        <v>2231</v>
      </c>
      <c r="M18" s="1941" t="s">
        <v>1971</v>
      </c>
      <c r="N18" s="1941" t="s">
        <v>2196</v>
      </c>
      <c r="O18" s="2142" t="s">
        <v>449</v>
      </c>
      <c r="P18" s="2142" t="s">
        <v>2195</v>
      </c>
      <c r="Q18" s="2142" t="s">
        <v>2195</v>
      </c>
      <c r="R18" s="2184"/>
      <c r="U18" s="400"/>
      <c r="V18" s="400"/>
    </row>
    <row r="19" spans="1:22" ht="70.5" customHeight="1">
      <c r="A19" s="2153"/>
      <c r="B19" s="1893"/>
      <c r="C19" s="2169"/>
      <c r="D19" s="1313" t="s">
        <v>1372</v>
      </c>
      <c r="E19" s="1314">
        <f>SUM(E18:E18)</f>
        <v>1381.7</v>
      </c>
      <c r="F19" s="1316">
        <f t="shared" si="1"/>
        <v>-2.6561482232033029E-2</v>
      </c>
      <c r="G19" s="1314">
        <f t="shared" ref="G19:J19" si="3">SUM(G18:G18)</f>
        <v>1603.08</v>
      </c>
      <c r="H19" s="1314">
        <f t="shared" si="3"/>
        <v>1345</v>
      </c>
      <c r="I19" s="1314">
        <f t="shared" si="3"/>
        <v>1483.08</v>
      </c>
      <c r="J19" s="1314">
        <f t="shared" si="3"/>
        <v>1483.08</v>
      </c>
      <c r="K19" s="1888"/>
      <c r="L19" s="2161"/>
      <c r="M19" s="1937"/>
      <c r="N19" s="1937"/>
      <c r="O19" s="2170"/>
      <c r="P19" s="2170"/>
      <c r="Q19" s="2170"/>
      <c r="R19" s="2148"/>
      <c r="U19" s="400"/>
      <c r="V19" s="400"/>
    </row>
    <row r="20" spans="1:22" ht="41.4" customHeight="1">
      <c r="A20" s="2153" t="s">
        <v>2717</v>
      </c>
      <c r="B20" s="2156" t="s">
        <v>1601</v>
      </c>
      <c r="C20" s="2149">
        <v>188711925</v>
      </c>
      <c r="D20" s="1317" t="s">
        <v>668</v>
      </c>
      <c r="E20" s="1310">
        <v>21.805</v>
      </c>
      <c r="F20" s="1318">
        <f t="shared" si="1"/>
        <v>0.37583123136895202</v>
      </c>
      <c r="G20" s="1310">
        <v>30</v>
      </c>
      <c r="H20" s="1310">
        <v>30</v>
      </c>
      <c r="I20" s="1311">
        <v>20</v>
      </c>
      <c r="J20" s="1312">
        <v>20</v>
      </c>
      <c r="K20" s="1887" t="s">
        <v>3200</v>
      </c>
      <c r="L20" s="2151" t="s">
        <v>2190</v>
      </c>
      <c r="M20" s="1941" t="s">
        <v>1972</v>
      </c>
      <c r="N20" s="1941" t="s">
        <v>2191</v>
      </c>
      <c r="O20" s="2142" t="s">
        <v>2199</v>
      </c>
      <c r="P20" s="2142" t="s">
        <v>2200</v>
      </c>
      <c r="Q20" s="2142" t="s">
        <v>2200</v>
      </c>
      <c r="R20" s="2140" t="s">
        <v>3201</v>
      </c>
      <c r="U20" s="400"/>
      <c r="V20" s="400"/>
    </row>
    <row r="21" spans="1:22" ht="20.100000000000001" customHeight="1">
      <c r="A21" s="2153"/>
      <c r="B21" s="2156"/>
      <c r="C21" s="2149"/>
      <c r="D21" s="1319" t="s">
        <v>1372</v>
      </c>
      <c r="E21" s="1314">
        <f>E20</f>
        <v>21.805</v>
      </c>
      <c r="F21" s="1316">
        <f t="shared" si="1"/>
        <v>0.37583123136895202</v>
      </c>
      <c r="G21" s="1314">
        <f t="shared" ref="G21:J21" si="4">G20</f>
        <v>30</v>
      </c>
      <c r="H21" s="1314">
        <f t="shared" si="4"/>
        <v>30</v>
      </c>
      <c r="I21" s="1314">
        <f t="shared" si="4"/>
        <v>20</v>
      </c>
      <c r="J21" s="1320">
        <f t="shared" si="4"/>
        <v>20</v>
      </c>
      <c r="K21" s="2012"/>
      <c r="L21" s="2152"/>
      <c r="M21" s="1937"/>
      <c r="N21" s="1937"/>
      <c r="O21" s="2170"/>
      <c r="P21" s="2170"/>
      <c r="Q21" s="2170"/>
      <c r="R21" s="2141"/>
      <c r="U21" s="400"/>
      <c r="V21" s="400"/>
    </row>
    <row r="22" spans="1:22" ht="40.799999999999997" customHeight="1">
      <c r="A22" s="2153" t="s">
        <v>2718</v>
      </c>
      <c r="B22" s="1900" t="s">
        <v>248</v>
      </c>
      <c r="C22" s="2149">
        <v>188711925</v>
      </c>
      <c r="D22" s="1317" t="s">
        <v>668</v>
      </c>
      <c r="E22" s="1310">
        <v>1873.38</v>
      </c>
      <c r="F22" s="1318">
        <f t="shared" si="1"/>
        <v>0.11657004985640929</v>
      </c>
      <c r="G22" s="1310">
        <v>2148.87</v>
      </c>
      <c r="H22" s="1310">
        <f>1791.76+300</f>
        <v>2091.7600000000002</v>
      </c>
      <c r="I22" s="1311">
        <v>2124.4090000000001</v>
      </c>
      <c r="J22" s="1312">
        <v>2094.4090000000001</v>
      </c>
      <c r="K22" s="2012"/>
      <c r="L22" s="2151" t="s">
        <v>2201</v>
      </c>
      <c r="M22" s="1941" t="s">
        <v>1973</v>
      </c>
      <c r="N22" s="1941" t="s">
        <v>657</v>
      </c>
      <c r="O22" s="2140" t="s">
        <v>1989</v>
      </c>
      <c r="P22" s="2140" t="s">
        <v>1989</v>
      </c>
      <c r="Q22" s="2140" t="s">
        <v>1989</v>
      </c>
      <c r="R22" s="2141"/>
      <c r="U22" s="400"/>
      <c r="V22" s="400"/>
    </row>
    <row r="23" spans="1:22" ht="85.5" customHeight="1">
      <c r="A23" s="2153"/>
      <c r="B23" s="1901"/>
      <c r="C23" s="2150"/>
      <c r="D23" s="1321" t="s">
        <v>1372</v>
      </c>
      <c r="E23" s="1322">
        <f>SUM(E22)</f>
        <v>1873.38</v>
      </c>
      <c r="F23" s="1323">
        <f t="shared" si="1"/>
        <v>0.11657004985640929</v>
      </c>
      <c r="G23" s="1322">
        <f t="shared" ref="G23:J23" si="5">SUM(G22)</f>
        <v>2148.87</v>
      </c>
      <c r="H23" s="1322">
        <f t="shared" si="5"/>
        <v>2091.7600000000002</v>
      </c>
      <c r="I23" s="1322">
        <f t="shared" si="5"/>
        <v>2124.4090000000001</v>
      </c>
      <c r="J23" s="1322">
        <f t="shared" si="5"/>
        <v>2094.4090000000001</v>
      </c>
      <c r="K23" s="1888"/>
      <c r="L23" s="2152"/>
      <c r="M23" s="1937"/>
      <c r="N23" s="1937"/>
      <c r="O23" s="2142"/>
      <c r="P23" s="2142"/>
      <c r="Q23" s="2142"/>
      <c r="R23" s="2142"/>
      <c r="U23" s="400"/>
      <c r="V23" s="400"/>
    </row>
    <row r="24" spans="1:22" ht="39" customHeight="1">
      <c r="A24" s="2153" t="s">
        <v>2719</v>
      </c>
      <c r="B24" s="2156" t="s">
        <v>1602</v>
      </c>
      <c r="C24" s="2149">
        <v>188711925</v>
      </c>
      <c r="D24" s="1317" t="s">
        <v>668</v>
      </c>
      <c r="E24" s="1310">
        <v>34.5</v>
      </c>
      <c r="F24" s="1318">
        <f t="shared" si="1"/>
        <v>-1.4492753623188359E-2</v>
      </c>
      <c r="G24" s="1310">
        <v>34</v>
      </c>
      <c r="H24" s="1310">
        <v>34</v>
      </c>
      <c r="I24" s="1311">
        <v>34</v>
      </c>
      <c r="J24" s="1310">
        <v>34</v>
      </c>
      <c r="K24" s="1887" t="s">
        <v>3202</v>
      </c>
      <c r="L24" s="2160" t="s">
        <v>3901</v>
      </c>
      <c r="M24" s="1941" t="s">
        <v>1974</v>
      </c>
      <c r="N24" s="1941" t="s">
        <v>2192</v>
      </c>
      <c r="O24" s="2140" t="s">
        <v>1691</v>
      </c>
      <c r="P24" s="2140" t="s">
        <v>1691</v>
      </c>
      <c r="Q24" s="2140" t="s">
        <v>1691</v>
      </c>
      <c r="R24" s="2140" t="s">
        <v>3203</v>
      </c>
      <c r="U24" s="400"/>
      <c r="V24" s="400"/>
    </row>
    <row r="25" spans="1:22" ht="31.2" customHeight="1">
      <c r="A25" s="2153"/>
      <c r="B25" s="2157"/>
      <c r="C25" s="2150"/>
      <c r="D25" s="1324" t="s">
        <v>1913</v>
      </c>
      <c r="E25" s="1325">
        <v>14.82</v>
      </c>
      <c r="F25" s="1318">
        <f t="shared" si="1"/>
        <v>0.61943319838056676</v>
      </c>
      <c r="G25" s="1325">
        <v>27</v>
      </c>
      <c r="H25" s="1325">
        <v>24</v>
      </c>
      <c r="I25" s="1326">
        <v>17</v>
      </c>
      <c r="J25" s="1310">
        <v>17</v>
      </c>
      <c r="K25" s="2012"/>
      <c r="L25" s="2161"/>
      <c r="M25" s="1941"/>
      <c r="N25" s="1941"/>
      <c r="O25" s="2141"/>
      <c r="P25" s="2141"/>
      <c r="Q25" s="2141"/>
      <c r="R25" s="2141"/>
      <c r="U25" s="400"/>
      <c r="V25" s="400"/>
    </row>
    <row r="26" spans="1:22" ht="24.6" customHeight="1">
      <c r="A26" s="2153"/>
      <c r="B26" s="2157"/>
      <c r="C26" s="2150"/>
      <c r="D26" s="1321" t="s">
        <v>1372</v>
      </c>
      <c r="E26" s="1322">
        <f>SUM(E24:E25)</f>
        <v>49.32</v>
      </c>
      <c r="F26" s="1316">
        <f t="shared" si="1"/>
        <v>0.17599351175993516</v>
      </c>
      <c r="G26" s="1322">
        <f t="shared" ref="G26:J26" si="6">SUM(G24:G25)</f>
        <v>61</v>
      </c>
      <c r="H26" s="1322">
        <f t="shared" si="6"/>
        <v>58</v>
      </c>
      <c r="I26" s="1322">
        <f>SUM(I24:I25)</f>
        <v>51</v>
      </c>
      <c r="J26" s="1322">
        <f t="shared" si="6"/>
        <v>51</v>
      </c>
      <c r="K26" s="1888"/>
      <c r="L26" s="2161"/>
      <c r="M26" s="1937"/>
      <c r="N26" s="1937"/>
      <c r="O26" s="2142"/>
      <c r="P26" s="2142"/>
      <c r="Q26" s="2142"/>
      <c r="R26" s="2142"/>
      <c r="U26" s="400"/>
      <c r="V26" s="400"/>
    </row>
    <row r="27" spans="1:22" ht="41.4" customHeight="1">
      <c r="A27" s="2153" t="s">
        <v>2720</v>
      </c>
      <c r="B27" s="1900" t="s">
        <v>1603</v>
      </c>
      <c r="C27" s="2149">
        <v>188711925</v>
      </c>
      <c r="D27" s="1317" t="s">
        <v>668</v>
      </c>
      <c r="E27" s="1310">
        <v>0</v>
      </c>
      <c r="F27" s="1318"/>
      <c r="G27" s="1310">
        <v>120</v>
      </c>
      <c r="H27" s="1310">
        <v>20</v>
      </c>
      <c r="I27" s="1311">
        <v>120</v>
      </c>
      <c r="J27" s="1310">
        <v>120</v>
      </c>
      <c r="K27" s="1887" t="s">
        <v>3204</v>
      </c>
      <c r="L27" s="2160" t="s">
        <v>3467</v>
      </c>
      <c r="M27" s="1941" t="s">
        <v>1975</v>
      </c>
      <c r="N27" s="1941" t="s">
        <v>2197</v>
      </c>
      <c r="O27" s="2140" t="s">
        <v>1694</v>
      </c>
      <c r="P27" s="2140" t="s">
        <v>1694</v>
      </c>
      <c r="Q27" s="2140"/>
      <c r="R27" s="1997" t="s">
        <v>3205</v>
      </c>
      <c r="U27" s="400"/>
      <c r="V27" s="400"/>
    </row>
    <row r="28" spans="1:22" ht="43.95" customHeight="1">
      <c r="A28" s="2153"/>
      <c r="B28" s="1901"/>
      <c r="C28" s="2150"/>
      <c r="D28" s="1321" t="s">
        <v>1372</v>
      </c>
      <c r="E28" s="1322">
        <f>E27</f>
        <v>0</v>
      </c>
      <c r="F28" s="1323"/>
      <c r="G28" s="1322">
        <f t="shared" ref="G28:J28" si="7">G27</f>
        <v>120</v>
      </c>
      <c r="H28" s="1322">
        <f t="shared" si="7"/>
        <v>20</v>
      </c>
      <c r="I28" s="1322">
        <f t="shared" si="7"/>
        <v>120</v>
      </c>
      <c r="J28" s="1314">
        <f t="shared" si="7"/>
        <v>120</v>
      </c>
      <c r="K28" s="1888"/>
      <c r="L28" s="2161"/>
      <c r="M28" s="1937"/>
      <c r="N28" s="1937"/>
      <c r="O28" s="2142"/>
      <c r="P28" s="2142"/>
      <c r="Q28" s="2142"/>
      <c r="R28" s="1941"/>
      <c r="U28" s="400"/>
      <c r="V28" s="400"/>
    </row>
    <row r="29" spans="1:22" ht="34.200000000000003" customHeight="1">
      <c r="A29" s="2153" t="s">
        <v>2721</v>
      </c>
      <c r="B29" s="2156" t="s">
        <v>2328</v>
      </c>
      <c r="C29" s="2149">
        <v>188711925</v>
      </c>
      <c r="D29" s="1317" t="s">
        <v>668</v>
      </c>
      <c r="E29" s="1310">
        <v>15.795</v>
      </c>
      <c r="F29" s="1318">
        <f t="shared" si="1"/>
        <v>6.6356441911997468</v>
      </c>
      <c r="G29" s="1310">
        <v>120.605</v>
      </c>
      <c r="H29" s="1310">
        <v>120.605</v>
      </c>
      <c r="I29" s="1327">
        <v>31.507000000000001</v>
      </c>
      <c r="J29" s="1310">
        <v>13.503</v>
      </c>
      <c r="K29" s="1887" t="s">
        <v>3206</v>
      </c>
      <c r="L29" s="2160" t="s">
        <v>3469</v>
      </c>
      <c r="M29" s="1941" t="s">
        <v>1976</v>
      </c>
      <c r="N29" s="1009" t="s">
        <v>2331</v>
      </c>
      <c r="O29" s="1400" t="s">
        <v>613</v>
      </c>
      <c r="P29" s="1400" t="s">
        <v>613</v>
      </c>
      <c r="Q29" s="1400" t="s">
        <v>2332</v>
      </c>
      <c r="R29" s="1997" t="s">
        <v>3207</v>
      </c>
      <c r="U29" s="400"/>
      <c r="V29" s="400"/>
    </row>
    <row r="30" spans="1:22" ht="46.2" customHeight="1">
      <c r="A30" s="2153"/>
      <c r="B30" s="2157"/>
      <c r="C30" s="2150"/>
      <c r="D30" s="1324" t="s">
        <v>341</v>
      </c>
      <c r="E30" s="1325"/>
      <c r="F30" s="1328"/>
      <c r="G30" s="1325"/>
      <c r="H30" s="1325"/>
      <c r="I30" s="1310">
        <v>178.542</v>
      </c>
      <c r="J30" s="1310">
        <v>76.518000000000001</v>
      </c>
      <c r="K30" s="2012"/>
      <c r="L30" s="2161"/>
      <c r="M30" s="1941"/>
      <c r="N30" s="1009" t="s">
        <v>2333</v>
      </c>
      <c r="O30" s="1400" t="s">
        <v>613</v>
      </c>
      <c r="P30" s="1400" t="s">
        <v>613</v>
      </c>
      <c r="Q30" s="1400" t="s">
        <v>2334</v>
      </c>
      <c r="R30" s="1999"/>
      <c r="U30" s="400"/>
      <c r="V30" s="400"/>
    </row>
    <row r="31" spans="1:22" ht="20.100000000000001" customHeight="1">
      <c r="A31" s="2153"/>
      <c r="B31" s="2157"/>
      <c r="C31" s="2150"/>
      <c r="D31" s="1324" t="s">
        <v>1422</v>
      </c>
      <c r="E31" s="1325"/>
      <c r="F31" s="1328"/>
      <c r="G31" s="1325"/>
      <c r="H31" s="1325"/>
      <c r="I31" s="1310"/>
      <c r="J31" s="1310"/>
      <c r="K31" s="2012"/>
      <c r="L31" s="2161"/>
      <c r="M31" s="1941"/>
      <c r="N31" s="2147" t="s">
        <v>2335</v>
      </c>
      <c r="O31" s="2140" t="s">
        <v>613</v>
      </c>
      <c r="P31" s="2140" t="s">
        <v>613</v>
      </c>
      <c r="Q31" s="2140" t="s">
        <v>469</v>
      </c>
      <c r="R31" s="1999"/>
      <c r="U31" s="400"/>
      <c r="V31" s="400"/>
    </row>
    <row r="32" spans="1:22" ht="64.2" customHeight="1">
      <c r="A32" s="2153"/>
      <c r="B32" s="2157"/>
      <c r="C32" s="2150"/>
      <c r="D32" s="1321" t="s">
        <v>1372</v>
      </c>
      <c r="E32" s="1322">
        <f>SUM(E29:E31)</f>
        <v>15.795</v>
      </c>
      <c r="F32" s="1323">
        <f t="shared" si="1"/>
        <v>6.6356441911997468</v>
      </c>
      <c r="G32" s="1322">
        <f t="shared" ref="G32:J32" si="8">SUM(G29:G31)</f>
        <v>120.605</v>
      </c>
      <c r="H32" s="1322">
        <f t="shared" si="8"/>
        <v>120.605</v>
      </c>
      <c r="I32" s="1322">
        <f t="shared" si="8"/>
        <v>210.04900000000001</v>
      </c>
      <c r="J32" s="1322">
        <f t="shared" si="8"/>
        <v>90.021000000000001</v>
      </c>
      <c r="K32" s="1888"/>
      <c r="L32" s="2161"/>
      <c r="M32" s="1937"/>
      <c r="N32" s="2148"/>
      <c r="O32" s="2142"/>
      <c r="P32" s="2142"/>
      <c r="Q32" s="2142"/>
      <c r="R32" s="1941"/>
      <c r="U32" s="400"/>
      <c r="V32" s="400"/>
    </row>
    <row r="33" spans="1:22" ht="28.2" customHeight="1">
      <c r="A33" s="2153" t="s">
        <v>2722</v>
      </c>
      <c r="B33" s="2156" t="s">
        <v>1604</v>
      </c>
      <c r="C33" s="2149">
        <v>188711925</v>
      </c>
      <c r="D33" s="1317" t="s">
        <v>668</v>
      </c>
      <c r="E33" s="1310"/>
      <c r="F33" s="1318" t="e">
        <f t="shared" si="1"/>
        <v>#DIV/0!</v>
      </c>
      <c r="G33" s="1310">
        <v>40</v>
      </c>
      <c r="H33" s="1310">
        <v>25</v>
      </c>
      <c r="I33" s="1311">
        <v>40</v>
      </c>
      <c r="J33" s="1310">
        <v>40</v>
      </c>
      <c r="K33" s="1887" t="s">
        <v>3200</v>
      </c>
      <c r="L33" s="2160" t="s">
        <v>3773</v>
      </c>
      <c r="M33" s="1941" t="s">
        <v>1977</v>
      </c>
      <c r="N33" s="1941" t="s">
        <v>927</v>
      </c>
      <c r="O33" s="2140" t="s">
        <v>205</v>
      </c>
      <c r="P33" s="2140" t="s">
        <v>205</v>
      </c>
      <c r="Q33" s="2140" t="s">
        <v>205</v>
      </c>
      <c r="R33" s="1997" t="s">
        <v>3201</v>
      </c>
      <c r="U33" s="400"/>
      <c r="V33" s="400"/>
    </row>
    <row r="34" spans="1:22" ht="20.100000000000001" customHeight="1">
      <c r="A34" s="2153"/>
      <c r="B34" s="2157"/>
      <c r="C34" s="2150"/>
      <c r="D34" s="1324" t="s">
        <v>1913</v>
      </c>
      <c r="E34" s="1325">
        <v>12.627000000000001</v>
      </c>
      <c r="F34" s="1328">
        <f t="shared" si="1"/>
        <v>0.42551674982181042</v>
      </c>
      <c r="G34" s="1325">
        <v>16</v>
      </c>
      <c r="H34" s="1325">
        <v>18</v>
      </c>
      <c r="I34" s="1326"/>
      <c r="J34" s="1310"/>
      <c r="K34" s="2012"/>
      <c r="L34" s="2161"/>
      <c r="M34" s="1941"/>
      <c r="N34" s="1941"/>
      <c r="O34" s="2141"/>
      <c r="P34" s="2141"/>
      <c r="Q34" s="2141"/>
      <c r="R34" s="1999"/>
      <c r="U34" s="400"/>
      <c r="V34" s="400"/>
    </row>
    <row r="35" spans="1:22" ht="20.100000000000001" customHeight="1">
      <c r="A35" s="2153"/>
      <c r="B35" s="2157"/>
      <c r="C35" s="2150"/>
      <c r="D35" s="1321" t="s">
        <v>1372</v>
      </c>
      <c r="E35" s="1322">
        <f>SUM(E33:E34)</f>
        <v>12.627000000000001</v>
      </c>
      <c r="F35" s="1323">
        <f t="shared" si="1"/>
        <v>2.4054011245743245</v>
      </c>
      <c r="G35" s="1322">
        <f t="shared" ref="G35:J35" si="9">SUM(G33:G34)</f>
        <v>56</v>
      </c>
      <c r="H35" s="1322">
        <f t="shared" si="9"/>
        <v>43</v>
      </c>
      <c r="I35" s="1322">
        <f t="shared" si="9"/>
        <v>40</v>
      </c>
      <c r="J35" s="1322">
        <f t="shared" si="9"/>
        <v>40</v>
      </c>
      <c r="K35" s="1888"/>
      <c r="L35" s="2161"/>
      <c r="M35" s="1937"/>
      <c r="N35" s="1937"/>
      <c r="O35" s="2142"/>
      <c r="P35" s="2142"/>
      <c r="Q35" s="2142"/>
      <c r="R35" s="1941"/>
      <c r="U35" s="400"/>
      <c r="V35" s="400"/>
    </row>
    <row r="36" spans="1:22" ht="20.100000000000001" hidden="1" customHeight="1">
      <c r="A36" s="2153" t="s">
        <v>565</v>
      </c>
      <c r="B36" s="1900" t="s">
        <v>1605</v>
      </c>
      <c r="C36" s="2149">
        <v>188711925</v>
      </c>
      <c r="D36" s="1317" t="s">
        <v>668</v>
      </c>
      <c r="E36" s="1310"/>
      <c r="F36" s="1318" t="e">
        <f t="shared" si="1"/>
        <v>#DIV/0!</v>
      </c>
      <c r="G36" s="1310"/>
      <c r="H36" s="1310"/>
      <c r="I36" s="1311"/>
      <c r="J36" s="1312"/>
      <c r="K36" s="1329"/>
      <c r="L36" s="2151"/>
      <c r="M36" s="2143" t="s">
        <v>1978</v>
      </c>
      <c r="N36" s="2143"/>
      <c r="O36" s="2145"/>
      <c r="P36" s="2145"/>
      <c r="Q36" s="2145"/>
      <c r="R36" s="1385"/>
      <c r="U36" s="400"/>
      <c r="V36" s="400"/>
    </row>
    <row r="37" spans="1:22" ht="20.100000000000001" hidden="1" customHeight="1">
      <c r="A37" s="2153"/>
      <c r="B37" s="1900"/>
      <c r="C37" s="2149"/>
      <c r="D37" s="1319" t="s">
        <v>1372</v>
      </c>
      <c r="E37" s="1314">
        <f>E36</f>
        <v>0</v>
      </c>
      <c r="F37" s="1316" t="e">
        <f t="shared" si="1"/>
        <v>#DIV/0!</v>
      </c>
      <c r="G37" s="1314">
        <f t="shared" ref="G37:J37" si="10">G36</f>
        <v>0</v>
      </c>
      <c r="H37" s="1314">
        <f t="shared" si="10"/>
        <v>0</v>
      </c>
      <c r="I37" s="1314">
        <f t="shared" si="10"/>
        <v>0</v>
      </c>
      <c r="J37" s="1320">
        <f t="shared" si="10"/>
        <v>0</v>
      </c>
      <c r="K37" s="1330"/>
      <c r="L37" s="2152"/>
      <c r="M37" s="2144"/>
      <c r="N37" s="2144"/>
      <c r="O37" s="2146"/>
      <c r="P37" s="2146"/>
      <c r="Q37" s="2146"/>
      <c r="R37" s="1385"/>
      <c r="U37" s="400"/>
      <c r="V37" s="400"/>
    </row>
    <row r="38" spans="1:22" ht="40.200000000000003" customHeight="1">
      <c r="A38" s="2153" t="s">
        <v>2723</v>
      </c>
      <c r="B38" s="2156" t="s">
        <v>1606</v>
      </c>
      <c r="C38" s="2149">
        <v>188711925</v>
      </c>
      <c r="D38" s="1317" t="s">
        <v>668</v>
      </c>
      <c r="E38" s="1310"/>
      <c r="F38" s="1318"/>
      <c r="G38" s="1310">
        <v>1</v>
      </c>
      <c r="H38" s="1310"/>
      <c r="I38" s="1311">
        <v>1</v>
      </c>
      <c r="J38" s="1312">
        <v>1</v>
      </c>
      <c r="K38" s="1887" t="s">
        <v>3204</v>
      </c>
      <c r="L38" s="2151" t="s">
        <v>2193</v>
      </c>
      <c r="M38" s="1941" t="s">
        <v>1979</v>
      </c>
      <c r="N38" s="1941" t="s">
        <v>2192</v>
      </c>
      <c r="O38" s="2140" t="s">
        <v>1776</v>
      </c>
      <c r="P38" s="2140" t="s">
        <v>1776</v>
      </c>
      <c r="Q38" s="2140" t="s">
        <v>1776</v>
      </c>
      <c r="R38" s="2140" t="s">
        <v>3205</v>
      </c>
      <c r="U38" s="400"/>
      <c r="V38" s="400"/>
    </row>
    <row r="39" spans="1:22" ht="20.100000000000001" customHeight="1">
      <c r="A39" s="2153"/>
      <c r="B39" s="2157"/>
      <c r="C39" s="2150"/>
      <c r="D39" s="1324" t="s">
        <v>1913</v>
      </c>
      <c r="E39" s="1325">
        <v>2</v>
      </c>
      <c r="F39" s="1328">
        <f t="shared" si="1"/>
        <v>0</v>
      </c>
      <c r="G39" s="1325">
        <v>2</v>
      </c>
      <c r="H39" s="1325">
        <v>2</v>
      </c>
      <c r="I39" s="1327">
        <v>2</v>
      </c>
      <c r="J39" s="1329">
        <v>2</v>
      </c>
      <c r="K39" s="2012"/>
      <c r="L39" s="2158"/>
      <c r="M39" s="1941"/>
      <c r="N39" s="1941"/>
      <c r="O39" s="2141"/>
      <c r="P39" s="2141"/>
      <c r="Q39" s="2141"/>
      <c r="R39" s="2141"/>
      <c r="U39" s="400"/>
      <c r="V39" s="400"/>
    </row>
    <row r="40" spans="1:22" ht="29.25" customHeight="1">
      <c r="A40" s="2153"/>
      <c r="B40" s="2157"/>
      <c r="C40" s="2150"/>
      <c r="D40" s="1321" t="s">
        <v>1372</v>
      </c>
      <c r="E40" s="1322">
        <f>SUM(E38:E39,)</f>
        <v>2</v>
      </c>
      <c r="F40" s="1323">
        <f t="shared" si="1"/>
        <v>0</v>
      </c>
      <c r="G40" s="1322">
        <f t="shared" ref="G40:J40" si="11">SUM(G38:G39,)</f>
        <v>3</v>
      </c>
      <c r="H40" s="1322">
        <f t="shared" si="11"/>
        <v>2</v>
      </c>
      <c r="I40" s="1322">
        <f t="shared" si="11"/>
        <v>3</v>
      </c>
      <c r="J40" s="1322">
        <f t="shared" si="11"/>
        <v>3</v>
      </c>
      <c r="K40" s="1888"/>
      <c r="L40" s="2152"/>
      <c r="M40" s="1937"/>
      <c r="N40" s="1937"/>
      <c r="O40" s="2142"/>
      <c r="P40" s="2142"/>
      <c r="Q40" s="2142"/>
      <c r="R40" s="2142"/>
      <c r="U40" s="400"/>
      <c r="V40" s="400"/>
    </row>
    <row r="41" spans="1:22" ht="39.6" customHeight="1">
      <c r="A41" s="2153" t="s">
        <v>2724</v>
      </c>
      <c r="B41" s="2156" t="s">
        <v>1607</v>
      </c>
      <c r="C41" s="2149">
        <v>188711925</v>
      </c>
      <c r="D41" s="1317" t="s">
        <v>668</v>
      </c>
      <c r="E41" s="1310"/>
      <c r="F41" s="1318"/>
      <c r="G41" s="1310"/>
      <c r="H41" s="1310"/>
      <c r="I41" s="1311"/>
      <c r="J41" s="1310"/>
      <c r="K41" s="1887" t="s">
        <v>3208</v>
      </c>
      <c r="L41" s="2160" t="s">
        <v>2186</v>
      </c>
      <c r="M41" s="1941" t="s">
        <v>1980</v>
      </c>
      <c r="N41" s="1941" t="s">
        <v>1983</v>
      </c>
      <c r="O41" s="2140" t="s">
        <v>469</v>
      </c>
      <c r="P41" s="2140" t="s">
        <v>469</v>
      </c>
      <c r="Q41" s="2140" t="s">
        <v>469</v>
      </c>
      <c r="R41" s="2140" t="s">
        <v>3201</v>
      </c>
      <c r="U41" s="400"/>
      <c r="V41" s="400"/>
    </row>
    <row r="42" spans="1:22" ht="20.100000000000001" customHeight="1">
      <c r="A42" s="2153"/>
      <c r="B42" s="2157"/>
      <c r="C42" s="2150"/>
      <c r="D42" s="1324" t="s">
        <v>1913</v>
      </c>
      <c r="E42" s="1325">
        <v>4.798</v>
      </c>
      <c r="F42" s="1328">
        <f t="shared" si="1"/>
        <v>0.2234264276781992</v>
      </c>
      <c r="G42" s="1325">
        <v>4.5</v>
      </c>
      <c r="H42" s="1325">
        <v>5.87</v>
      </c>
      <c r="I42" s="1326">
        <v>4.5</v>
      </c>
      <c r="J42" s="1310">
        <v>4.5</v>
      </c>
      <c r="K42" s="2012"/>
      <c r="L42" s="2161"/>
      <c r="M42" s="1941"/>
      <c r="N42" s="1941"/>
      <c r="O42" s="2141"/>
      <c r="P42" s="2141"/>
      <c r="Q42" s="2141"/>
      <c r="R42" s="2141"/>
      <c r="U42" s="400"/>
      <c r="V42" s="400"/>
    </row>
    <row r="43" spans="1:22" ht="27" customHeight="1">
      <c r="A43" s="2153"/>
      <c r="B43" s="2157"/>
      <c r="C43" s="2150"/>
      <c r="D43" s="1321" t="s">
        <v>1372</v>
      </c>
      <c r="E43" s="1322">
        <f>SUM(E41:E42)</f>
        <v>4.798</v>
      </c>
      <c r="F43" s="1323">
        <f t="shared" si="1"/>
        <v>0.2234264276781992</v>
      </c>
      <c r="G43" s="1322">
        <f t="shared" ref="G43:J43" si="12">SUM(G41:G42)</f>
        <v>4.5</v>
      </c>
      <c r="H43" s="1322">
        <f t="shared" si="12"/>
        <v>5.87</v>
      </c>
      <c r="I43" s="1322">
        <f t="shared" si="12"/>
        <v>4.5</v>
      </c>
      <c r="J43" s="1322">
        <f t="shared" si="12"/>
        <v>4.5</v>
      </c>
      <c r="K43" s="1888"/>
      <c r="L43" s="2161"/>
      <c r="M43" s="1937"/>
      <c r="N43" s="1937"/>
      <c r="O43" s="2142"/>
      <c r="P43" s="2142"/>
      <c r="Q43" s="2142"/>
      <c r="R43" s="2142"/>
      <c r="U43" s="400"/>
      <c r="V43" s="400"/>
    </row>
    <row r="44" spans="1:22" ht="42" customHeight="1">
      <c r="A44" s="2153" t="s">
        <v>2725</v>
      </c>
      <c r="B44" s="2156" t="s">
        <v>1608</v>
      </c>
      <c r="C44" s="2149">
        <v>188711925</v>
      </c>
      <c r="D44" s="1317" t="s">
        <v>668</v>
      </c>
      <c r="E44" s="1310">
        <v>219.44300000000001</v>
      </c>
      <c r="F44" s="1318">
        <f t="shared" si="1"/>
        <v>-0.48465888636228993</v>
      </c>
      <c r="G44" s="1310">
        <v>219.44399999999999</v>
      </c>
      <c r="H44" s="1310">
        <f>H47+H49</f>
        <v>113.08800000000001</v>
      </c>
      <c r="I44" s="1311"/>
      <c r="J44" s="1310"/>
      <c r="K44" s="1887" t="s">
        <v>2844</v>
      </c>
      <c r="L44" s="2160" t="s">
        <v>2188</v>
      </c>
      <c r="M44" s="1941" t="s">
        <v>1981</v>
      </c>
      <c r="N44" s="1941" t="s">
        <v>1984</v>
      </c>
      <c r="O44" s="2140" t="s">
        <v>612</v>
      </c>
      <c r="P44" s="2140" t="s">
        <v>612</v>
      </c>
      <c r="Q44" s="2140" t="s">
        <v>612</v>
      </c>
      <c r="R44" s="1997" t="s">
        <v>3209</v>
      </c>
      <c r="U44" s="400"/>
      <c r="V44" s="400"/>
    </row>
    <row r="45" spans="1:22" ht="39" customHeight="1">
      <c r="A45" s="2153"/>
      <c r="B45" s="2157"/>
      <c r="C45" s="2150"/>
      <c r="D45" s="1324" t="s">
        <v>587</v>
      </c>
      <c r="E45" s="1325">
        <v>164.13300000000001</v>
      </c>
      <c r="F45" s="1328">
        <f t="shared" si="1"/>
        <v>-0.13869849451359573</v>
      </c>
      <c r="G45" s="1325"/>
      <c r="H45" s="1325">
        <f>SUM(H48,H50)</f>
        <v>141.36799999999999</v>
      </c>
      <c r="I45" s="1326"/>
      <c r="J45" s="1310"/>
      <c r="K45" s="2012"/>
      <c r="L45" s="2161"/>
      <c r="M45" s="1941"/>
      <c r="N45" s="1941"/>
      <c r="O45" s="2141"/>
      <c r="P45" s="2141"/>
      <c r="Q45" s="2141"/>
      <c r="R45" s="1999"/>
      <c r="U45" s="400"/>
      <c r="V45" s="400"/>
    </row>
    <row r="46" spans="1:22" ht="39" customHeight="1">
      <c r="A46" s="2155"/>
      <c r="B46" s="2157"/>
      <c r="C46" s="2150"/>
      <c r="D46" s="1321" t="s">
        <v>1372</v>
      </c>
      <c r="E46" s="1322">
        <f>SUM(E44:E45,)</f>
        <v>383.57600000000002</v>
      </c>
      <c r="F46" s="1323">
        <f t="shared" si="1"/>
        <v>-0.33662168644545021</v>
      </c>
      <c r="G46" s="1322">
        <f t="shared" ref="G46:J46" si="13">G44</f>
        <v>219.44399999999999</v>
      </c>
      <c r="H46" s="1322">
        <f>H44+H45</f>
        <v>254.45600000000002</v>
      </c>
      <c r="I46" s="1322">
        <f t="shared" si="13"/>
        <v>0</v>
      </c>
      <c r="J46" s="1322">
        <f t="shared" si="13"/>
        <v>0</v>
      </c>
      <c r="K46" s="2012"/>
      <c r="L46" s="2162"/>
      <c r="M46" s="1997"/>
      <c r="N46" s="1997"/>
      <c r="O46" s="2141"/>
      <c r="P46" s="2141"/>
      <c r="Q46" s="2141"/>
      <c r="R46" s="1999"/>
      <c r="U46" s="400"/>
      <c r="V46" s="400"/>
    </row>
    <row r="47" spans="1:22" ht="27" hidden="1" customHeight="1">
      <c r="A47" s="2165"/>
      <c r="B47" s="2173" t="s">
        <v>715</v>
      </c>
      <c r="C47" s="1331"/>
      <c r="D47" s="1332" t="s">
        <v>668</v>
      </c>
      <c r="E47" s="1333"/>
      <c r="F47" s="1334"/>
      <c r="G47" s="1335"/>
      <c r="H47" s="1336">
        <v>19.456</v>
      </c>
      <c r="I47" s="1335"/>
      <c r="J47" s="1335"/>
      <c r="K47" s="993"/>
      <c r="L47" s="1336"/>
      <c r="M47" s="990"/>
      <c r="N47" s="990"/>
      <c r="O47" s="1401"/>
      <c r="P47" s="1401"/>
      <c r="Q47" s="1401"/>
      <c r="R47" s="990"/>
      <c r="U47" s="400"/>
      <c r="V47" s="400"/>
    </row>
    <row r="48" spans="1:22" ht="30" hidden="1" customHeight="1">
      <c r="A48" s="2166"/>
      <c r="B48" s="2174"/>
      <c r="C48" s="1331"/>
      <c r="D48" s="1332" t="s">
        <v>587</v>
      </c>
      <c r="E48" s="1333"/>
      <c r="F48" s="1334"/>
      <c r="G48" s="1335"/>
      <c r="H48" s="1336">
        <v>95.251000000000005</v>
      </c>
      <c r="I48" s="1335"/>
      <c r="J48" s="1335"/>
      <c r="K48" s="993"/>
      <c r="L48" s="1336"/>
      <c r="M48" s="990"/>
      <c r="N48" s="990"/>
      <c r="O48" s="1401"/>
      <c r="P48" s="1401"/>
      <c r="Q48" s="1401"/>
      <c r="R48" s="990"/>
      <c r="U48" s="400"/>
      <c r="V48" s="400"/>
    </row>
    <row r="49" spans="1:22" ht="27" hidden="1" customHeight="1">
      <c r="A49" s="2165"/>
      <c r="B49" s="2173" t="s">
        <v>3569</v>
      </c>
      <c r="C49" s="1331"/>
      <c r="D49" s="1332" t="s">
        <v>668</v>
      </c>
      <c r="E49" s="1333"/>
      <c r="F49" s="1334"/>
      <c r="G49" s="1335"/>
      <c r="H49" s="1336">
        <f>25.907+21.608+46.117</f>
        <v>93.632000000000005</v>
      </c>
      <c r="I49" s="1335"/>
      <c r="J49" s="1335"/>
      <c r="K49" s="993"/>
      <c r="L49" s="1337"/>
      <c r="M49" s="990"/>
      <c r="N49" s="990"/>
      <c r="O49" s="1401"/>
      <c r="P49" s="1401"/>
      <c r="Q49" s="1401"/>
      <c r="R49" s="990"/>
      <c r="U49" s="400"/>
      <c r="V49" s="400"/>
    </row>
    <row r="50" spans="1:22" ht="30" hidden="1" customHeight="1">
      <c r="A50" s="2166"/>
      <c r="B50" s="2174"/>
      <c r="C50" s="1331"/>
      <c r="D50" s="1332" t="s">
        <v>587</v>
      </c>
      <c r="E50" s="1333"/>
      <c r="F50" s="1334"/>
      <c r="G50" s="1335"/>
      <c r="H50" s="1336">
        <v>46.116999999999997</v>
      </c>
      <c r="I50" s="1335"/>
      <c r="J50" s="1335"/>
      <c r="K50" s="993"/>
      <c r="L50" s="1336"/>
      <c r="M50" s="990"/>
      <c r="N50" s="990"/>
      <c r="O50" s="1401"/>
      <c r="P50" s="1401"/>
      <c r="Q50" s="1401"/>
      <c r="R50" s="990"/>
      <c r="U50" s="400"/>
      <c r="V50" s="400"/>
    </row>
    <row r="51" spans="1:22" ht="34.200000000000003" customHeight="1">
      <c r="A51" s="2172" t="s">
        <v>2726</v>
      </c>
      <c r="B51" s="1904" t="s">
        <v>1609</v>
      </c>
      <c r="C51" s="2171">
        <v>188711925</v>
      </c>
      <c r="D51" s="1338" t="s">
        <v>668</v>
      </c>
      <c r="E51" s="1310"/>
      <c r="F51" s="1318"/>
      <c r="G51" s="1310">
        <v>5</v>
      </c>
      <c r="H51" s="1310">
        <v>5</v>
      </c>
      <c r="I51" s="1310">
        <v>5</v>
      </c>
      <c r="J51" s="1310">
        <v>5</v>
      </c>
      <c r="K51" s="2182" t="s">
        <v>1322</v>
      </c>
      <c r="L51" s="2160" t="s">
        <v>2194</v>
      </c>
      <c r="M51" s="1937" t="s">
        <v>1982</v>
      </c>
      <c r="N51" s="1937" t="s">
        <v>2192</v>
      </c>
      <c r="O51" s="2170" t="s">
        <v>612</v>
      </c>
      <c r="P51" s="2170" t="s">
        <v>612</v>
      </c>
      <c r="Q51" s="2170" t="s">
        <v>612</v>
      </c>
      <c r="R51" s="1937" t="s">
        <v>1323</v>
      </c>
      <c r="U51" s="400"/>
      <c r="V51" s="400"/>
    </row>
    <row r="52" spans="1:22" ht="20.100000000000001" customHeight="1">
      <c r="A52" s="2172"/>
      <c r="B52" s="1904"/>
      <c r="C52" s="2171"/>
      <c r="D52" s="1338" t="s">
        <v>1913</v>
      </c>
      <c r="E52" s="1310">
        <v>5</v>
      </c>
      <c r="F52" s="1318">
        <f t="shared" si="1"/>
        <v>-0.24</v>
      </c>
      <c r="G52" s="1310">
        <v>3.8</v>
      </c>
      <c r="H52" s="1310">
        <v>3.8</v>
      </c>
      <c r="I52" s="1310">
        <v>4</v>
      </c>
      <c r="J52" s="1310">
        <v>4</v>
      </c>
      <c r="K52" s="2182"/>
      <c r="L52" s="2161"/>
      <c r="M52" s="1937"/>
      <c r="N52" s="1937"/>
      <c r="O52" s="2170"/>
      <c r="P52" s="2170"/>
      <c r="Q52" s="2170"/>
      <c r="R52" s="1937"/>
      <c r="U52" s="400"/>
      <c r="V52" s="400"/>
    </row>
    <row r="53" spans="1:22" ht="20.100000000000001" customHeight="1">
      <c r="A53" s="2172"/>
      <c r="B53" s="1904"/>
      <c r="C53" s="2171"/>
      <c r="D53" s="1313" t="s">
        <v>1372</v>
      </c>
      <c r="E53" s="1314">
        <f>SUM(E51:E52,)</f>
        <v>5</v>
      </c>
      <c r="F53" s="1316">
        <f t="shared" si="1"/>
        <v>0.76000000000000023</v>
      </c>
      <c r="G53" s="1314">
        <f t="shared" ref="G53:J53" si="14">SUM(G51:G52,)</f>
        <v>8.8000000000000007</v>
      </c>
      <c r="H53" s="1314">
        <f t="shared" si="14"/>
        <v>8.8000000000000007</v>
      </c>
      <c r="I53" s="1314">
        <f t="shared" si="14"/>
        <v>9</v>
      </c>
      <c r="J53" s="1314">
        <f t="shared" si="14"/>
        <v>9</v>
      </c>
      <c r="K53" s="2182"/>
      <c r="L53" s="2161"/>
      <c r="M53" s="1937"/>
      <c r="N53" s="1937"/>
      <c r="O53" s="2170"/>
      <c r="P53" s="2170"/>
      <c r="Q53" s="2170"/>
      <c r="R53" s="1937"/>
      <c r="U53" s="400"/>
      <c r="V53" s="400"/>
    </row>
    <row r="54" spans="1:22" ht="20.100000000000001" customHeight="1">
      <c r="A54" s="2167" t="s">
        <v>2727</v>
      </c>
      <c r="B54" s="2163" t="s">
        <v>1610</v>
      </c>
      <c r="C54" s="2164">
        <v>188711925</v>
      </c>
      <c r="D54" s="1339" t="s">
        <v>668</v>
      </c>
      <c r="E54" s="1308"/>
      <c r="F54" s="1315"/>
      <c r="G54" s="1308"/>
      <c r="H54" s="1308"/>
      <c r="I54" s="1340"/>
      <c r="J54" s="1341"/>
      <c r="K54" s="2012" t="s">
        <v>3211</v>
      </c>
      <c r="L54" s="2158" t="s">
        <v>2189</v>
      </c>
      <c r="M54" s="1941" t="s">
        <v>1985</v>
      </c>
      <c r="N54" s="1941" t="s">
        <v>1865</v>
      </c>
      <c r="O54" s="2141" t="s">
        <v>613</v>
      </c>
      <c r="P54" s="2141" t="s">
        <v>613</v>
      </c>
      <c r="Q54" s="2141" t="s">
        <v>469</v>
      </c>
      <c r="R54" s="1999" t="s">
        <v>3210</v>
      </c>
      <c r="U54" s="400"/>
      <c r="V54" s="400"/>
    </row>
    <row r="55" spans="1:22" ht="20.100000000000001" customHeight="1">
      <c r="A55" s="2153"/>
      <c r="B55" s="2157"/>
      <c r="C55" s="2150"/>
      <c r="D55" s="1324" t="s">
        <v>341</v>
      </c>
      <c r="E55" s="1325"/>
      <c r="F55" s="1328"/>
      <c r="G55" s="1325"/>
      <c r="H55" s="1325"/>
      <c r="I55" s="1327">
        <v>250</v>
      </c>
      <c r="J55" s="1329">
        <v>250</v>
      </c>
      <c r="K55" s="2012"/>
      <c r="L55" s="2158"/>
      <c r="M55" s="1941"/>
      <c r="N55" s="1941"/>
      <c r="O55" s="2141"/>
      <c r="P55" s="2141"/>
      <c r="Q55" s="2141"/>
      <c r="R55" s="1999"/>
      <c r="U55" s="400"/>
      <c r="V55" s="400"/>
    </row>
    <row r="56" spans="1:22" ht="20.100000000000001" customHeight="1">
      <c r="A56" s="2153"/>
      <c r="B56" s="2157"/>
      <c r="C56" s="2150"/>
      <c r="D56" s="1321" t="s">
        <v>1372</v>
      </c>
      <c r="E56" s="1322">
        <f>SUM(E54:E55,)</f>
        <v>0</v>
      </c>
      <c r="F56" s="1323"/>
      <c r="G56" s="1322">
        <f t="shared" ref="G56:J56" si="15">SUM(G54:G55,)</f>
        <v>0</v>
      </c>
      <c r="H56" s="1322">
        <f t="shared" si="15"/>
        <v>0</v>
      </c>
      <c r="I56" s="1322">
        <f t="shared" si="15"/>
        <v>250</v>
      </c>
      <c r="J56" s="1322">
        <f t="shared" si="15"/>
        <v>250</v>
      </c>
      <c r="K56" s="1888"/>
      <c r="L56" s="2152"/>
      <c r="M56" s="1937"/>
      <c r="N56" s="1937"/>
      <c r="O56" s="2142"/>
      <c r="P56" s="2142"/>
      <c r="Q56" s="2142"/>
      <c r="R56" s="1941"/>
      <c r="U56" s="400"/>
      <c r="V56" s="400"/>
    </row>
    <row r="57" spans="1:22" ht="42" customHeight="1">
      <c r="A57" s="2153" t="s">
        <v>2728</v>
      </c>
      <c r="B57" s="2156" t="s">
        <v>3772</v>
      </c>
      <c r="C57" s="2149">
        <v>188711925</v>
      </c>
      <c r="D57" s="1317" t="s">
        <v>668</v>
      </c>
      <c r="E57" s="1310"/>
      <c r="F57" s="1318"/>
      <c r="G57" s="1310"/>
      <c r="H57" s="1310">
        <v>115.432</v>
      </c>
      <c r="I57" s="1311">
        <v>173.673</v>
      </c>
      <c r="J57" s="1312">
        <v>74.430999999999997</v>
      </c>
      <c r="K57" s="1887" t="s">
        <v>3212</v>
      </c>
      <c r="L57" s="2151" t="s">
        <v>3468</v>
      </c>
      <c r="M57" s="2140" t="s">
        <v>2336</v>
      </c>
      <c r="N57" s="1009" t="s">
        <v>2331</v>
      </c>
      <c r="O57" s="1400" t="s">
        <v>613</v>
      </c>
      <c r="P57" s="1400" t="s">
        <v>613</v>
      </c>
      <c r="Q57" s="1400" t="s">
        <v>2337</v>
      </c>
      <c r="R57" s="1997" t="s">
        <v>3199</v>
      </c>
      <c r="U57" s="400"/>
      <c r="V57" s="400"/>
    </row>
    <row r="58" spans="1:22" ht="20.100000000000001" customHeight="1">
      <c r="A58" s="2153"/>
      <c r="B58" s="2157"/>
      <c r="C58" s="2150"/>
      <c r="D58" s="1324" t="s">
        <v>341</v>
      </c>
      <c r="E58" s="1325"/>
      <c r="F58" s="1328"/>
      <c r="G58" s="1325"/>
      <c r="H58" s="1325"/>
      <c r="I58" s="1327">
        <v>984.14400000000001</v>
      </c>
      <c r="J58" s="1329">
        <v>421.77600000000001</v>
      </c>
      <c r="K58" s="2012"/>
      <c r="L58" s="2158"/>
      <c r="M58" s="2141"/>
      <c r="N58" s="1009" t="s">
        <v>2333</v>
      </c>
      <c r="O58" s="1400" t="s">
        <v>613</v>
      </c>
      <c r="P58" s="1400" t="s">
        <v>613</v>
      </c>
      <c r="Q58" s="1400" t="s">
        <v>2338</v>
      </c>
      <c r="R58" s="1999"/>
      <c r="S58" s="573" t="s">
        <v>3603</v>
      </c>
      <c r="U58" s="400"/>
      <c r="V58" s="400"/>
    </row>
    <row r="59" spans="1:22" ht="50.4" customHeight="1">
      <c r="A59" s="2155"/>
      <c r="B59" s="2157"/>
      <c r="C59" s="2150"/>
      <c r="D59" s="1321" t="s">
        <v>1372</v>
      </c>
      <c r="E59" s="1322">
        <f>SUM(E57:E58,)</f>
        <v>0</v>
      </c>
      <c r="F59" s="1323"/>
      <c r="G59" s="1322">
        <f t="shared" ref="G59:J59" si="16">SUM(G57:G58,)</f>
        <v>0</v>
      </c>
      <c r="H59" s="1322">
        <f t="shared" si="16"/>
        <v>115.432</v>
      </c>
      <c r="I59" s="1322">
        <f t="shared" si="16"/>
        <v>1157.817</v>
      </c>
      <c r="J59" s="1322">
        <f t="shared" si="16"/>
        <v>496.20699999999999</v>
      </c>
      <c r="K59" s="2012"/>
      <c r="L59" s="2159"/>
      <c r="M59" s="2141"/>
      <c r="N59" s="1131" t="s">
        <v>2335</v>
      </c>
      <c r="O59" s="1384" t="s">
        <v>613</v>
      </c>
      <c r="P59" s="1384" t="s">
        <v>613</v>
      </c>
      <c r="Q59" s="1384" t="s">
        <v>469</v>
      </c>
      <c r="R59" s="1999"/>
      <c r="U59" s="400"/>
      <c r="V59" s="400"/>
    </row>
    <row r="60" spans="1:22" ht="43.2" customHeight="1">
      <c r="A60" s="1136" t="s">
        <v>2729</v>
      </c>
      <c r="B60" s="1137" t="s">
        <v>2210</v>
      </c>
      <c r="C60" s="1136"/>
      <c r="D60" s="1136"/>
      <c r="E60" s="1138">
        <f>SUM(E62)</f>
        <v>152.56</v>
      </c>
      <c r="F60" s="1139">
        <f t="shared" si="1"/>
        <v>0.1921211326691139</v>
      </c>
      <c r="G60" s="1138">
        <f t="shared" ref="G60:J60" si="17">SUM(G62)</f>
        <v>177.24699999999999</v>
      </c>
      <c r="H60" s="1138">
        <f t="shared" si="17"/>
        <v>181.87000000000003</v>
      </c>
      <c r="I60" s="1138">
        <f t="shared" si="17"/>
        <v>181.68099999999998</v>
      </c>
      <c r="J60" s="1138">
        <f t="shared" si="17"/>
        <v>181.71099999999998</v>
      </c>
      <c r="K60" s="1136" t="s">
        <v>1306</v>
      </c>
      <c r="L60" s="1136"/>
      <c r="M60" s="988" t="s">
        <v>1986</v>
      </c>
      <c r="N60" s="988" t="s">
        <v>2204</v>
      </c>
      <c r="O60" s="1140" t="s">
        <v>2202</v>
      </c>
      <c r="P60" s="1140" t="s">
        <v>2203</v>
      </c>
      <c r="Q60" s="1140" t="s">
        <v>845</v>
      </c>
      <c r="R60" s="988" t="s">
        <v>1313</v>
      </c>
      <c r="U60" s="400"/>
      <c r="V60" s="400"/>
    </row>
    <row r="61" spans="1:22" ht="32.4" customHeight="1">
      <c r="A61" s="2167" t="s">
        <v>2730</v>
      </c>
      <c r="B61" s="1912" t="s">
        <v>1611</v>
      </c>
      <c r="C61" s="2164" t="s">
        <v>1376</v>
      </c>
      <c r="D61" s="1339" t="s">
        <v>668</v>
      </c>
      <c r="E61" s="1308">
        <f>SUM(E63:E78)</f>
        <v>152.56</v>
      </c>
      <c r="F61" s="1315">
        <f t="shared" si="1"/>
        <v>0.1921211326691139</v>
      </c>
      <c r="G61" s="1308">
        <f t="shared" ref="G61:J61" si="18">SUM(G63:G78)</f>
        <v>177.24699999999999</v>
      </c>
      <c r="H61" s="1308">
        <f t="shared" si="18"/>
        <v>181.87000000000003</v>
      </c>
      <c r="I61" s="1308">
        <f t="shared" si="18"/>
        <v>181.68099999999998</v>
      </c>
      <c r="J61" s="1308">
        <f t="shared" si="18"/>
        <v>181.71099999999998</v>
      </c>
      <c r="K61" s="2012" t="s">
        <v>3213</v>
      </c>
      <c r="L61" s="2158" t="s">
        <v>1967</v>
      </c>
      <c r="M61" s="1941" t="s">
        <v>1988</v>
      </c>
      <c r="N61" s="1941" t="s">
        <v>1987</v>
      </c>
      <c r="O61" s="2142" t="s">
        <v>1989</v>
      </c>
      <c r="P61" s="2142" t="s">
        <v>1989</v>
      </c>
      <c r="Q61" s="2142" t="s">
        <v>1989</v>
      </c>
      <c r="R61" s="2175" t="s">
        <v>3214</v>
      </c>
      <c r="U61" s="400"/>
      <c r="V61" s="400"/>
    </row>
    <row r="62" spans="1:22" ht="32.4" customHeight="1">
      <c r="A62" s="2153"/>
      <c r="B62" s="1901"/>
      <c r="C62" s="2150"/>
      <c r="D62" s="1321" t="s">
        <v>1372</v>
      </c>
      <c r="E62" s="1314">
        <f>E61</f>
        <v>152.56</v>
      </c>
      <c r="F62" s="1316">
        <f t="shared" si="1"/>
        <v>0.1921211326691139</v>
      </c>
      <c r="G62" s="1314">
        <f t="shared" ref="G62:J62" si="19">G61</f>
        <v>177.24699999999999</v>
      </c>
      <c r="H62" s="1314">
        <f t="shared" si="19"/>
        <v>181.87000000000003</v>
      </c>
      <c r="I62" s="1314">
        <f t="shared" si="19"/>
        <v>181.68099999999998</v>
      </c>
      <c r="J62" s="1320">
        <f t="shared" si="19"/>
        <v>181.71099999999998</v>
      </c>
      <c r="K62" s="1888"/>
      <c r="L62" s="2152"/>
      <c r="M62" s="1937"/>
      <c r="N62" s="1937"/>
      <c r="O62" s="2170"/>
      <c r="P62" s="2170"/>
      <c r="Q62" s="2170"/>
      <c r="R62" s="2176"/>
      <c r="U62" s="400"/>
      <c r="V62" s="400"/>
    </row>
    <row r="63" spans="1:22" ht="20.100000000000001" hidden="1" customHeight="1">
      <c r="A63" s="1342"/>
      <c r="B63" s="1386" t="s">
        <v>715</v>
      </c>
      <c r="C63" s="1343"/>
      <c r="D63" s="1344"/>
      <c r="E63" s="1387">
        <v>135.71</v>
      </c>
      <c r="F63" s="1345"/>
      <c r="G63" s="1346">
        <v>161.80699999999999</v>
      </c>
      <c r="H63" s="1346">
        <v>161.81</v>
      </c>
      <c r="I63" s="1346">
        <v>165</v>
      </c>
      <c r="J63" s="1347">
        <v>165</v>
      </c>
      <c r="K63" s="1348"/>
      <c r="L63" s="1349"/>
      <c r="M63" s="1388"/>
      <c r="N63" s="1389"/>
      <c r="O63" s="1402"/>
      <c r="P63" s="1402"/>
      <c r="Q63" s="1402"/>
      <c r="R63" s="1019"/>
      <c r="U63" s="400"/>
      <c r="V63" s="400"/>
    </row>
    <row r="64" spans="1:22" ht="20.100000000000001" hidden="1" customHeight="1">
      <c r="A64" s="1342"/>
      <c r="B64" s="1386" t="s">
        <v>1957</v>
      </c>
      <c r="C64" s="1343"/>
      <c r="D64" s="1344"/>
      <c r="E64" s="1387">
        <v>1.7</v>
      </c>
      <c r="F64" s="1345"/>
      <c r="G64" s="1346">
        <v>2</v>
      </c>
      <c r="H64" s="1346">
        <v>2.02</v>
      </c>
      <c r="I64" s="1346">
        <v>2</v>
      </c>
      <c r="J64" s="1347">
        <v>2</v>
      </c>
      <c r="K64" s="1348"/>
      <c r="L64" s="1349"/>
      <c r="M64" s="1388"/>
      <c r="N64" s="1389"/>
      <c r="O64" s="1402"/>
      <c r="P64" s="1402"/>
      <c r="Q64" s="1402"/>
      <c r="R64" s="1019"/>
      <c r="U64" s="400"/>
      <c r="V64" s="400"/>
    </row>
    <row r="65" spans="1:22" ht="20.100000000000001" hidden="1" customHeight="1">
      <c r="A65" s="1342"/>
      <c r="B65" s="1386" t="s">
        <v>1958</v>
      </c>
      <c r="C65" s="1343"/>
      <c r="D65" s="1344"/>
      <c r="E65" s="1390">
        <v>0.88</v>
      </c>
      <c r="F65" s="1345"/>
      <c r="G65" s="1390">
        <v>0.88</v>
      </c>
      <c r="H65" s="1346">
        <v>1.05</v>
      </c>
      <c r="I65" s="1390">
        <v>0.88</v>
      </c>
      <c r="J65" s="1390">
        <v>0.88</v>
      </c>
      <c r="K65" s="1391"/>
      <c r="L65" s="1349"/>
      <c r="M65" s="1388"/>
      <c r="N65" s="1389"/>
      <c r="O65" s="1402"/>
      <c r="P65" s="1402"/>
      <c r="Q65" s="1402"/>
      <c r="R65" s="1019"/>
      <c r="U65" s="400"/>
      <c r="V65" s="400"/>
    </row>
    <row r="66" spans="1:22" ht="20.100000000000001" hidden="1" customHeight="1">
      <c r="A66" s="1342"/>
      <c r="B66" s="1386" t="s">
        <v>1382</v>
      </c>
      <c r="C66" s="1343"/>
      <c r="D66" s="1344"/>
      <c r="E66" s="1387">
        <v>1.74</v>
      </c>
      <c r="F66" s="1345"/>
      <c r="G66" s="1346">
        <v>1.9550000000000001</v>
      </c>
      <c r="H66" s="1346">
        <v>2.0699999999999998</v>
      </c>
      <c r="I66" s="1346">
        <v>2.5</v>
      </c>
      <c r="J66" s="1347">
        <v>2.23</v>
      </c>
      <c r="K66" s="1348"/>
      <c r="L66" s="1349"/>
      <c r="M66" s="1388"/>
      <c r="N66" s="1389"/>
      <c r="O66" s="1402"/>
      <c r="P66" s="1402"/>
      <c r="Q66" s="1402"/>
      <c r="R66" s="1019"/>
      <c r="U66" s="400"/>
      <c r="V66" s="400"/>
    </row>
    <row r="67" spans="1:22" ht="20.100000000000001" hidden="1" customHeight="1">
      <c r="A67" s="1342"/>
      <c r="B67" s="1386" t="s">
        <v>1959</v>
      </c>
      <c r="C67" s="1343"/>
      <c r="D67" s="1344"/>
      <c r="E67" s="1387">
        <v>1.9</v>
      </c>
      <c r="F67" s="1345"/>
      <c r="G67" s="1346">
        <v>2.2650000000000001</v>
      </c>
      <c r="H67" s="1346">
        <v>2.27</v>
      </c>
      <c r="I67" s="1346">
        <v>2.4900000000000002</v>
      </c>
      <c r="J67" s="1347">
        <v>2.74</v>
      </c>
      <c r="K67" s="1348"/>
      <c r="L67" s="1349"/>
      <c r="M67" s="1388"/>
      <c r="N67" s="1389"/>
      <c r="O67" s="1402"/>
      <c r="P67" s="1402"/>
      <c r="Q67" s="1402"/>
      <c r="R67" s="1019"/>
      <c r="U67" s="400"/>
      <c r="V67" s="400"/>
    </row>
    <row r="68" spans="1:22" ht="20.100000000000001" hidden="1" customHeight="1">
      <c r="A68" s="1342"/>
      <c r="B68" s="1386" t="s">
        <v>1960</v>
      </c>
      <c r="C68" s="1343"/>
      <c r="D68" s="1344"/>
      <c r="E68" s="1392">
        <v>1.2</v>
      </c>
      <c r="F68" s="1345"/>
      <c r="G68" s="1346">
        <v>1.35</v>
      </c>
      <c r="H68" s="1346">
        <v>1.42</v>
      </c>
      <c r="I68" s="1346">
        <v>1.35</v>
      </c>
      <c r="J68" s="1346">
        <v>1.35</v>
      </c>
      <c r="K68" s="1350"/>
      <c r="L68" s="1349"/>
      <c r="M68" s="1388"/>
      <c r="N68" s="1389"/>
      <c r="O68" s="1402"/>
      <c r="P68" s="1402"/>
      <c r="Q68" s="1402"/>
      <c r="R68" s="1019"/>
      <c r="U68" s="400"/>
      <c r="V68" s="400"/>
    </row>
    <row r="69" spans="1:22" ht="20.100000000000001" hidden="1" customHeight="1">
      <c r="A69" s="1342"/>
      <c r="B69" s="1386" t="s">
        <v>1961</v>
      </c>
      <c r="C69" s="1343"/>
      <c r="D69" s="1344"/>
      <c r="E69" s="1387">
        <v>1.1200000000000001</v>
      </c>
      <c r="F69" s="1345"/>
      <c r="G69" s="1387">
        <v>1.1200000000000001</v>
      </c>
      <c r="H69" s="1346">
        <v>1.33</v>
      </c>
      <c r="I69" s="1346">
        <v>1.2609999999999999</v>
      </c>
      <c r="J69" s="1347">
        <v>1.2609999999999999</v>
      </c>
      <c r="K69" s="1348"/>
      <c r="L69" s="1349"/>
      <c r="M69" s="1388"/>
      <c r="N69" s="1389"/>
      <c r="O69" s="1402"/>
      <c r="P69" s="1402"/>
      <c r="Q69" s="1402"/>
      <c r="R69" s="1019"/>
      <c r="U69" s="400"/>
      <c r="V69" s="400"/>
    </row>
    <row r="70" spans="1:22" ht="20.100000000000001" hidden="1" customHeight="1">
      <c r="A70" s="1342"/>
      <c r="B70" s="1386" t="s">
        <v>1962</v>
      </c>
      <c r="C70" s="1343"/>
      <c r="D70" s="1344"/>
      <c r="E70" s="1390">
        <v>0.68</v>
      </c>
      <c r="F70" s="1345"/>
      <c r="G70" s="1390">
        <v>0.68</v>
      </c>
      <c r="H70" s="1346">
        <v>0.81</v>
      </c>
      <c r="I70" s="1346">
        <v>0.81</v>
      </c>
      <c r="J70" s="1347">
        <v>0.81</v>
      </c>
      <c r="K70" s="1348"/>
      <c r="L70" s="1349"/>
      <c r="M70" s="1388"/>
      <c r="N70" s="1389"/>
      <c r="O70" s="1402"/>
      <c r="P70" s="1402"/>
      <c r="Q70" s="1402"/>
      <c r="R70" s="1019"/>
      <c r="U70" s="400"/>
      <c r="V70" s="400"/>
    </row>
    <row r="71" spans="1:22" ht="20.100000000000001" hidden="1" customHeight="1">
      <c r="A71" s="1342"/>
      <c r="B71" s="1386" t="s">
        <v>1963</v>
      </c>
      <c r="C71" s="1343"/>
      <c r="D71" s="1344"/>
      <c r="E71" s="1390">
        <v>0.755</v>
      </c>
      <c r="F71" s="1345"/>
      <c r="G71" s="1346">
        <v>0.86</v>
      </c>
      <c r="H71" s="1346">
        <v>0.9</v>
      </c>
      <c r="I71" s="1346">
        <v>0.86</v>
      </c>
      <c r="J71" s="1346">
        <v>0.86</v>
      </c>
      <c r="K71" s="1350"/>
      <c r="L71" s="1349"/>
      <c r="M71" s="1388"/>
      <c r="N71" s="1389"/>
      <c r="O71" s="1402"/>
      <c r="P71" s="1402"/>
      <c r="Q71" s="1402"/>
      <c r="R71" s="1019"/>
      <c r="U71" s="400"/>
      <c r="V71" s="400"/>
    </row>
    <row r="72" spans="1:22" ht="20.100000000000001" hidden="1" customHeight="1">
      <c r="A72" s="1342"/>
      <c r="B72" s="1386" t="s">
        <v>1964</v>
      </c>
      <c r="C72" s="1343"/>
      <c r="D72" s="1344"/>
      <c r="E72" s="1390">
        <v>0.48</v>
      </c>
      <c r="F72" s="1345"/>
      <c r="G72" s="1390">
        <v>0.48</v>
      </c>
      <c r="H72" s="1346">
        <v>0.56999999999999995</v>
      </c>
      <c r="I72" s="1390">
        <v>0.48</v>
      </c>
      <c r="J72" s="1390">
        <v>0.48</v>
      </c>
      <c r="K72" s="1391"/>
      <c r="L72" s="1349"/>
      <c r="M72" s="1388"/>
      <c r="N72" s="1389"/>
      <c r="O72" s="1402"/>
      <c r="P72" s="1402"/>
      <c r="Q72" s="1402"/>
      <c r="R72" s="1019"/>
      <c r="U72" s="400"/>
      <c r="V72" s="400"/>
    </row>
    <row r="73" spans="1:22" ht="20.100000000000001" hidden="1" customHeight="1">
      <c r="A73" s="1342"/>
      <c r="B73" s="1386" t="s">
        <v>1965</v>
      </c>
      <c r="C73" s="1343"/>
      <c r="D73" s="1344"/>
      <c r="E73" s="1390">
        <v>0.44</v>
      </c>
      <c r="F73" s="1345"/>
      <c r="G73" s="1346">
        <v>0.5</v>
      </c>
      <c r="H73" s="1346">
        <v>0.53</v>
      </c>
      <c r="I73" s="1346">
        <v>0.5</v>
      </c>
      <c r="J73" s="1347">
        <v>0.5</v>
      </c>
      <c r="K73" s="1348"/>
      <c r="L73" s="1349"/>
      <c r="M73" s="1388"/>
      <c r="N73" s="1389"/>
      <c r="O73" s="1402"/>
      <c r="P73" s="1402"/>
      <c r="Q73" s="1402"/>
      <c r="R73" s="1019"/>
      <c r="U73" s="400"/>
      <c r="V73" s="400"/>
    </row>
    <row r="74" spans="1:22" ht="20.100000000000001" hidden="1" customHeight="1">
      <c r="A74" s="1342"/>
      <c r="B74" s="1386" t="s">
        <v>1966</v>
      </c>
      <c r="C74" s="1343"/>
      <c r="D74" s="1344"/>
      <c r="E74" s="1390">
        <v>0.97</v>
      </c>
      <c r="F74" s="1345"/>
      <c r="G74" s="1346">
        <v>1.1000000000000001</v>
      </c>
      <c r="H74" s="1346">
        <v>1.1599999999999999</v>
      </c>
      <c r="I74" s="1346">
        <v>1.1000000000000001</v>
      </c>
      <c r="J74" s="1346">
        <v>1.1000000000000001</v>
      </c>
      <c r="K74" s="1350"/>
      <c r="L74" s="1349"/>
      <c r="M74" s="1388"/>
      <c r="N74" s="1389"/>
      <c r="O74" s="1402"/>
      <c r="P74" s="1402"/>
      <c r="Q74" s="1402"/>
      <c r="R74" s="1019"/>
      <c r="U74" s="400"/>
      <c r="V74" s="400"/>
    </row>
    <row r="75" spans="1:22" ht="20.100000000000001" hidden="1" customHeight="1">
      <c r="A75" s="1342"/>
      <c r="B75" s="1386" t="s">
        <v>1756</v>
      </c>
      <c r="C75" s="1343"/>
      <c r="D75" s="1344"/>
      <c r="E75" s="1390">
        <v>1.91</v>
      </c>
      <c r="F75" s="1345"/>
      <c r="G75" s="1346">
        <v>1.9</v>
      </c>
      <c r="H75" s="1346">
        <v>2.2799999999999998</v>
      </c>
      <c r="I75" s="1346">
        <v>2.1</v>
      </c>
      <c r="J75" s="1347">
        <v>2.1</v>
      </c>
      <c r="K75" s="1348"/>
      <c r="L75" s="1349"/>
      <c r="M75" s="1388"/>
      <c r="N75" s="1389"/>
      <c r="O75" s="1402"/>
      <c r="P75" s="1402"/>
      <c r="Q75" s="1402"/>
      <c r="R75" s="1019"/>
      <c r="U75" s="400"/>
      <c r="V75" s="400"/>
    </row>
    <row r="76" spans="1:22" ht="20.100000000000001" hidden="1" customHeight="1">
      <c r="A76" s="1342"/>
      <c r="B76" s="1386" t="s">
        <v>1815</v>
      </c>
      <c r="C76" s="1343"/>
      <c r="D76" s="1344"/>
      <c r="E76" s="1390">
        <v>0.68</v>
      </c>
      <c r="F76" s="1345"/>
      <c r="G76" s="1346"/>
      <c r="H76" s="1346">
        <v>0.81</v>
      </c>
      <c r="I76" s="1346"/>
      <c r="J76" s="1347"/>
      <c r="K76" s="1348"/>
      <c r="L76" s="1349"/>
      <c r="M76" s="1388"/>
      <c r="N76" s="1389"/>
      <c r="O76" s="1402"/>
      <c r="P76" s="1402"/>
      <c r="Q76" s="1402"/>
      <c r="R76" s="1019"/>
      <c r="U76" s="400"/>
      <c r="V76" s="400"/>
    </row>
    <row r="77" spans="1:22" ht="20.100000000000001" hidden="1" customHeight="1">
      <c r="A77" s="1342"/>
      <c r="B77" s="1386" t="s">
        <v>1757</v>
      </c>
      <c r="C77" s="1343"/>
      <c r="D77" s="1344"/>
      <c r="E77" s="1390">
        <v>0.30499999999999999</v>
      </c>
      <c r="F77" s="1345"/>
      <c r="G77" s="1346">
        <v>0.35</v>
      </c>
      <c r="H77" s="1346">
        <v>0.36</v>
      </c>
      <c r="I77" s="1346">
        <v>0.35</v>
      </c>
      <c r="J77" s="1347">
        <v>0.4</v>
      </c>
      <c r="K77" s="1348"/>
      <c r="L77" s="1349"/>
      <c r="M77" s="1388"/>
      <c r="N77" s="1389"/>
      <c r="O77" s="1402"/>
      <c r="P77" s="1402"/>
      <c r="Q77" s="1402"/>
      <c r="R77" s="1019"/>
      <c r="U77" s="400"/>
      <c r="V77" s="400"/>
    </row>
    <row r="78" spans="1:22" ht="20.100000000000001" hidden="1" customHeight="1">
      <c r="A78" s="1342"/>
      <c r="B78" s="1386" t="s">
        <v>485</v>
      </c>
      <c r="C78" s="1351"/>
      <c r="D78" s="1352"/>
      <c r="E78" s="1393">
        <v>2.09</v>
      </c>
      <c r="F78" s="1353"/>
      <c r="G78" s="1354"/>
      <c r="H78" s="1354">
        <v>2.48</v>
      </c>
      <c r="I78" s="1354"/>
      <c r="J78" s="1355"/>
      <c r="K78" s="1356"/>
      <c r="L78" s="1357"/>
      <c r="M78" s="1388"/>
      <c r="N78" s="1389"/>
      <c r="O78" s="1402"/>
      <c r="P78" s="1402"/>
      <c r="Q78" s="1402"/>
      <c r="R78" s="1019"/>
      <c r="U78" s="400"/>
      <c r="V78" s="400"/>
    </row>
    <row r="79" spans="1:22" ht="46.2" customHeight="1">
      <c r="A79" s="1136" t="s">
        <v>2731</v>
      </c>
      <c r="B79" s="1137" t="s">
        <v>2209</v>
      </c>
      <c r="C79" s="1136"/>
      <c r="D79" s="1136"/>
      <c r="E79" s="1138">
        <f>SUM(E81)</f>
        <v>0.5</v>
      </c>
      <c r="F79" s="1139">
        <f t="shared" ref="F79:F100" si="20">H79/E79-1</f>
        <v>0</v>
      </c>
      <c r="G79" s="1138">
        <f t="shared" ref="G79:J79" si="21">SUM(G81)</f>
        <v>1</v>
      </c>
      <c r="H79" s="1138">
        <f t="shared" si="21"/>
        <v>0.5</v>
      </c>
      <c r="I79" s="1138">
        <f t="shared" si="21"/>
        <v>1</v>
      </c>
      <c r="J79" s="1138">
        <f t="shared" si="21"/>
        <v>1</v>
      </c>
      <c r="K79" s="1136" t="s">
        <v>1322</v>
      </c>
      <c r="L79" s="1136"/>
      <c r="M79" s="988" t="s">
        <v>1990</v>
      </c>
      <c r="N79" s="988" t="s">
        <v>2206</v>
      </c>
      <c r="O79" s="1140" t="s">
        <v>2202</v>
      </c>
      <c r="P79" s="1140" t="s">
        <v>2203</v>
      </c>
      <c r="Q79" s="1140" t="s">
        <v>2203</v>
      </c>
      <c r="R79" s="988" t="s">
        <v>1323</v>
      </c>
      <c r="U79" s="400"/>
      <c r="V79" s="400"/>
    </row>
    <row r="80" spans="1:22" ht="43.2" customHeight="1">
      <c r="A80" s="2167" t="s">
        <v>2734</v>
      </c>
      <c r="B80" s="1912" t="s">
        <v>1612</v>
      </c>
      <c r="C80" s="2164">
        <v>188711925</v>
      </c>
      <c r="D80" s="1339" t="s">
        <v>668</v>
      </c>
      <c r="E80" s="1308">
        <v>0.5</v>
      </c>
      <c r="F80" s="1315">
        <f t="shared" si="20"/>
        <v>0</v>
      </c>
      <c r="G80" s="1308">
        <v>1</v>
      </c>
      <c r="H80" s="1308">
        <v>0.5</v>
      </c>
      <c r="I80" s="1340">
        <v>1</v>
      </c>
      <c r="J80" s="1341">
        <v>1</v>
      </c>
      <c r="K80" s="1887" t="s">
        <v>3215</v>
      </c>
      <c r="L80" s="2158" t="s">
        <v>2205</v>
      </c>
      <c r="M80" s="1941" t="s">
        <v>1991</v>
      </c>
      <c r="N80" s="1941" t="s">
        <v>2198</v>
      </c>
      <c r="O80" s="1892" t="s">
        <v>469</v>
      </c>
      <c r="P80" s="1892" t="s">
        <v>469</v>
      </c>
      <c r="Q80" s="1892" t="s">
        <v>469</v>
      </c>
      <c r="R80" s="2175" t="s">
        <v>1323</v>
      </c>
      <c r="U80" s="400"/>
      <c r="V80" s="400"/>
    </row>
    <row r="81" spans="1:22" ht="71.25" customHeight="1">
      <c r="A81" s="2153"/>
      <c r="B81" s="1901"/>
      <c r="C81" s="2150"/>
      <c r="D81" s="1321" t="s">
        <v>1372</v>
      </c>
      <c r="E81" s="1322">
        <f>E80</f>
        <v>0.5</v>
      </c>
      <c r="F81" s="1323">
        <f t="shared" si="20"/>
        <v>0</v>
      </c>
      <c r="G81" s="1322">
        <f t="shared" ref="G81:J81" si="22">G80</f>
        <v>1</v>
      </c>
      <c r="H81" s="1322">
        <f t="shared" si="22"/>
        <v>0.5</v>
      </c>
      <c r="I81" s="1322">
        <f t="shared" si="22"/>
        <v>1</v>
      </c>
      <c r="J81" s="1358">
        <f t="shared" si="22"/>
        <v>1</v>
      </c>
      <c r="K81" s="1888"/>
      <c r="L81" s="2159"/>
      <c r="M81" s="1937"/>
      <c r="N81" s="1937"/>
      <c r="O81" s="1938"/>
      <c r="P81" s="1938"/>
      <c r="Q81" s="1938"/>
      <c r="R81" s="2176"/>
      <c r="U81" s="400"/>
      <c r="V81" s="400"/>
    </row>
    <row r="82" spans="1:22" ht="34.950000000000003" customHeight="1">
      <c r="A82" s="1136" t="s">
        <v>2732</v>
      </c>
      <c r="B82" s="1137" t="s">
        <v>3900</v>
      </c>
      <c r="C82" s="1136"/>
      <c r="D82" s="1136"/>
      <c r="E82" s="1138">
        <f>SUM(E84)</f>
        <v>30</v>
      </c>
      <c r="F82" s="1139">
        <f t="shared" si="20"/>
        <v>1.3333333333333335</v>
      </c>
      <c r="G82" s="1138">
        <f t="shared" ref="G82:J82" si="23">SUM(G84)</f>
        <v>75</v>
      </c>
      <c r="H82" s="1138">
        <f t="shared" si="23"/>
        <v>70</v>
      </c>
      <c r="I82" s="1138">
        <f t="shared" si="23"/>
        <v>40.5</v>
      </c>
      <c r="J82" s="1138">
        <f t="shared" si="23"/>
        <v>40.5</v>
      </c>
      <c r="K82" s="1136" t="s">
        <v>1282</v>
      </c>
      <c r="L82" s="1136"/>
      <c r="M82" s="1136" t="s">
        <v>1993</v>
      </c>
      <c r="N82" s="1137" t="s">
        <v>2207</v>
      </c>
      <c r="O82" s="953" t="s">
        <v>2202</v>
      </c>
      <c r="P82" s="953" t="s">
        <v>2202</v>
      </c>
      <c r="Q82" s="953" t="s">
        <v>2203</v>
      </c>
      <c r="R82" s="1137" t="s">
        <v>3353</v>
      </c>
      <c r="U82" s="400"/>
      <c r="V82" s="400"/>
    </row>
    <row r="83" spans="1:22" ht="20.100000000000001" customHeight="1">
      <c r="A83" s="2167" t="s">
        <v>2735</v>
      </c>
      <c r="B83" s="1912" t="s">
        <v>1613</v>
      </c>
      <c r="C83" s="2164">
        <v>188711925</v>
      </c>
      <c r="D83" s="1339" t="s">
        <v>668</v>
      </c>
      <c r="E83" s="1308">
        <v>30</v>
      </c>
      <c r="F83" s="1315">
        <f t="shared" si="20"/>
        <v>1.3333333333333335</v>
      </c>
      <c r="G83" s="1308">
        <v>75</v>
      </c>
      <c r="H83" s="1308">
        <v>70</v>
      </c>
      <c r="I83" s="1340">
        <v>40.5</v>
      </c>
      <c r="J83" s="1341">
        <v>40.5</v>
      </c>
      <c r="K83" s="1887" t="s">
        <v>3216</v>
      </c>
      <c r="L83" s="2158" t="s">
        <v>3774</v>
      </c>
      <c r="M83" s="1941" t="s">
        <v>1994</v>
      </c>
      <c r="N83" s="1941" t="s">
        <v>1992</v>
      </c>
      <c r="O83" s="1892" t="s">
        <v>1776</v>
      </c>
      <c r="P83" s="1892" t="s">
        <v>1776</v>
      </c>
      <c r="Q83" s="1892" t="s">
        <v>1776</v>
      </c>
      <c r="R83" s="2175" t="s">
        <v>3217</v>
      </c>
      <c r="U83" s="400"/>
      <c r="V83" s="400"/>
    </row>
    <row r="84" spans="1:22" ht="141" customHeight="1">
      <c r="A84" s="2153"/>
      <c r="B84" s="1900"/>
      <c r="C84" s="2149"/>
      <c r="D84" s="1319" t="s">
        <v>1372</v>
      </c>
      <c r="E84" s="1314">
        <f>E83</f>
        <v>30</v>
      </c>
      <c r="F84" s="1316">
        <f t="shared" si="20"/>
        <v>1.3333333333333335</v>
      </c>
      <c r="G84" s="1314">
        <f t="shared" ref="G84:J84" si="24">G83</f>
        <v>75</v>
      </c>
      <c r="H84" s="1314">
        <f t="shared" si="24"/>
        <v>70</v>
      </c>
      <c r="I84" s="1314">
        <f t="shared" si="24"/>
        <v>40.5</v>
      </c>
      <c r="J84" s="1320">
        <f t="shared" si="24"/>
        <v>40.5</v>
      </c>
      <c r="K84" s="1888"/>
      <c r="L84" s="2152"/>
      <c r="M84" s="1937"/>
      <c r="N84" s="1937"/>
      <c r="O84" s="1938"/>
      <c r="P84" s="1938"/>
      <c r="Q84" s="1938"/>
      <c r="R84" s="2176"/>
      <c r="U84" s="400"/>
      <c r="V84" s="400"/>
    </row>
    <row r="85" spans="1:22" ht="33.75" hidden="1" customHeight="1">
      <c r="A85" s="1359"/>
      <c r="B85" s="1394"/>
      <c r="C85" s="1360"/>
      <c r="D85" s="1361"/>
      <c r="E85" s="1335"/>
      <c r="F85" s="1334"/>
      <c r="G85" s="1335"/>
      <c r="H85" s="1335"/>
      <c r="I85" s="1335"/>
      <c r="J85" s="1362"/>
      <c r="K85" s="1033"/>
      <c r="L85" s="1395" t="s">
        <v>3530</v>
      </c>
      <c r="M85" s="990"/>
      <c r="N85" s="990"/>
      <c r="O85" s="1405"/>
      <c r="P85" s="1405"/>
      <c r="Q85" s="1405"/>
      <c r="R85" s="1037"/>
      <c r="U85" s="400"/>
      <c r="V85" s="400"/>
    </row>
    <row r="86" spans="1:22" ht="57" customHeight="1">
      <c r="A86" s="1136" t="s">
        <v>2733</v>
      </c>
      <c r="B86" s="1137" t="s">
        <v>1614</v>
      </c>
      <c r="C86" s="1136"/>
      <c r="D86" s="1136"/>
      <c r="E86" s="1138">
        <f>SUM(E89)</f>
        <v>0</v>
      </c>
      <c r="F86" s="1139"/>
      <c r="G86" s="1138">
        <f t="shared" ref="G86:J86" si="25">SUM(G89)</f>
        <v>0</v>
      </c>
      <c r="H86" s="1138">
        <f t="shared" si="25"/>
        <v>0</v>
      </c>
      <c r="I86" s="1138">
        <f t="shared" si="25"/>
        <v>500</v>
      </c>
      <c r="J86" s="1138">
        <f t="shared" si="25"/>
        <v>500</v>
      </c>
      <c r="K86" s="1136" t="s">
        <v>1296</v>
      </c>
      <c r="L86" s="1136"/>
      <c r="M86" s="988" t="s">
        <v>1995</v>
      </c>
      <c r="N86" s="988" t="s">
        <v>2208</v>
      </c>
      <c r="O86" s="1140" t="s">
        <v>613</v>
      </c>
      <c r="P86" s="1140" t="s">
        <v>613</v>
      </c>
      <c r="Q86" s="1140" t="s">
        <v>612</v>
      </c>
      <c r="R86" s="988" t="s">
        <v>3198</v>
      </c>
      <c r="U86" s="400"/>
      <c r="V86" s="400"/>
    </row>
    <row r="87" spans="1:22" ht="39" customHeight="1">
      <c r="A87" s="2167" t="s">
        <v>3470</v>
      </c>
      <c r="B87" s="2163" t="s">
        <v>1615</v>
      </c>
      <c r="C87" s="2164">
        <v>188711925</v>
      </c>
      <c r="D87" s="1339" t="s">
        <v>668</v>
      </c>
      <c r="E87" s="1308"/>
      <c r="F87" s="1315"/>
      <c r="G87" s="1308"/>
      <c r="H87" s="1308"/>
      <c r="I87" s="1340"/>
      <c r="J87" s="1341"/>
      <c r="K87" s="1887" t="s">
        <v>3208</v>
      </c>
      <c r="L87" s="2158" t="s">
        <v>1968</v>
      </c>
      <c r="M87" s="1941" t="s">
        <v>1996</v>
      </c>
      <c r="N87" s="1941" t="s">
        <v>509</v>
      </c>
      <c r="O87" s="1892" t="s">
        <v>613</v>
      </c>
      <c r="P87" s="1892" t="s">
        <v>613</v>
      </c>
      <c r="Q87" s="1892" t="s">
        <v>469</v>
      </c>
      <c r="R87" s="2175" t="s">
        <v>3201</v>
      </c>
      <c r="U87" s="400"/>
      <c r="V87" s="400"/>
    </row>
    <row r="88" spans="1:22" ht="36.6" customHeight="1">
      <c r="A88" s="2153"/>
      <c r="B88" s="2156"/>
      <c r="C88" s="2149"/>
      <c r="D88" s="1317" t="s">
        <v>341</v>
      </c>
      <c r="E88" s="1310"/>
      <c r="F88" s="1318"/>
      <c r="G88" s="1310"/>
      <c r="H88" s="1310"/>
      <c r="I88" s="1326">
        <v>500</v>
      </c>
      <c r="J88" s="1312">
        <v>500</v>
      </c>
      <c r="K88" s="2012"/>
      <c r="L88" s="2158"/>
      <c r="M88" s="1941"/>
      <c r="N88" s="1941"/>
      <c r="O88" s="1892"/>
      <c r="P88" s="1892"/>
      <c r="Q88" s="1892"/>
      <c r="R88" s="2175"/>
      <c r="U88" s="400"/>
      <c r="V88" s="400"/>
    </row>
    <row r="89" spans="1:22" ht="45" customHeight="1">
      <c r="A89" s="2153"/>
      <c r="B89" s="2156"/>
      <c r="C89" s="2149"/>
      <c r="D89" s="1319" t="s">
        <v>1372</v>
      </c>
      <c r="E89" s="1314">
        <f>E87</f>
        <v>0</v>
      </c>
      <c r="F89" s="1316"/>
      <c r="G89" s="1314">
        <f t="shared" ref="G89:H89" si="26">G87</f>
        <v>0</v>
      </c>
      <c r="H89" s="1314">
        <f t="shared" si="26"/>
        <v>0</v>
      </c>
      <c r="I89" s="1314">
        <f>SUM(I87:I88)</f>
        <v>500</v>
      </c>
      <c r="J89" s="1314">
        <f>SUM(J87:J88)</f>
        <v>500</v>
      </c>
      <c r="K89" s="1888"/>
      <c r="L89" s="2152"/>
      <c r="M89" s="1937"/>
      <c r="N89" s="1937"/>
      <c r="O89" s="1938"/>
      <c r="P89" s="1938"/>
      <c r="Q89" s="1938"/>
      <c r="R89" s="2176"/>
      <c r="U89" s="400"/>
      <c r="V89" s="400"/>
    </row>
    <row r="90" spans="1:22" ht="58.5" customHeight="1">
      <c r="A90" s="2177"/>
      <c r="B90" s="2177"/>
      <c r="C90" s="2177"/>
      <c r="D90" s="2177"/>
      <c r="E90" s="1363" t="s">
        <v>1388</v>
      </c>
      <c r="F90" s="1363"/>
      <c r="G90" s="1363" t="str">
        <f>G12</f>
        <v>2024  m. išlaidų projektas (lėšų poreikis), tūkst. Eur</v>
      </c>
      <c r="H90" s="1409" t="str">
        <f>H12</f>
        <v>2024  m. asignavimai ir kitos lėšos, tūkst. Eur</v>
      </c>
      <c r="I90" s="1409" t="str">
        <f>I12</f>
        <v>2025 m. asignavimai ir kitos lėšos, tūkst. Eur</v>
      </c>
      <c r="J90" s="1409" t="str">
        <f>J12</f>
        <v>2026 m. asignavimai ir kitos lėšos, tūkst. Eur</v>
      </c>
      <c r="K90" s="1364"/>
      <c r="L90" s="1364"/>
      <c r="M90" s="1365"/>
      <c r="N90" s="1365"/>
      <c r="O90" s="1406"/>
      <c r="P90" s="1406"/>
      <c r="Q90" s="1406"/>
      <c r="R90" s="1366"/>
      <c r="U90" s="400"/>
      <c r="V90" s="400"/>
    </row>
    <row r="91" spans="1:22" ht="20.100000000000001" customHeight="1">
      <c r="A91" s="2178"/>
      <c r="B91" s="1904" t="s">
        <v>990</v>
      </c>
      <c r="C91" s="1904"/>
      <c r="D91" s="1904"/>
      <c r="E91" s="1367">
        <f>SUM(E92:E98)</f>
        <v>3793.1120000000005</v>
      </c>
      <c r="F91" s="1368">
        <f t="shared" si="20"/>
        <v>0.11289911819107878</v>
      </c>
      <c r="G91" s="1367">
        <f>SUM(G92,G94,G95,G96,G97,G98,)</f>
        <v>4580.246000000001</v>
      </c>
      <c r="H91" s="1367">
        <f>SUM(H92,H94,H95,H96,H97,H98,)</f>
        <v>4221.3509999999997</v>
      </c>
      <c r="I91" s="1367">
        <f>SUM(I92,I94,I95,I96,I97,I98,)</f>
        <v>4689.3920000000007</v>
      </c>
      <c r="J91" s="1367">
        <f>SUM(J92,J94,J95,J96,J97,J98,)</f>
        <v>4440.152</v>
      </c>
      <c r="K91" s="1369"/>
      <c r="L91" s="1370"/>
      <c r="M91" s="1370"/>
      <c r="N91" s="1370"/>
      <c r="O91" s="1407"/>
      <c r="P91" s="1407"/>
      <c r="Q91" s="1407"/>
      <c r="R91" s="1370"/>
      <c r="U91" s="400"/>
      <c r="V91" s="400"/>
    </row>
    <row r="92" spans="1:22" ht="42.6" customHeight="1">
      <c r="A92" s="2179"/>
      <c r="B92" s="1894" t="s">
        <v>2564</v>
      </c>
      <c r="C92" s="1894"/>
      <c r="D92" s="1894"/>
      <c r="E92" s="1310">
        <f>SUM(E15,E18,E20,E22,E24,E27,E29,E33,E36,E38,E41,E44,E51,E54,E61,E80,E83,E87,E52,E42,E39,E34,E25,E16)</f>
        <v>3793.1120000000005</v>
      </c>
      <c r="F92" s="1368">
        <f t="shared" si="20"/>
        <v>0.11289911819107878</v>
      </c>
      <c r="G92" s="1310">
        <f>SUM(G15,G18,G20,G22,G24,G27,G29,G33,G36,G38,G41,G44,G51,G54,G61,G80,G83,G87,)</f>
        <v>4580.246000000001</v>
      </c>
      <c r="H92" s="1310">
        <f>SUM(H15,H18,H20,H22,H24,H27,H29,H33,H36,H38,H41,H44,H51,H54,H61,H80,H83,H87,H93,H57)</f>
        <v>4221.3509999999997</v>
      </c>
      <c r="I92" s="1310">
        <f t="shared" ref="I92:J92" si="27">SUM(I15,I18,I20,I22,I24,I27,I29,I33,I36,I38,I41,I44,I51,I54,I61,I80,I83,I87,I93,I57)</f>
        <v>4260.8500000000004</v>
      </c>
      <c r="J92" s="1310">
        <f t="shared" si="27"/>
        <v>4113.634</v>
      </c>
      <c r="K92" s="1371"/>
      <c r="L92" s="1372"/>
      <c r="M92" s="1373"/>
      <c r="N92" s="1373"/>
      <c r="O92" s="1408"/>
      <c r="P92" s="1408"/>
      <c r="Q92" s="1408"/>
      <c r="R92" s="1373"/>
      <c r="U92" s="400"/>
      <c r="V92" s="400"/>
    </row>
    <row r="93" spans="1:22" ht="43.8" hidden="1" customHeight="1">
      <c r="A93" s="2179"/>
      <c r="B93" s="1883" t="s">
        <v>3571</v>
      </c>
      <c r="C93" s="1884"/>
      <c r="D93" s="1885"/>
      <c r="E93" s="1346"/>
      <c r="F93" s="1397"/>
      <c r="G93" s="1346"/>
      <c r="H93" s="1346">
        <f>SUM(H34,H25,H16,H52,H42,H39,)</f>
        <v>64.096000000000004</v>
      </c>
      <c r="I93" s="1346"/>
      <c r="J93" s="1346"/>
      <c r="K93" s="1371"/>
      <c r="L93" s="1372"/>
      <c r="M93" s="1373"/>
      <c r="N93" s="1373"/>
      <c r="O93" s="1408"/>
      <c r="P93" s="1408"/>
      <c r="Q93" s="1408"/>
      <c r="R93" s="1373"/>
      <c r="U93" s="400"/>
      <c r="V93" s="400"/>
    </row>
    <row r="94" spans="1:22" ht="20.100000000000001" customHeight="1">
      <c r="A94" s="2179"/>
      <c r="B94" s="1894" t="s">
        <v>993</v>
      </c>
      <c r="C94" s="1894"/>
      <c r="D94" s="1894"/>
      <c r="E94" s="1310">
        <v>0</v>
      </c>
      <c r="F94" s="1368"/>
      <c r="G94" s="1310">
        <v>0</v>
      </c>
      <c r="H94" s="1310">
        <v>0</v>
      </c>
      <c r="I94" s="1310">
        <v>0</v>
      </c>
      <c r="J94" s="1310">
        <v>0</v>
      </c>
      <c r="K94" s="1326"/>
      <c r="L94" s="1373"/>
      <c r="M94" s="1373"/>
      <c r="N94" s="1373"/>
      <c r="O94" s="1408"/>
      <c r="P94" s="1408"/>
      <c r="Q94" s="1408"/>
      <c r="R94" s="1373"/>
      <c r="U94" s="400"/>
      <c r="V94" s="400"/>
    </row>
    <row r="95" spans="1:22" ht="20.100000000000001" customHeight="1">
      <c r="A95" s="2179"/>
      <c r="B95" s="1894" t="s">
        <v>994</v>
      </c>
      <c r="C95" s="1894"/>
      <c r="D95" s="1894"/>
      <c r="E95" s="1310">
        <v>0</v>
      </c>
      <c r="F95" s="1368"/>
      <c r="G95" s="1310">
        <v>0</v>
      </c>
      <c r="H95" s="1310">
        <v>0</v>
      </c>
      <c r="I95" s="1310">
        <v>0</v>
      </c>
      <c r="J95" s="1310">
        <v>0</v>
      </c>
      <c r="K95" s="1326"/>
      <c r="L95" s="1373"/>
      <c r="M95" s="1373"/>
      <c r="N95" s="1373"/>
      <c r="O95" s="1408"/>
      <c r="P95" s="1408"/>
      <c r="Q95" s="1408"/>
      <c r="R95" s="1373"/>
      <c r="U95" s="400"/>
      <c r="V95" s="400"/>
    </row>
    <row r="96" spans="1:22" ht="29.4" customHeight="1">
      <c r="A96" s="2179"/>
      <c r="B96" s="1894" t="s">
        <v>2565</v>
      </c>
      <c r="C96" s="1894"/>
      <c r="D96" s="1894"/>
      <c r="E96" s="1310">
        <v>0</v>
      </c>
      <c r="F96" s="1368"/>
      <c r="G96" s="1310">
        <f>SUM(G55,G30,)</f>
        <v>0</v>
      </c>
      <c r="H96" s="1310">
        <f>SUM(H55,H30,)</f>
        <v>0</v>
      </c>
      <c r="I96" s="1310">
        <f>SUM(I55,I30,)</f>
        <v>428.54200000000003</v>
      </c>
      <c r="J96" s="1310">
        <f>SUM(J55,J30,)</f>
        <v>326.51800000000003</v>
      </c>
      <c r="K96" s="1326"/>
      <c r="L96" s="1373"/>
      <c r="M96" s="1373"/>
      <c r="N96" s="1373"/>
      <c r="O96" s="1408"/>
      <c r="P96" s="1408"/>
      <c r="Q96" s="1408"/>
      <c r="R96" s="1373"/>
      <c r="U96" s="400"/>
      <c r="V96" s="400"/>
    </row>
    <row r="97" spans="1:22" ht="20.100000000000001" customHeight="1">
      <c r="A97" s="2179"/>
      <c r="B97" s="1894" t="s">
        <v>995</v>
      </c>
      <c r="C97" s="1894"/>
      <c r="D97" s="1894"/>
      <c r="E97" s="1310">
        <v>0</v>
      </c>
      <c r="F97" s="1368"/>
      <c r="G97" s="1310">
        <v>0</v>
      </c>
      <c r="H97" s="1310">
        <v>0</v>
      </c>
      <c r="I97" s="1310">
        <v>0</v>
      </c>
      <c r="J97" s="1310">
        <v>0</v>
      </c>
      <c r="K97" s="1326"/>
      <c r="L97" s="1373"/>
      <c r="M97" s="1373"/>
      <c r="N97" s="1373"/>
      <c r="O97" s="1408"/>
      <c r="P97" s="1408"/>
      <c r="Q97" s="1408"/>
      <c r="R97" s="1373"/>
      <c r="U97" s="400"/>
      <c r="V97" s="400"/>
    </row>
    <row r="98" spans="1:22" ht="20.100000000000001" customHeight="1">
      <c r="A98" s="2179"/>
      <c r="B98" s="1894" t="s">
        <v>996</v>
      </c>
      <c r="C98" s="1894"/>
      <c r="D98" s="1894"/>
      <c r="E98" s="1310">
        <v>0</v>
      </c>
      <c r="F98" s="1368"/>
      <c r="G98" s="1310">
        <v>0</v>
      </c>
      <c r="H98" s="1310">
        <v>0</v>
      </c>
      <c r="I98" s="1310">
        <v>0</v>
      </c>
      <c r="J98" s="1310">
        <v>0</v>
      </c>
      <c r="K98" s="1326"/>
      <c r="L98" s="1373"/>
      <c r="M98" s="1373"/>
      <c r="N98" s="1373"/>
      <c r="O98" s="1408"/>
      <c r="P98" s="1408"/>
      <c r="Q98" s="1408"/>
      <c r="R98" s="1373"/>
      <c r="U98" s="400"/>
      <c r="V98" s="400"/>
    </row>
    <row r="99" spans="1:22" ht="26.25" customHeight="1">
      <c r="A99" s="2179"/>
      <c r="B99" s="1904" t="s">
        <v>997</v>
      </c>
      <c r="C99" s="1904"/>
      <c r="D99" s="1904"/>
      <c r="E99" s="1327">
        <v>164.13300000000001</v>
      </c>
      <c r="F99" s="1374">
        <f t="shared" si="20"/>
        <v>-0.13869849451359573</v>
      </c>
      <c r="G99" s="1375"/>
      <c r="H99" s="1376">
        <f>H45</f>
        <v>141.36799999999999</v>
      </c>
      <c r="I99" s="1376">
        <f t="shared" ref="I99:J99" si="28">I45</f>
        <v>0</v>
      </c>
      <c r="J99" s="1376">
        <f t="shared" si="28"/>
        <v>0</v>
      </c>
      <c r="K99" s="1326"/>
      <c r="L99" s="1373"/>
      <c r="M99" s="1373"/>
      <c r="N99" s="1373"/>
      <c r="O99" s="1408"/>
      <c r="P99" s="1408"/>
      <c r="Q99" s="1408"/>
      <c r="R99" s="1373"/>
      <c r="U99" s="400"/>
      <c r="V99" s="400"/>
    </row>
    <row r="100" spans="1:22" ht="20.100000000000001" customHeight="1">
      <c r="A100" s="2179"/>
      <c r="B100" s="1904" t="s">
        <v>1389</v>
      </c>
      <c r="C100" s="1904"/>
      <c r="D100" s="1904"/>
      <c r="E100" s="1377">
        <f>SUM(E91,E99)</f>
        <v>3957.2450000000003</v>
      </c>
      <c r="F100" s="1378">
        <f t="shared" si="20"/>
        <v>0.10246370896924484</v>
      </c>
      <c r="G100" s="1379">
        <f>G91+G99</f>
        <v>4580.246000000001</v>
      </c>
      <c r="H100" s="1380">
        <f>H91+H99</f>
        <v>4362.7190000000001</v>
      </c>
      <c r="I100" s="1380">
        <f>I91+I99</f>
        <v>4689.3920000000007</v>
      </c>
      <c r="J100" s="1380">
        <f>J91+J99</f>
        <v>4440.152</v>
      </c>
      <c r="K100" s="1369"/>
      <c r="L100" s="1373"/>
      <c r="M100" s="1373"/>
      <c r="N100" s="1373"/>
      <c r="O100" s="1408"/>
      <c r="P100" s="1408"/>
      <c r="Q100" s="1408"/>
      <c r="R100" s="1373"/>
      <c r="U100" s="400"/>
      <c r="V100" s="400"/>
    </row>
    <row r="101" spans="1:22" ht="20.100000000000001" customHeight="1">
      <c r="A101" s="2179"/>
      <c r="B101" s="1904" t="s">
        <v>2566</v>
      </c>
      <c r="C101" s="1904"/>
      <c r="D101" s="1904"/>
      <c r="E101" s="1367">
        <v>0</v>
      </c>
      <c r="F101" s="1381"/>
      <c r="G101" s="1367">
        <f>SUM(G89,G56,G32)</f>
        <v>120.605</v>
      </c>
      <c r="H101" s="1367">
        <f>SUM(H89,H56,H32,H59)</f>
        <v>236.03700000000001</v>
      </c>
      <c r="I101" s="1367">
        <f t="shared" ref="I101:J101" si="29">SUM(I89,I56,I32,I59)</f>
        <v>2117.866</v>
      </c>
      <c r="J101" s="1367">
        <f t="shared" si="29"/>
        <v>1336.2280000000001</v>
      </c>
      <c r="K101" s="1369"/>
      <c r="L101" s="1373"/>
      <c r="M101" s="1373"/>
      <c r="N101" s="1373"/>
      <c r="O101" s="1408"/>
      <c r="P101" s="1408"/>
      <c r="Q101" s="1408"/>
      <c r="R101" s="1373"/>
      <c r="U101" s="400"/>
      <c r="V101" s="400"/>
    </row>
    <row r="102" spans="1:22" ht="40.799999999999997" customHeight="1">
      <c r="A102" s="2180"/>
      <c r="B102" s="1904" t="s">
        <v>998</v>
      </c>
      <c r="C102" s="1904"/>
      <c r="D102" s="1904"/>
      <c r="E102" s="1367">
        <v>0</v>
      </c>
      <c r="F102" s="1381"/>
      <c r="G102" s="1367">
        <v>0</v>
      </c>
      <c r="H102" s="1381">
        <f>H100/E100-1</f>
        <v>0.10246370896924484</v>
      </c>
      <c r="I102" s="1381">
        <f>I100/H100-1</f>
        <v>7.4878304103473292E-2</v>
      </c>
      <c r="J102" s="1381">
        <f>J100/I100-1</f>
        <v>-5.3149747344645282E-2</v>
      </c>
      <c r="K102" s="1369"/>
      <c r="L102" s="1373"/>
      <c r="M102" s="1373"/>
      <c r="N102" s="1373"/>
      <c r="O102" s="1408"/>
      <c r="P102" s="1408"/>
      <c r="Q102" s="1408"/>
      <c r="R102" s="1373"/>
      <c r="U102" s="400"/>
      <c r="V102" s="400"/>
    </row>
    <row r="103" spans="1:22">
      <c r="E103" s="400"/>
      <c r="F103" s="400"/>
      <c r="U103" s="400"/>
      <c r="V103" s="400"/>
    </row>
    <row r="104" spans="1:22" ht="24.6" customHeight="1">
      <c r="B104" s="448"/>
      <c r="C104" s="448"/>
      <c r="D104" s="448"/>
      <c r="E104" s="2181"/>
      <c r="F104" s="2181"/>
      <c r="G104" s="2181"/>
      <c r="H104" s="2181"/>
      <c r="I104" s="2181"/>
      <c r="J104" s="2181"/>
      <c r="K104" s="448"/>
      <c r="U104" s="400"/>
      <c r="V104" s="400"/>
    </row>
    <row r="105" spans="1:22">
      <c r="E105" s="400"/>
      <c r="F105" s="400"/>
      <c r="H105" s="428"/>
      <c r="U105" s="400"/>
      <c r="V105" s="400"/>
    </row>
    <row r="106" spans="1:22">
      <c r="E106" s="400"/>
      <c r="F106" s="400"/>
      <c r="U106" s="400"/>
      <c r="V106" s="400"/>
    </row>
    <row r="107" spans="1:22">
      <c r="E107" s="400"/>
      <c r="F107" s="400"/>
      <c r="U107" s="400"/>
      <c r="V107" s="400"/>
    </row>
    <row r="108" spans="1:22">
      <c r="E108" s="400"/>
      <c r="F108" s="400"/>
      <c r="U108" s="400"/>
      <c r="V108" s="400"/>
    </row>
    <row r="109" spans="1:22">
      <c r="E109" s="400"/>
      <c r="F109" s="400"/>
      <c r="G109" s="428"/>
      <c r="U109" s="400"/>
      <c r="V109" s="400"/>
    </row>
    <row r="110" spans="1:22">
      <c r="E110" s="400"/>
      <c r="F110" s="400"/>
      <c r="G110" s="428"/>
      <c r="U110" s="400"/>
      <c r="V110" s="400"/>
    </row>
    <row r="111" spans="1:22">
      <c r="E111" s="400"/>
      <c r="F111" s="400"/>
      <c r="G111" s="428"/>
      <c r="U111" s="400"/>
      <c r="V111" s="400"/>
    </row>
    <row r="112" spans="1:22">
      <c r="E112" s="400"/>
      <c r="F112" s="400"/>
      <c r="G112" s="428"/>
      <c r="U112" s="400"/>
      <c r="V112" s="400"/>
    </row>
    <row r="113" spans="15:17" s="400" customFormat="1">
      <c r="O113" s="1003"/>
      <c r="P113" s="1003"/>
      <c r="Q113" s="1003"/>
    </row>
    <row r="114" spans="15:17" s="400" customFormat="1">
      <c r="O114" s="1003"/>
      <c r="P114" s="1003"/>
      <c r="Q114" s="1003"/>
    </row>
    <row r="115" spans="15:17" s="400" customFormat="1">
      <c r="O115" s="1003"/>
      <c r="P115" s="1003"/>
      <c r="Q115" s="1003"/>
    </row>
    <row r="116" spans="15:17" s="400" customFormat="1">
      <c r="O116" s="1003"/>
      <c r="P116" s="1003"/>
      <c r="Q116" s="1003"/>
    </row>
    <row r="117" spans="15:17" s="400" customFormat="1">
      <c r="O117" s="1003"/>
      <c r="P117" s="1003"/>
      <c r="Q117" s="1003"/>
    </row>
    <row r="118" spans="15:17" s="400" customFormat="1">
      <c r="O118" s="1003"/>
      <c r="P118" s="1003"/>
      <c r="Q118" s="1003"/>
    </row>
    <row r="119" spans="15:17" s="400" customFormat="1">
      <c r="O119" s="1003"/>
      <c r="P119" s="1003"/>
      <c r="Q119" s="1003"/>
    </row>
    <row r="120" spans="15:17" s="400" customFormat="1">
      <c r="O120" s="1003"/>
      <c r="P120" s="1003"/>
      <c r="Q120" s="1003"/>
    </row>
    <row r="121" spans="15:17" s="400" customFormat="1">
      <c r="O121" s="1003"/>
      <c r="P121" s="1003"/>
      <c r="Q121" s="1003"/>
    </row>
    <row r="122" spans="15:17" s="400" customFormat="1">
      <c r="O122" s="1003"/>
      <c r="P122" s="1003"/>
      <c r="Q122" s="1003"/>
    </row>
    <row r="123" spans="15:17" s="400" customFormat="1">
      <c r="O123" s="1003"/>
      <c r="P123" s="1003"/>
      <c r="Q123" s="1003"/>
    </row>
    <row r="124" spans="15:17" s="400" customFormat="1">
      <c r="O124" s="1003"/>
      <c r="P124" s="1003"/>
      <c r="Q124" s="1003"/>
    </row>
    <row r="125" spans="15:17" s="400" customFormat="1">
      <c r="O125" s="1003"/>
      <c r="P125" s="1003"/>
      <c r="Q125" s="1003"/>
    </row>
    <row r="126" spans="15:17" s="400" customFormat="1">
      <c r="O126" s="1003"/>
      <c r="P126" s="1003"/>
      <c r="Q126" s="1003"/>
    </row>
    <row r="127" spans="15:17" s="400" customFormat="1">
      <c r="O127" s="1003"/>
      <c r="P127" s="1003"/>
      <c r="Q127" s="1003"/>
    </row>
    <row r="128" spans="15:17" s="400" customFormat="1">
      <c r="O128" s="1003"/>
      <c r="P128" s="1003"/>
      <c r="Q128" s="1003"/>
    </row>
    <row r="129" spans="15:17" s="400" customFormat="1">
      <c r="O129" s="1003"/>
      <c r="P129" s="1003"/>
      <c r="Q129" s="1003"/>
    </row>
    <row r="130" spans="15:17" s="400" customFormat="1">
      <c r="O130" s="1003"/>
      <c r="P130" s="1003"/>
      <c r="Q130" s="1003"/>
    </row>
    <row r="131" spans="15:17" s="400" customFormat="1">
      <c r="O131" s="1003"/>
      <c r="P131" s="1003"/>
      <c r="Q131" s="1003"/>
    </row>
    <row r="132" spans="15:17" s="400" customFormat="1">
      <c r="O132" s="1003"/>
      <c r="P132" s="1003"/>
      <c r="Q132" s="1003"/>
    </row>
    <row r="133" spans="15:17" s="400" customFormat="1">
      <c r="O133" s="1003"/>
      <c r="P133" s="1003"/>
      <c r="Q133" s="1003"/>
    </row>
    <row r="134" spans="15:17" s="400" customFormat="1">
      <c r="O134" s="1003"/>
      <c r="P134" s="1003"/>
      <c r="Q134" s="1003"/>
    </row>
    <row r="135" spans="15:17" s="400" customFormat="1">
      <c r="O135" s="1003"/>
      <c r="P135" s="1003"/>
      <c r="Q135" s="1003"/>
    </row>
    <row r="136" spans="15:17" s="400" customFormat="1">
      <c r="O136" s="1003"/>
      <c r="P136" s="1003"/>
      <c r="Q136" s="1003"/>
    </row>
    <row r="137" spans="15:17" s="400" customFormat="1">
      <c r="O137" s="1003"/>
      <c r="P137" s="1003"/>
      <c r="Q137" s="1003"/>
    </row>
    <row r="138" spans="15:17" s="400" customFormat="1">
      <c r="O138" s="1003"/>
      <c r="P138" s="1003"/>
      <c r="Q138" s="1003"/>
    </row>
    <row r="139" spans="15:17" s="400" customFormat="1">
      <c r="O139" s="1003"/>
      <c r="P139" s="1003"/>
      <c r="Q139" s="1003"/>
    </row>
    <row r="140" spans="15:17" s="400" customFormat="1">
      <c r="O140" s="1003"/>
      <c r="P140" s="1003"/>
      <c r="Q140" s="1003"/>
    </row>
    <row r="141" spans="15:17" s="400" customFormat="1">
      <c r="O141" s="1003"/>
      <c r="P141" s="1003"/>
      <c r="Q141" s="1003"/>
    </row>
    <row r="142" spans="15:17" s="400" customFormat="1">
      <c r="O142" s="1003"/>
      <c r="P142" s="1003"/>
      <c r="Q142" s="1003"/>
    </row>
    <row r="143" spans="15:17" s="400" customFormat="1">
      <c r="O143" s="1003"/>
      <c r="P143" s="1003"/>
      <c r="Q143" s="1003"/>
    </row>
    <row r="144" spans="15:17" s="400" customFormat="1">
      <c r="O144" s="1003"/>
      <c r="P144" s="1003"/>
      <c r="Q144" s="1003"/>
    </row>
    <row r="145" spans="15:17" s="400" customFormat="1">
      <c r="O145" s="1003"/>
      <c r="P145" s="1003"/>
      <c r="Q145" s="1003"/>
    </row>
    <row r="146" spans="15:17" s="400" customFormat="1">
      <c r="O146" s="1003"/>
      <c r="P146" s="1003"/>
      <c r="Q146" s="1003"/>
    </row>
    <row r="147" spans="15:17" s="400" customFormat="1">
      <c r="O147" s="1003"/>
      <c r="P147" s="1003"/>
      <c r="Q147" s="1003"/>
    </row>
    <row r="148" spans="15:17" s="400" customFormat="1">
      <c r="O148" s="1003"/>
      <c r="P148" s="1003"/>
      <c r="Q148" s="1003"/>
    </row>
    <row r="149" spans="15:17" s="400" customFormat="1">
      <c r="O149" s="1003"/>
      <c r="P149" s="1003"/>
      <c r="Q149" s="1003"/>
    </row>
    <row r="150" spans="15:17" s="400" customFormat="1">
      <c r="O150" s="1003"/>
      <c r="P150" s="1003"/>
      <c r="Q150" s="1003"/>
    </row>
    <row r="151" spans="15:17" s="400" customFormat="1">
      <c r="O151" s="1003"/>
      <c r="P151" s="1003"/>
      <c r="Q151" s="1003"/>
    </row>
    <row r="152" spans="15:17" s="400" customFormat="1">
      <c r="O152" s="1003"/>
      <c r="P152" s="1003"/>
      <c r="Q152" s="1003"/>
    </row>
    <row r="153" spans="15:17" s="400" customFormat="1">
      <c r="O153" s="1003"/>
      <c r="P153" s="1003"/>
      <c r="Q153" s="1003"/>
    </row>
    <row r="154" spans="15:17" s="400" customFormat="1">
      <c r="O154" s="1003"/>
      <c r="P154" s="1003"/>
      <c r="Q154" s="1003"/>
    </row>
    <row r="155" spans="15:17" s="400" customFormat="1">
      <c r="O155" s="1003"/>
      <c r="P155" s="1003"/>
      <c r="Q155" s="1003"/>
    </row>
    <row r="156" spans="15:17" s="400" customFormat="1">
      <c r="O156" s="1003"/>
      <c r="P156" s="1003"/>
      <c r="Q156" s="1003"/>
    </row>
    <row r="157" spans="15:17" s="400" customFormat="1">
      <c r="O157" s="1003"/>
      <c r="P157" s="1003"/>
      <c r="Q157" s="1003"/>
    </row>
    <row r="158" spans="15:17" s="400" customFormat="1">
      <c r="O158" s="1003"/>
      <c r="P158" s="1003"/>
      <c r="Q158" s="1003"/>
    </row>
    <row r="159" spans="15:17" s="400" customFormat="1">
      <c r="O159" s="1003"/>
      <c r="P159" s="1003"/>
      <c r="Q159" s="1003"/>
    </row>
    <row r="160" spans="15:17" s="400" customFormat="1">
      <c r="O160" s="1003"/>
      <c r="P160" s="1003"/>
      <c r="Q160" s="1003"/>
    </row>
    <row r="161" spans="15:17" s="400" customFormat="1">
      <c r="O161" s="1003"/>
      <c r="P161" s="1003"/>
      <c r="Q161" s="1003"/>
    </row>
    <row r="162" spans="15:17" s="400" customFormat="1">
      <c r="O162" s="1003"/>
      <c r="P162" s="1003"/>
      <c r="Q162" s="1003"/>
    </row>
    <row r="163" spans="15:17" s="400" customFormat="1">
      <c r="O163" s="1003"/>
      <c r="P163" s="1003"/>
      <c r="Q163" s="1003"/>
    </row>
    <row r="164" spans="15:17" s="400" customFormat="1">
      <c r="O164" s="1003"/>
      <c r="P164" s="1003"/>
      <c r="Q164" s="1003"/>
    </row>
    <row r="165" spans="15:17" s="400" customFormat="1">
      <c r="O165" s="1003"/>
      <c r="P165" s="1003"/>
      <c r="Q165" s="1003"/>
    </row>
    <row r="166" spans="15:17" s="400" customFormat="1">
      <c r="O166" s="1003"/>
      <c r="P166" s="1003"/>
      <c r="Q166" s="1003"/>
    </row>
    <row r="167" spans="15:17" s="400" customFormat="1">
      <c r="O167" s="1003"/>
      <c r="P167" s="1003"/>
      <c r="Q167" s="1003"/>
    </row>
    <row r="168" spans="15:17" s="400" customFormat="1">
      <c r="O168" s="1003"/>
      <c r="P168" s="1003"/>
      <c r="Q168" s="1003"/>
    </row>
    <row r="169" spans="15:17" s="400" customFormat="1">
      <c r="O169" s="1003"/>
      <c r="P169" s="1003"/>
      <c r="Q169" s="1003"/>
    </row>
    <row r="170" spans="15:17" s="400" customFormat="1">
      <c r="O170" s="1003"/>
      <c r="P170" s="1003"/>
      <c r="Q170" s="1003"/>
    </row>
    <row r="171" spans="15:17" s="400" customFormat="1">
      <c r="O171" s="1003"/>
      <c r="P171" s="1003"/>
      <c r="Q171" s="1003"/>
    </row>
    <row r="172" spans="15:17" s="400" customFormat="1">
      <c r="O172" s="1003"/>
      <c r="P172" s="1003"/>
      <c r="Q172" s="1003"/>
    </row>
    <row r="173" spans="15:17" s="400" customFormat="1">
      <c r="O173" s="1003"/>
      <c r="P173" s="1003"/>
      <c r="Q173" s="1003"/>
    </row>
    <row r="174" spans="15:17" s="400" customFormat="1">
      <c r="O174" s="1003"/>
      <c r="P174" s="1003"/>
      <c r="Q174" s="1003"/>
    </row>
    <row r="175" spans="15:17" s="400" customFormat="1">
      <c r="O175" s="1003"/>
      <c r="P175" s="1003"/>
      <c r="Q175" s="1003"/>
    </row>
    <row r="176" spans="15:17" s="400" customFormat="1">
      <c r="O176" s="1003"/>
      <c r="P176" s="1003"/>
      <c r="Q176" s="1003"/>
    </row>
    <row r="177" spans="15:17" s="400" customFormat="1">
      <c r="O177" s="1003"/>
      <c r="P177" s="1003"/>
      <c r="Q177" s="1003"/>
    </row>
    <row r="178" spans="15:17" s="400" customFormat="1">
      <c r="O178" s="1003"/>
      <c r="P178" s="1003"/>
      <c r="Q178" s="1003"/>
    </row>
    <row r="179" spans="15:17" s="400" customFormat="1">
      <c r="O179" s="1003"/>
      <c r="P179" s="1003"/>
      <c r="Q179" s="1003"/>
    </row>
    <row r="180" spans="15:17" s="400" customFormat="1">
      <c r="O180" s="1003"/>
      <c r="P180" s="1003"/>
      <c r="Q180" s="1003"/>
    </row>
    <row r="181" spans="15:17" s="400" customFormat="1">
      <c r="O181" s="1003"/>
      <c r="P181" s="1003"/>
      <c r="Q181" s="1003"/>
    </row>
    <row r="182" spans="15:17" s="400" customFormat="1">
      <c r="O182" s="1003"/>
      <c r="P182" s="1003"/>
      <c r="Q182" s="1003"/>
    </row>
    <row r="183" spans="15:17" s="400" customFormat="1">
      <c r="O183" s="1003"/>
      <c r="P183" s="1003"/>
      <c r="Q183" s="1003"/>
    </row>
    <row r="184" spans="15:17" s="400" customFormat="1">
      <c r="O184" s="1003"/>
      <c r="P184" s="1003"/>
      <c r="Q184" s="1003"/>
    </row>
    <row r="185" spans="15:17" s="400" customFormat="1">
      <c r="O185" s="1003"/>
      <c r="P185" s="1003"/>
      <c r="Q185" s="1003"/>
    </row>
    <row r="186" spans="15:17" s="400" customFormat="1">
      <c r="O186" s="1003"/>
      <c r="P186" s="1003"/>
      <c r="Q186" s="1003"/>
    </row>
    <row r="187" spans="15:17" s="400" customFormat="1">
      <c r="O187" s="1003"/>
      <c r="P187" s="1003"/>
      <c r="Q187" s="1003"/>
    </row>
    <row r="188" spans="15:17" s="400" customFormat="1">
      <c r="O188" s="1003"/>
      <c r="P188" s="1003"/>
      <c r="Q188" s="1003"/>
    </row>
    <row r="189" spans="15:17" s="400" customFormat="1">
      <c r="O189" s="1003"/>
      <c r="P189" s="1003"/>
      <c r="Q189" s="1003"/>
    </row>
    <row r="190" spans="15:17" s="400" customFormat="1">
      <c r="O190" s="1003"/>
      <c r="P190" s="1003"/>
      <c r="Q190" s="1003"/>
    </row>
    <row r="191" spans="15:17" s="400" customFormat="1">
      <c r="O191" s="1003"/>
      <c r="P191" s="1003"/>
      <c r="Q191" s="1003"/>
    </row>
    <row r="192" spans="15:17" s="400" customFormat="1">
      <c r="O192" s="1003"/>
      <c r="P192" s="1003"/>
      <c r="Q192" s="1003"/>
    </row>
    <row r="193" spans="15:17" s="400" customFormat="1">
      <c r="O193" s="1003"/>
      <c r="P193" s="1003"/>
      <c r="Q193" s="1003"/>
    </row>
    <row r="194" spans="15:17" s="400" customFormat="1">
      <c r="O194" s="1003"/>
      <c r="P194" s="1003"/>
      <c r="Q194" s="1003"/>
    </row>
    <row r="195" spans="15:17" s="400" customFormat="1">
      <c r="O195" s="1003"/>
      <c r="P195" s="1003"/>
      <c r="Q195" s="1003"/>
    </row>
    <row r="196" spans="15:17" s="400" customFormat="1">
      <c r="O196" s="1003"/>
      <c r="P196" s="1003"/>
      <c r="Q196" s="1003"/>
    </row>
    <row r="197" spans="15:17" s="400" customFormat="1">
      <c r="O197" s="1003"/>
      <c r="P197" s="1003"/>
      <c r="Q197" s="1003"/>
    </row>
    <row r="198" spans="15:17" s="400" customFormat="1">
      <c r="O198" s="1003"/>
      <c r="P198" s="1003"/>
      <c r="Q198" s="1003"/>
    </row>
    <row r="199" spans="15:17" s="400" customFormat="1">
      <c r="O199" s="1003"/>
      <c r="P199" s="1003"/>
      <c r="Q199" s="1003"/>
    </row>
    <row r="200" spans="15:17" s="400" customFormat="1">
      <c r="O200" s="1003"/>
      <c r="P200" s="1003"/>
      <c r="Q200" s="1003"/>
    </row>
    <row r="201" spans="15:17" s="400" customFormat="1">
      <c r="O201" s="1003"/>
      <c r="P201" s="1003"/>
      <c r="Q201" s="1003"/>
    </row>
    <row r="202" spans="15:17" s="400" customFormat="1">
      <c r="O202" s="1003"/>
      <c r="P202" s="1003"/>
      <c r="Q202" s="1003"/>
    </row>
    <row r="203" spans="15:17" s="400" customFormat="1">
      <c r="O203" s="1003"/>
      <c r="P203" s="1003"/>
      <c r="Q203" s="1003"/>
    </row>
    <row r="204" spans="15:17" s="400" customFormat="1">
      <c r="O204" s="1003"/>
      <c r="P204" s="1003"/>
      <c r="Q204" s="1003"/>
    </row>
    <row r="205" spans="15:17" s="400" customFormat="1">
      <c r="O205" s="1003"/>
      <c r="P205" s="1003"/>
      <c r="Q205" s="1003"/>
    </row>
    <row r="206" spans="15:17" s="400" customFormat="1">
      <c r="O206" s="1003"/>
      <c r="P206" s="1003"/>
      <c r="Q206" s="1003"/>
    </row>
    <row r="207" spans="15:17" s="400" customFormat="1">
      <c r="O207" s="1003"/>
      <c r="P207" s="1003"/>
      <c r="Q207" s="1003"/>
    </row>
    <row r="208" spans="15:17" s="400" customFormat="1">
      <c r="O208" s="1003"/>
      <c r="P208" s="1003"/>
      <c r="Q208" s="1003"/>
    </row>
    <row r="209" spans="15:17" s="400" customFormat="1">
      <c r="O209" s="1003"/>
      <c r="P209" s="1003"/>
      <c r="Q209" s="1003"/>
    </row>
    <row r="210" spans="15:17" s="400" customFormat="1">
      <c r="O210" s="1003"/>
      <c r="P210" s="1003"/>
      <c r="Q210" s="1003"/>
    </row>
    <row r="211" spans="15:17" s="400" customFormat="1">
      <c r="O211" s="1003"/>
      <c r="P211" s="1003"/>
      <c r="Q211" s="1003"/>
    </row>
    <row r="212" spans="15:17" s="400" customFormat="1">
      <c r="O212" s="1003"/>
      <c r="P212" s="1003"/>
      <c r="Q212" s="1003"/>
    </row>
    <row r="213" spans="15:17" s="400" customFormat="1">
      <c r="O213" s="1003"/>
      <c r="P213" s="1003"/>
      <c r="Q213" s="1003"/>
    </row>
    <row r="214" spans="15:17" s="400" customFormat="1">
      <c r="O214" s="1003"/>
      <c r="P214" s="1003"/>
      <c r="Q214" s="1003"/>
    </row>
    <row r="215" spans="15:17" s="400" customFormat="1">
      <c r="O215" s="1003"/>
      <c r="P215" s="1003"/>
      <c r="Q215" s="1003"/>
    </row>
    <row r="216" spans="15:17" s="400" customFormat="1">
      <c r="O216" s="1003"/>
      <c r="P216" s="1003"/>
      <c r="Q216" s="1003"/>
    </row>
    <row r="217" spans="15:17" s="400" customFormat="1">
      <c r="O217" s="1003"/>
      <c r="P217" s="1003"/>
      <c r="Q217" s="1003"/>
    </row>
    <row r="218" spans="15:17" s="400" customFormat="1">
      <c r="O218" s="1003"/>
      <c r="P218" s="1003"/>
      <c r="Q218" s="1003"/>
    </row>
    <row r="219" spans="15:17" s="400" customFormat="1">
      <c r="O219" s="1003"/>
      <c r="P219" s="1003"/>
      <c r="Q219" s="1003"/>
    </row>
    <row r="220" spans="15:17" s="400" customFormat="1">
      <c r="O220" s="1003"/>
      <c r="P220" s="1003"/>
      <c r="Q220" s="1003"/>
    </row>
    <row r="221" spans="15:17" s="400" customFormat="1">
      <c r="O221" s="1003"/>
      <c r="P221" s="1003"/>
      <c r="Q221" s="1003"/>
    </row>
    <row r="222" spans="15:17" s="400" customFormat="1">
      <c r="O222" s="1003"/>
      <c r="P222" s="1003"/>
      <c r="Q222" s="1003"/>
    </row>
    <row r="223" spans="15:17" s="400" customFormat="1">
      <c r="O223" s="1003"/>
      <c r="P223" s="1003"/>
      <c r="Q223" s="1003"/>
    </row>
    <row r="224" spans="15:17" s="400" customFormat="1">
      <c r="O224" s="1003"/>
      <c r="P224" s="1003"/>
      <c r="Q224" s="1003"/>
    </row>
    <row r="225" spans="15:17" s="400" customFormat="1">
      <c r="O225" s="1003"/>
      <c r="P225" s="1003"/>
      <c r="Q225" s="1003"/>
    </row>
    <row r="226" spans="15:17" s="400" customFormat="1">
      <c r="O226" s="1003"/>
      <c r="P226" s="1003"/>
      <c r="Q226" s="1003"/>
    </row>
    <row r="227" spans="15:17" s="400" customFormat="1">
      <c r="O227" s="1003"/>
      <c r="P227" s="1003"/>
      <c r="Q227" s="1003"/>
    </row>
    <row r="228" spans="15:17" s="400" customFormat="1">
      <c r="O228" s="1003"/>
      <c r="P228" s="1003"/>
      <c r="Q228" s="1003"/>
    </row>
    <row r="229" spans="15:17" s="400" customFormat="1">
      <c r="O229" s="1003"/>
      <c r="P229" s="1003"/>
      <c r="Q229" s="1003"/>
    </row>
    <row r="230" spans="15:17" s="400" customFormat="1">
      <c r="O230" s="1003"/>
      <c r="P230" s="1003"/>
      <c r="Q230" s="1003"/>
    </row>
    <row r="231" spans="15:17" s="400" customFormat="1">
      <c r="O231" s="1003"/>
      <c r="P231" s="1003"/>
      <c r="Q231" s="1003"/>
    </row>
    <row r="232" spans="15:17" s="400" customFormat="1">
      <c r="O232" s="1003"/>
      <c r="P232" s="1003"/>
      <c r="Q232" s="1003"/>
    </row>
    <row r="233" spans="15:17" s="400" customFormat="1">
      <c r="O233" s="1003"/>
      <c r="P233" s="1003"/>
      <c r="Q233" s="1003"/>
    </row>
    <row r="234" spans="15:17" s="400" customFormat="1">
      <c r="O234" s="1003"/>
      <c r="P234" s="1003"/>
      <c r="Q234" s="1003"/>
    </row>
    <row r="235" spans="15:17" s="400" customFormat="1">
      <c r="O235" s="1003"/>
      <c r="P235" s="1003"/>
      <c r="Q235" s="1003"/>
    </row>
    <row r="236" spans="15:17" s="400" customFormat="1">
      <c r="O236" s="1003"/>
      <c r="P236" s="1003"/>
      <c r="Q236" s="1003"/>
    </row>
    <row r="237" spans="15:17" s="400" customFormat="1">
      <c r="O237" s="1003"/>
      <c r="P237" s="1003"/>
      <c r="Q237" s="1003"/>
    </row>
    <row r="238" spans="15:17" s="400" customFormat="1">
      <c r="O238" s="1003"/>
      <c r="P238" s="1003"/>
      <c r="Q238" s="1003"/>
    </row>
    <row r="239" spans="15:17" s="400" customFormat="1">
      <c r="O239" s="1003"/>
      <c r="P239" s="1003"/>
      <c r="Q239" s="1003"/>
    </row>
    <row r="240" spans="15:17" s="400" customFormat="1">
      <c r="O240" s="1003"/>
      <c r="P240" s="1003"/>
      <c r="Q240" s="1003"/>
    </row>
    <row r="241" spans="15:17" s="400" customFormat="1">
      <c r="O241" s="1003"/>
      <c r="P241" s="1003"/>
      <c r="Q241" s="1003"/>
    </row>
    <row r="242" spans="15:17" s="400" customFormat="1">
      <c r="O242" s="1003"/>
      <c r="P242" s="1003"/>
      <c r="Q242" s="1003"/>
    </row>
    <row r="243" spans="15:17" s="400" customFormat="1">
      <c r="O243" s="1003"/>
      <c r="P243" s="1003"/>
      <c r="Q243" s="1003"/>
    </row>
    <row r="244" spans="15:17" s="400" customFormat="1">
      <c r="O244" s="1003"/>
      <c r="P244" s="1003"/>
      <c r="Q244" s="1003"/>
    </row>
    <row r="245" spans="15:17" s="400" customFormat="1">
      <c r="O245" s="1003"/>
      <c r="P245" s="1003"/>
      <c r="Q245" s="1003"/>
    </row>
    <row r="246" spans="15:17" s="400" customFormat="1">
      <c r="O246" s="1003"/>
      <c r="P246" s="1003"/>
      <c r="Q246" s="1003"/>
    </row>
    <row r="247" spans="15:17" s="400" customFormat="1">
      <c r="O247" s="1003"/>
      <c r="P247" s="1003"/>
      <c r="Q247" s="1003"/>
    </row>
    <row r="248" spans="15:17" s="400" customFormat="1">
      <c r="O248" s="1003"/>
      <c r="P248" s="1003"/>
      <c r="Q248" s="1003"/>
    </row>
    <row r="249" spans="15:17" s="400" customFormat="1">
      <c r="O249" s="1003"/>
      <c r="P249" s="1003"/>
      <c r="Q249" s="1003"/>
    </row>
    <row r="250" spans="15:17" s="400" customFormat="1">
      <c r="O250" s="1003"/>
      <c r="P250" s="1003"/>
      <c r="Q250" s="1003"/>
    </row>
    <row r="251" spans="15:17" s="400" customFormat="1">
      <c r="O251" s="1003"/>
      <c r="P251" s="1003"/>
      <c r="Q251" s="1003"/>
    </row>
    <row r="252" spans="15:17" s="400" customFormat="1">
      <c r="O252" s="1003"/>
      <c r="P252" s="1003"/>
      <c r="Q252" s="1003"/>
    </row>
    <row r="253" spans="15:17" s="400" customFormat="1">
      <c r="O253" s="1003"/>
      <c r="P253" s="1003"/>
      <c r="Q253" s="1003"/>
    </row>
    <row r="254" spans="15:17" s="400" customFormat="1">
      <c r="O254" s="1003"/>
      <c r="P254" s="1003"/>
      <c r="Q254" s="1003"/>
    </row>
    <row r="255" spans="15:17" s="400" customFormat="1">
      <c r="O255" s="1003"/>
      <c r="P255" s="1003"/>
      <c r="Q255" s="1003"/>
    </row>
    <row r="256" spans="15:17" s="400" customFormat="1">
      <c r="O256" s="1003"/>
      <c r="P256" s="1003"/>
      <c r="Q256" s="1003"/>
    </row>
    <row r="257" spans="15:17" s="400" customFormat="1">
      <c r="O257" s="1003"/>
      <c r="P257" s="1003"/>
      <c r="Q257" s="1003"/>
    </row>
    <row r="258" spans="15:17" s="400" customFormat="1">
      <c r="O258" s="1003"/>
      <c r="P258" s="1003"/>
      <c r="Q258" s="1003"/>
    </row>
    <row r="259" spans="15:17" s="400" customFormat="1">
      <c r="O259" s="1003"/>
      <c r="P259" s="1003"/>
      <c r="Q259" s="1003"/>
    </row>
    <row r="260" spans="15:17" s="400" customFormat="1">
      <c r="O260" s="1003"/>
      <c r="P260" s="1003"/>
      <c r="Q260" s="1003"/>
    </row>
    <row r="261" spans="15:17" s="400" customFormat="1">
      <c r="O261" s="1003"/>
      <c r="P261" s="1003"/>
      <c r="Q261" s="1003"/>
    </row>
    <row r="262" spans="15:17" s="400" customFormat="1">
      <c r="O262" s="1003"/>
      <c r="P262" s="1003"/>
      <c r="Q262" s="1003"/>
    </row>
    <row r="263" spans="15:17" s="400" customFormat="1">
      <c r="O263" s="1003"/>
      <c r="P263" s="1003"/>
      <c r="Q263" s="1003"/>
    </row>
    <row r="264" spans="15:17" s="400" customFormat="1">
      <c r="O264" s="1003"/>
      <c r="P264" s="1003"/>
      <c r="Q264" s="1003"/>
    </row>
    <row r="265" spans="15:17" s="400" customFormat="1">
      <c r="O265" s="1003"/>
      <c r="P265" s="1003"/>
      <c r="Q265" s="1003"/>
    </row>
    <row r="266" spans="15:17" s="400" customFormat="1">
      <c r="O266" s="1003"/>
      <c r="P266" s="1003"/>
      <c r="Q266" s="1003"/>
    </row>
    <row r="267" spans="15:17" s="400" customFormat="1">
      <c r="O267" s="1003"/>
      <c r="P267" s="1003"/>
      <c r="Q267" s="1003"/>
    </row>
    <row r="268" spans="15:17" s="400" customFormat="1">
      <c r="O268" s="1003"/>
      <c r="P268" s="1003"/>
      <c r="Q268" s="1003"/>
    </row>
    <row r="269" spans="15:17" s="400" customFormat="1">
      <c r="O269" s="1003"/>
      <c r="P269" s="1003"/>
      <c r="Q269" s="1003"/>
    </row>
    <row r="270" spans="15:17" s="400" customFormat="1">
      <c r="O270" s="1003"/>
      <c r="P270" s="1003"/>
      <c r="Q270" s="1003"/>
    </row>
    <row r="271" spans="15:17" s="400" customFormat="1">
      <c r="O271" s="1003"/>
      <c r="P271" s="1003"/>
      <c r="Q271" s="1003"/>
    </row>
    <row r="272" spans="15:17" s="400" customFormat="1">
      <c r="O272" s="1003"/>
      <c r="P272" s="1003"/>
      <c r="Q272" s="1003"/>
    </row>
    <row r="273" spans="15:17" s="400" customFormat="1">
      <c r="O273" s="1003"/>
      <c r="P273" s="1003"/>
      <c r="Q273" s="1003"/>
    </row>
    <row r="274" spans="15:17" s="400" customFormat="1">
      <c r="O274" s="1003"/>
      <c r="P274" s="1003"/>
      <c r="Q274" s="1003"/>
    </row>
    <row r="275" spans="15:17" s="400" customFormat="1">
      <c r="O275" s="1003"/>
      <c r="P275" s="1003"/>
      <c r="Q275" s="1003"/>
    </row>
    <row r="276" spans="15:17" s="400" customFormat="1">
      <c r="O276" s="1003"/>
      <c r="P276" s="1003"/>
      <c r="Q276" s="1003"/>
    </row>
    <row r="277" spans="15:17" s="400" customFormat="1">
      <c r="O277" s="1003"/>
      <c r="P277" s="1003"/>
      <c r="Q277" s="1003"/>
    </row>
    <row r="278" spans="15:17" s="400" customFormat="1">
      <c r="O278" s="1003"/>
      <c r="P278" s="1003"/>
      <c r="Q278" s="1003"/>
    </row>
    <row r="279" spans="15:17" s="400" customFormat="1">
      <c r="O279" s="1003"/>
      <c r="P279" s="1003"/>
      <c r="Q279" s="1003"/>
    </row>
    <row r="280" spans="15:17" s="400" customFormat="1">
      <c r="O280" s="1003"/>
      <c r="P280" s="1003"/>
      <c r="Q280" s="1003"/>
    </row>
    <row r="281" spans="15:17" s="400" customFormat="1">
      <c r="O281" s="1003"/>
      <c r="P281" s="1003"/>
      <c r="Q281" s="1003"/>
    </row>
    <row r="282" spans="15:17" s="400" customFormat="1">
      <c r="O282" s="1003"/>
      <c r="P282" s="1003"/>
      <c r="Q282" s="1003"/>
    </row>
    <row r="283" spans="15:17" s="400" customFormat="1">
      <c r="O283" s="1003"/>
      <c r="P283" s="1003"/>
      <c r="Q283" s="1003"/>
    </row>
    <row r="284" spans="15:17" s="400" customFormat="1">
      <c r="O284" s="1003"/>
      <c r="P284" s="1003"/>
      <c r="Q284" s="1003"/>
    </row>
    <row r="285" spans="15:17" s="400" customFormat="1">
      <c r="O285" s="1003"/>
      <c r="P285" s="1003"/>
      <c r="Q285" s="1003"/>
    </row>
    <row r="286" spans="15:17" s="400" customFormat="1">
      <c r="O286" s="1003"/>
      <c r="P286" s="1003"/>
      <c r="Q286" s="1003"/>
    </row>
    <row r="287" spans="15:17" s="400" customFormat="1">
      <c r="O287" s="1003"/>
      <c r="P287" s="1003"/>
      <c r="Q287" s="1003"/>
    </row>
    <row r="288" spans="15:17" s="400" customFormat="1">
      <c r="O288" s="1003"/>
      <c r="P288" s="1003"/>
      <c r="Q288" s="1003"/>
    </row>
    <row r="289" spans="15:17" s="400" customFormat="1">
      <c r="O289" s="1003"/>
      <c r="P289" s="1003"/>
      <c r="Q289" s="1003"/>
    </row>
    <row r="290" spans="15:17" s="400" customFormat="1">
      <c r="O290" s="1003"/>
      <c r="P290" s="1003"/>
      <c r="Q290" s="1003"/>
    </row>
    <row r="291" spans="15:17" s="400" customFormat="1">
      <c r="O291" s="1003"/>
      <c r="P291" s="1003"/>
      <c r="Q291" s="1003"/>
    </row>
    <row r="292" spans="15:17" s="400" customFormat="1">
      <c r="O292" s="1003"/>
      <c r="P292" s="1003"/>
      <c r="Q292" s="1003"/>
    </row>
    <row r="293" spans="15:17" s="400" customFormat="1">
      <c r="O293" s="1003"/>
      <c r="P293" s="1003"/>
      <c r="Q293" s="1003"/>
    </row>
    <row r="294" spans="15:17" s="400" customFormat="1">
      <c r="O294" s="1003"/>
      <c r="P294" s="1003"/>
      <c r="Q294" s="1003"/>
    </row>
    <row r="295" spans="15:17" s="400" customFormat="1">
      <c r="O295" s="1003"/>
      <c r="P295" s="1003"/>
      <c r="Q295" s="1003"/>
    </row>
    <row r="296" spans="15:17" s="400" customFormat="1">
      <c r="O296" s="1003"/>
      <c r="P296" s="1003"/>
      <c r="Q296" s="1003"/>
    </row>
    <row r="297" spans="15:17" s="400" customFormat="1">
      <c r="O297" s="1003"/>
      <c r="P297" s="1003"/>
      <c r="Q297" s="1003"/>
    </row>
    <row r="298" spans="15:17" s="400" customFormat="1">
      <c r="O298" s="1003"/>
      <c r="P298" s="1003"/>
      <c r="Q298" s="1003"/>
    </row>
    <row r="299" spans="15:17" s="400" customFormat="1">
      <c r="O299" s="1003"/>
      <c r="P299" s="1003"/>
      <c r="Q299" s="1003"/>
    </row>
    <row r="300" spans="15:17" s="400" customFormat="1">
      <c r="O300" s="1003"/>
      <c r="P300" s="1003"/>
      <c r="Q300" s="1003"/>
    </row>
    <row r="301" spans="15:17" s="400" customFormat="1">
      <c r="O301" s="1003"/>
      <c r="P301" s="1003"/>
      <c r="Q301" s="1003"/>
    </row>
    <row r="302" spans="15:17" s="400" customFormat="1">
      <c r="O302" s="1003"/>
      <c r="P302" s="1003"/>
      <c r="Q302" s="1003"/>
    </row>
    <row r="303" spans="15:17" s="400" customFormat="1">
      <c r="O303" s="1003"/>
      <c r="P303" s="1003"/>
      <c r="Q303" s="1003"/>
    </row>
    <row r="304" spans="15:17" s="400" customFormat="1">
      <c r="O304" s="1003"/>
      <c r="P304" s="1003"/>
      <c r="Q304" s="1003"/>
    </row>
    <row r="305" spans="15:17" s="400" customFormat="1">
      <c r="O305" s="1003"/>
      <c r="P305" s="1003"/>
      <c r="Q305" s="1003"/>
    </row>
    <row r="306" spans="15:17" s="400" customFormat="1">
      <c r="O306" s="1003"/>
      <c r="P306" s="1003"/>
      <c r="Q306" s="1003"/>
    </row>
    <row r="307" spans="15:17" s="400" customFormat="1">
      <c r="O307" s="1003"/>
      <c r="P307" s="1003"/>
      <c r="Q307" s="1003"/>
    </row>
    <row r="308" spans="15:17" s="400" customFormat="1">
      <c r="O308" s="1003"/>
      <c r="P308" s="1003"/>
      <c r="Q308" s="1003"/>
    </row>
    <row r="309" spans="15:17" s="400" customFormat="1">
      <c r="O309" s="1003"/>
      <c r="P309" s="1003"/>
      <c r="Q309" s="1003"/>
    </row>
    <row r="310" spans="15:17" s="400" customFormat="1">
      <c r="O310" s="1003"/>
      <c r="P310" s="1003"/>
      <c r="Q310" s="1003"/>
    </row>
    <row r="311" spans="15:17" s="400" customFormat="1">
      <c r="O311" s="1003"/>
      <c r="P311" s="1003"/>
      <c r="Q311" s="1003"/>
    </row>
    <row r="312" spans="15:17" s="400" customFormat="1">
      <c r="O312" s="1003"/>
      <c r="P312" s="1003"/>
      <c r="Q312" s="1003"/>
    </row>
    <row r="313" spans="15:17" s="400" customFormat="1">
      <c r="O313" s="1003"/>
      <c r="P313" s="1003"/>
      <c r="Q313" s="1003"/>
    </row>
    <row r="314" spans="15:17" s="400" customFormat="1">
      <c r="O314" s="1003"/>
      <c r="P314" s="1003"/>
      <c r="Q314" s="1003"/>
    </row>
    <row r="315" spans="15:17" s="400" customFormat="1">
      <c r="O315" s="1003"/>
      <c r="P315" s="1003"/>
      <c r="Q315" s="1003"/>
    </row>
    <row r="316" spans="15:17" s="400" customFormat="1">
      <c r="O316" s="1003"/>
      <c r="P316" s="1003"/>
      <c r="Q316" s="1003"/>
    </row>
    <row r="317" spans="15:17" s="400" customFormat="1">
      <c r="O317" s="1003"/>
      <c r="P317" s="1003"/>
      <c r="Q317" s="1003"/>
    </row>
    <row r="318" spans="15:17" s="400" customFormat="1">
      <c r="O318" s="1003"/>
      <c r="P318" s="1003"/>
      <c r="Q318" s="1003"/>
    </row>
    <row r="319" spans="15:17" s="400" customFormat="1">
      <c r="O319" s="1003"/>
      <c r="P319" s="1003"/>
      <c r="Q319" s="1003"/>
    </row>
    <row r="320" spans="15:17" s="400" customFormat="1">
      <c r="O320" s="1003"/>
      <c r="P320" s="1003"/>
      <c r="Q320" s="1003"/>
    </row>
    <row r="321" spans="15:17" s="400" customFormat="1">
      <c r="O321" s="1003"/>
      <c r="P321" s="1003"/>
      <c r="Q321" s="1003"/>
    </row>
    <row r="322" spans="15:17" s="400" customFormat="1">
      <c r="O322" s="1003"/>
      <c r="P322" s="1003"/>
      <c r="Q322" s="1003"/>
    </row>
    <row r="323" spans="15:17" s="400" customFormat="1">
      <c r="O323" s="1003"/>
      <c r="P323" s="1003"/>
      <c r="Q323" s="1003"/>
    </row>
    <row r="324" spans="15:17" s="400" customFormat="1">
      <c r="O324" s="1003"/>
      <c r="P324" s="1003"/>
      <c r="Q324" s="1003"/>
    </row>
    <row r="325" spans="15:17" s="400" customFormat="1">
      <c r="O325" s="1003"/>
      <c r="P325" s="1003"/>
      <c r="Q325" s="1003"/>
    </row>
    <row r="326" spans="15:17" s="400" customFormat="1">
      <c r="O326" s="1003"/>
      <c r="P326" s="1003"/>
      <c r="Q326" s="1003"/>
    </row>
    <row r="327" spans="15:17" s="400" customFormat="1">
      <c r="O327" s="1003"/>
      <c r="P327" s="1003"/>
      <c r="Q327" s="1003"/>
    </row>
    <row r="328" spans="15:17" s="400" customFormat="1">
      <c r="O328" s="1003"/>
      <c r="P328" s="1003"/>
      <c r="Q328" s="1003"/>
    </row>
    <row r="329" spans="15:17" s="400" customFormat="1">
      <c r="O329" s="1003"/>
      <c r="P329" s="1003"/>
      <c r="Q329" s="1003"/>
    </row>
    <row r="330" spans="15:17" s="400" customFormat="1">
      <c r="O330" s="1003"/>
      <c r="P330" s="1003"/>
      <c r="Q330" s="1003"/>
    </row>
    <row r="331" spans="15:17" s="400" customFormat="1">
      <c r="O331" s="1003"/>
      <c r="P331" s="1003"/>
      <c r="Q331" s="1003"/>
    </row>
    <row r="332" spans="15:17" s="400" customFormat="1">
      <c r="O332" s="1003"/>
      <c r="P332" s="1003"/>
      <c r="Q332" s="1003"/>
    </row>
    <row r="333" spans="15:17" s="400" customFormat="1">
      <c r="O333" s="1003"/>
      <c r="P333" s="1003"/>
      <c r="Q333" s="1003"/>
    </row>
    <row r="334" spans="15:17" s="400" customFormat="1">
      <c r="O334" s="1003"/>
      <c r="P334" s="1003"/>
      <c r="Q334" s="1003"/>
    </row>
    <row r="335" spans="15:17" s="400" customFormat="1">
      <c r="O335" s="1003"/>
      <c r="P335" s="1003"/>
      <c r="Q335" s="1003"/>
    </row>
    <row r="336" spans="15:17" s="400" customFormat="1">
      <c r="O336" s="1003"/>
      <c r="P336" s="1003"/>
      <c r="Q336" s="1003"/>
    </row>
    <row r="337" spans="15:17" s="400" customFormat="1">
      <c r="O337" s="1003"/>
      <c r="P337" s="1003"/>
      <c r="Q337" s="1003"/>
    </row>
    <row r="338" spans="15:17" s="400" customFormat="1">
      <c r="O338" s="1003"/>
      <c r="P338" s="1003"/>
      <c r="Q338" s="1003"/>
    </row>
    <row r="339" spans="15:17" s="400" customFormat="1">
      <c r="O339" s="1003"/>
      <c r="P339" s="1003"/>
      <c r="Q339" s="1003"/>
    </row>
    <row r="340" spans="15:17" s="400" customFormat="1">
      <c r="O340" s="1003"/>
      <c r="P340" s="1003"/>
      <c r="Q340" s="1003"/>
    </row>
    <row r="341" spans="15:17" s="400" customFormat="1">
      <c r="O341" s="1003"/>
      <c r="P341" s="1003"/>
      <c r="Q341" s="1003"/>
    </row>
    <row r="342" spans="15:17" s="400" customFormat="1">
      <c r="O342" s="1003"/>
      <c r="P342" s="1003"/>
      <c r="Q342" s="1003"/>
    </row>
    <row r="343" spans="15:17" s="400" customFormat="1">
      <c r="O343" s="1003"/>
      <c r="P343" s="1003"/>
      <c r="Q343" s="1003"/>
    </row>
    <row r="344" spans="15:17" s="400" customFormat="1">
      <c r="O344" s="1003"/>
      <c r="P344" s="1003"/>
      <c r="Q344" s="1003"/>
    </row>
    <row r="345" spans="15:17" s="400" customFormat="1">
      <c r="O345" s="1003"/>
      <c r="P345" s="1003"/>
      <c r="Q345" s="1003"/>
    </row>
    <row r="346" spans="15:17" s="400" customFormat="1">
      <c r="O346" s="1003"/>
      <c r="P346" s="1003"/>
      <c r="Q346" s="1003"/>
    </row>
    <row r="347" spans="15:17" s="400" customFormat="1">
      <c r="O347" s="1003"/>
      <c r="P347" s="1003"/>
      <c r="Q347" s="1003"/>
    </row>
    <row r="348" spans="15:17" s="400" customFormat="1">
      <c r="O348" s="1003"/>
      <c r="P348" s="1003"/>
      <c r="Q348" s="1003"/>
    </row>
    <row r="349" spans="15:17" s="400" customFormat="1">
      <c r="O349" s="1003"/>
      <c r="P349" s="1003"/>
      <c r="Q349" s="1003"/>
    </row>
    <row r="350" spans="15:17" s="400" customFormat="1">
      <c r="O350" s="1003"/>
      <c r="P350" s="1003"/>
      <c r="Q350" s="1003"/>
    </row>
    <row r="351" spans="15:17" s="400" customFormat="1">
      <c r="O351" s="1003"/>
      <c r="P351" s="1003"/>
      <c r="Q351" s="1003"/>
    </row>
    <row r="352" spans="15:17" s="400" customFormat="1">
      <c r="O352" s="1003"/>
      <c r="P352" s="1003"/>
      <c r="Q352" s="1003"/>
    </row>
    <row r="353" spans="15:17" s="400" customFormat="1">
      <c r="O353" s="1003"/>
      <c r="P353" s="1003"/>
      <c r="Q353" s="1003"/>
    </row>
    <row r="354" spans="15:17" s="400" customFormat="1">
      <c r="O354" s="1003"/>
      <c r="P354" s="1003"/>
      <c r="Q354" s="1003"/>
    </row>
    <row r="355" spans="15:17" s="400" customFormat="1">
      <c r="O355" s="1003"/>
      <c r="P355" s="1003"/>
      <c r="Q355" s="1003"/>
    </row>
    <row r="356" spans="15:17" s="400" customFormat="1">
      <c r="O356" s="1003"/>
      <c r="P356" s="1003"/>
      <c r="Q356" s="1003"/>
    </row>
    <row r="357" spans="15:17" s="400" customFormat="1">
      <c r="O357" s="1003"/>
      <c r="P357" s="1003"/>
      <c r="Q357" s="1003"/>
    </row>
    <row r="358" spans="15:17" s="400" customFormat="1">
      <c r="O358" s="1003"/>
      <c r="P358" s="1003"/>
      <c r="Q358" s="1003"/>
    </row>
    <row r="359" spans="15:17" s="400" customFormat="1">
      <c r="O359" s="1003"/>
      <c r="P359" s="1003"/>
      <c r="Q359" s="1003"/>
    </row>
    <row r="360" spans="15:17" s="400" customFormat="1">
      <c r="O360" s="1003"/>
      <c r="P360" s="1003"/>
      <c r="Q360" s="1003"/>
    </row>
    <row r="361" spans="15:17" s="400" customFormat="1">
      <c r="O361" s="1003"/>
      <c r="P361" s="1003"/>
      <c r="Q361" s="1003"/>
    </row>
    <row r="362" spans="15:17" s="400" customFormat="1">
      <c r="O362" s="1003"/>
      <c r="P362" s="1003"/>
      <c r="Q362" s="1003"/>
    </row>
    <row r="363" spans="15:17" s="400" customFormat="1">
      <c r="O363" s="1003"/>
      <c r="P363" s="1003"/>
      <c r="Q363" s="1003"/>
    </row>
    <row r="364" spans="15:17" s="400" customFormat="1">
      <c r="O364" s="1003"/>
      <c r="P364" s="1003"/>
      <c r="Q364" s="1003"/>
    </row>
    <row r="365" spans="15:17" s="400" customFormat="1">
      <c r="O365" s="1003"/>
      <c r="P365" s="1003"/>
      <c r="Q365" s="1003"/>
    </row>
    <row r="366" spans="15:17" s="400" customFormat="1">
      <c r="O366" s="1003"/>
      <c r="P366" s="1003"/>
      <c r="Q366" s="1003"/>
    </row>
    <row r="367" spans="15:17" s="400" customFormat="1">
      <c r="O367" s="1003"/>
      <c r="P367" s="1003"/>
      <c r="Q367" s="1003"/>
    </row>
    <row r="368" spans="15:17" s="400" customFormat="1">
      <c r="O368" s="1003"/>
      <c r="P368" s="1003"/>
      <c r="Q368" s="1003"/>
    </row>
    <row r="369" spans="15:17" s="400" customFormat="1">
      <c r="O369" s="1003"/>
      <c r="P369" s="1003"/>
      <c r="Q369" s="1003"/>
    </row>
    <row r="370" spans="15:17" s="400" customFormat="1">
      <c r="O370" s="1003"/>
      <c r="P370" s="1003"/>
      <c r="Q370" s="1003"/>
    </row>
    <row r="371" spans="15:17" s="400" customFormat="1">
      <c r="O371" s="1003"/>
      <c r="P371" s="1003"/>
      <c r="Q371" s="1003"/>
    </row>
    <row r="372" spans="15:17" s="400" customFormat="1">
      <c r="O372" s="1003"/>
      <c r="P372" s="1003"/>
      <c r="Q372" s="1003"/>
    </row>
    <row r="373" spans="15:17" s="400" customFormat="1">
      <c r="O373" s="1003"/>
      <c r="P373" s="1003"/>
      <c r="Q373" s="1003"/>
    </row>
    <row r="374" spans="15:17" s="400" customFormat="1">
      <c r="O374" s="1003"/>
      <c r="P374" s="1003"/>
      <c r="Q374" s="1003"/>
    </row>
    <row r="375" spans="15:17" s="400" customFormat="1">
      <c r="O375" s="1003"/>
      <c r="P375" s="1003"/>
      <c r="Q375" s="1003"/>
    </row>
    <row r="376" spans="15:17" s="400" customFormat="1">
      <c r="O376" s="1003"/>
      <c r="P376" s="1003"/>
      <c r="Q376" s="1003"/>
    </row>
    <row r="377" spans="15:17" s="400" customFormat="1">
      <c r="O377" s="1003"/>
      <c r="P377" s="1003"/>
      <c r="Q377" s="1003"/>
    </row>
    <row r="378" spans="15:17" s="400" customFormat="1">
      <c r="O378" s="1003"/>
      <c r="P378" s="1003"/>
      <c r="Q378" s="1003"/>
    </row>
    <row r="379" spans="15:17" s="400" customFormat="1">
      <c r="O379" s="1003"/>
      <c r="P379" s="1003"/>
      <c r="Q379" s="1003"/>
    </row>
    <row r="380" spans="15:17" s="400" customFormat="1">
      <c r="O380" s="1003"/>
      <c r="P380" s="1003"/>
      <c r="Q380" s="1003"/>
    </row>
    <row r="381" spans="15:17" s="400" customFormat="1">
      <c r="O381" s="1003"/>
      <c r="P381" s="1003"/>
      <c r="Q381" s="1003"/>
    </row>
    <row r="382" spans="15:17" s="400" customFormat="1">
      <c r="O382" s="1003"/>
      <c r="P382" s="1003"/>
      <c r="Q382" s="1003"/>
    </row>
    <row r="383" spans="15:17" s="400" customFormat="1">
      <c r="O383" s="1003"/>
      <c r="P383" s="1003"/>
      <c r="Q383" s="1003"/>
    </row>
    <row r="384" spans="15:17" s="400" customFormat="1">
      <c r="O384" s="1003"/>
      <c r="P384" s="1003"/>
      <c r="Q384" s="1003"/>
    </row>
    <row r="385" spans="15:17" s="400" customFormat="1">
      <c r="O385" s="1003"/>
      <c r="P385" s="1003"/>
      <c r="Q385" s="1003"/>
    </row>
    <row r="386" spans="15:17" s="400" customFormat="1">
      <c r="O386" s="1003"/>
      <c r="P386" s="1003"/>
      <c r="Q386" s="1003"/>
    </row>
    <row r="387" spans="15:17" s="400" customFormat="1">
      <c r="O387" s="1003"/>
      <c r="P387" s="1003"/>
      <c r="Q387" s="1003"/>
    </row>
    <row r="388" spans="15:17" s="400" customFormat="1">
      <c r="O388" s="1003"/>
      <c r="P388" s="1003"/>
      <c r="Q388" s="1003"/>
    </row>
    <row r="389" spans="15:17" s="400" customFormat="1">
      <c r="O389" s="1003"/>
      <c r="P389" s="1003"/>
      <c r="Q389" s="1003"/>
    </row>
    <row r="390" spans="15:17" s="400" customFormat="1">
      <c r="O390" s="1003"/>
      <c r="P390" s="1003"/>
      <c r="Q390" s="1003"/>
    </row>
    <row r="391" spans="15:17" s="400" customFormat="1">
      <c r="O391" s="1003"/>
      <c r="P391" s="1003"/>
      <c r="Q391" s="1003"/>
    </row>
    <row r="392" spans="15:17" s="400" customFormat="1">
      <c r="O392" s="1003"/>
      <c r="P392" s="1003"/>
      <c r="Q392" s="1003"/>
    </row>
    <row r="393" spans="15:17" s="400" customFormat="1">
      <c r="O393" s="1003"/>
      <c r="P393" s="1003"/>
      <c r="Q393" s="1003"/>
    </row>
    <row r="394" spans="15:17" s="400" customFormat="1">
      <c r="O394" s="1003"/>
      <c r="P394" s="1003"/>
      <c r="Q394" s="1003"/>
    </row>
    <row r="395" spans="15:17" s="400" customFormat="1">
      <c r="O395" s="1003"/>
      <c r="P395" s="1003"/>
      <c r="Q395" s="1003"/>
    </row>
    <row r="396" spans="15:17" s="400" customFormat="1">
      <c r="O396" s="1003"/>
      <c r="P396" s="1003"/>
      <c r="Q396" s="1003"/>
    </row>
    <row r="397" spans="15:17" s="400" customFormat="1">
      <c r="O397" s="1003"/>
      <c r="P397" s="1003"/>
      <c r="Q397" s="1003"/>
    </row>
    <row r="398" spans="15:17" s="400" customFormat="1">
      <c r="O398" s="1003"/>
      <c r="P398" s="1003"/>
      <c r="Q398" s="1003"/>
    </row>
    <row r="399" spans="15:17" s="400" customFormat="1">
      <c r="O399" s="1003"/>
      <c r="P399" s="1003"/>
      <c r="Q399" s="1003"/>
    </row>
    <row r="400" spans="15:17" s="400" customFormat="1">
      <c r="O400" s="1003"/>
      <c r="P400" s="1003"/>
      <c r="Q400" s="1003"/>
    </row>
    <row r="401" spans="15:17" s="400" customFormat="1">
      <c r="O401" s="1003"/>
      <c r="P401" s="1003"/>
      <c r="Q401" s="1003"/>
    </row>
    <row r="402" spans="15:17" s="400" customFormat="1">
      <c r="O402" s="1003"/>
      <c r="P402" s="1003"/>
      <c r="Q402" s="1003"/>
    </row>
    <row r="403" spans="15:17" s="400" customFormat="1">
      <c r="O403" s="1003"/>
      <c r="P403" s="1003"/>
      <c r="Q403" s="1003"/>
    </row>
    <row r="404" spans="15:17" s="400" customFormat="1">
      <c r="O404" s="1003"/>
      <c r="P404" s="1003"/>
      <c r="Q404" s="1003"/>
    </row>
    <row r="405" spans="15:17" s="400" customFormat="1">
      <c r="O405" s="1003"/>
      <c r="P405" s="1003"/>
      <c r="Q405" s="1003"/>
    </row>
    <row r="406" spans="15:17" s="400" customFormat="1">
      <c r="O406" s="1003"/>
      <c r="P406" s="1003"/>
      <c r="Q406" s="1003"/>
    </row>
    <row r="407" spans="15:17" s="400" customFormat="1">
      <c r="O407" s="1003"/>
      <c r="P407" s="1003"/>
      <c r="Q407" s="1003"/>
    </row>
    <row r="408" spans="15:17" s="400" customFormat="1">
      <c r="O408" s="1003"/>
      <c r="P408" s="1003"/>
      <c r="Q408" s="1003"/>
    </row>
    <row r="409" spans="15:17" s="400" customFormat="1">
      <c r="O409" s="1003"/>
      <c r="P409" s="1003"/>
      <c r="Q409" s="1003"/>
    </row>
    <row r="410" spans="15:17" s="400" customFormat="1">
      <c r="O410" s="1003"/>
      <c r="P410" s="1003"/>
      <c r="Q410" s="1003"/>
    </row>
    <row r="411" spans="15:17" s="400" customFormat="1">
      <c r="O411" s="1003"/>
      <c r="P411" s="1003"/>
      <c r="Q411" s="1003"/>
    </row>
    <row r="412" spans="15:17" s="400" customFormat="1">
      <c r="O412" s="1003"/>
      <c r="P412" s="1003"/>
      <c r="Q412" s="1003"/>
    </row>
    <row r="413" spans="15:17" s="400" customFormat="1">
      <c r="O413" s="1003"/>
      <c r="P413" s="1003"/>
      <c r="Q413" s="1003"/>
    </row>
    <row r="414" spans="15:17" s="400" customFormat="1">
      <c r="O414" s="1003"/>
      <c r="P414" s="1003"/>
      <c r="Q414" s="1003"/>
    </row>
    <row r="415" spans="15:17" s="400" customFormat="1">
      <c r="O415" s="1003"/>
      <c r="P415" s="1003"/>
      <c r="Q415" s="1003"/>
    </row>
    <row r="416" spans="15:17" s="400" customFormat="1">
      <c r="O416" s="1003"/>
      <c r="P416" s="1003"/>
      <c r="Q416" s="1003"/>
    </row>
    <row r="417" spans="15:17" s="400" customFormat="1">
      <c r="O417" s="1003"/>
      <c r="P417" s="1003"/>
      <c r="Q417" s="1003"/>
    </row>
    <row r="418" spans="15:17" s="400" customFormat="1">
      <c r="O418" s="1003"/>
      <c r="P418" s="1003"/>
      <c r="Q418" s="1003"/>
    </row>
    <row r="419" spans="15:17" s="400" customFormat="1">
      <c r="O419" s="1003"/>
      <c r="P419" s="1003"/>
      <c r="Q419" s="1003"/>
    </row>
    <row r="420" spans="15:17" s="400" customFormat="1">
      <c r="O420" s="1003"/>
      <c r="P420" s="1003"/>
      <c r="Q420" s="1003"/>
    </row>
    <row r="421" spans="15:17" s="400" customFormat="1">
      <c r="O421" s="1003"/>
      <c r="P421" s="1003"/>
      <c r="Q421" s="1003"/>
    </row>
    <row r="422" spans="15:17" s="400" customFormat="1">
      <c r="O422" s="1003"/>
      <c r="P422" s="1003"/>
      <c r="Q422" s="1003"/>
    </row>
    <row r="423" spans="15:17" s="400" customFormat="1">
      <c r="O423" s="1003"/>
      <c r="P423" s="1003"/>
      <c r="Q423" s="1003"/>
    </row>
    <row r="424" spans="15:17" s="400" customFormat="1">
      <c r="O424" s="1003"/>
      <c r="P424" s="1003"/>
      <c r="Q424" s="1003"/>
    </row>
    <row r="425" spans="15:17" s="400" customFormat="1">
      <c r="O425" s="1003"/>
      <c r="P425" s="1003"/>
      <c r="Q425" s="1003"/>
    </row>
    <row r="426" spans="15:17" s="400" customFormat="1">
      <c r="O426" s="1003"/>
      <c r="P426" s="1003"/>
      <c r="Q426" s="1003"/>
    </row>
    <row r="427" spans="15:17" s="400" customFormat="1">
      <c r="O427" s="1003"/>
      <c r="P427" s="1003"/>
      <c r="Q427" s="1003"/>
    </row>
    <row r="428" spans="15:17" s="400" customFormat="1">
      <c r="O428" s="1003"/>
      <c r="P428" s="1003"/>
      <c r="Q428" s="1003"/>
    </row>
    <row r="429" spans="15:17" s="400" customFormat="1">
      <c r="O429" s="1003"/>
      <c r="P429" s="1003"/>
      <c r="Q429" s="1003"/>
    </row>
    <row r="430" spans="15:17" s="400" customFormat="1">
      <c r="O430" s="1003"/>
      <c r="P430" s="1003"/>
      <c r="Q430" s="1003"/>
    </row>
    <row r="431" spans="15:17" s="400" customFormat="1">
      <c r="O431" s="1003"/>
      <c r="P431" s="1003"/>
      <c r="Q431" s="1003"/>
    </row>
    <row r="432" spans="15:17" s="400" customFormat="1">
      <c r="O432" s="1003"/>
      <c r="P432" s="1003"/>
      <c r="Q432" s="1003"/>
    </row>
    <row r="433" spans="15:17" s="400" customFormat="1">
      <c r="O433" s="1003"/>
      <c r="P433" s="1003"/>
      <c r="Q433" s="1003"/>
    </row>
    <row r="434" spans="15:17" s="400" customFormat="1">
      <c r="O434" s="1003"/>
      <c r="P434" s="1003"/>
      <c r="Q434" s="1003"/>
    </row>
    <row r="435" spans="15:17" s="400" customFormat="1">
      <c r="O435" s="1003"/>
      <c r="P435" s="1003"/>
      <c r="Q435" s="1003"/>
    </row>
    <row r="436" spans="15:17" s="400" customFormat="1">
      <c r="O436" s="1003"/>
      <c r="P436" s="1003"/>
      <c r="Q436" s="1003"/>
    </row>
    <row r="437" spans="15:17" s="400" customFormat="1">
      <c r="O437" s="1003"/>
      <c r="P437" s="1003"/>
      <c r="Q437" s="1003"/>
    </row>
    <row r="438" spans="15:17" s="400" customFormat="1">
      <c r="O438" s="1003"/>
      <c r="P438" s="1003"/>
      <c r="Q438" s="1003"/>
    </row>
    <row r="439" spans="15:17" s="400" customFormat="1">
      <c r="O439" s="1003"/>
      <c r="P439" s="1003"/>
      <c r="Q439" s="1003"/>
    </row>
    <row r="440" spans="15:17" s="400" customFormat="1">
      <c r="O440" s="1003"/>
      <c r="P440" s="1003"/>
      <c r="Q440" s="1003"/>
    </row>
    <row r="441" spans="15:17" s="400" customFormat="1">
      <c r="O441" s="1003"/>
      <c r="P441" s="1003"/>
      <c r="Q441" s="1003"/>
    </row>
    <row r="442" spans="15:17" s="400" customFormat="1">
      <c r="O442" s="1003"/>
      <c r="P442" s="1003"/>
      <c r="Q442" s="1003"/>
    </row>
    <row r="443" spans="15:17" s="400" customFormat="1">
      <c r="O443" s="1003"/>
      <c r="P443" s="1003"/>
      <c r="Q443" s="1003"/>
    </row>
    <row r="444" spans="15:17" s="400" customFormat="1">
      <c r="O444" s="1003"/>
      <c r="P444" s="1003"/>
      <c r="Q444" s="1003"/>
    </row>
    <row r="445" spans="15:17" s="400" customFormat="1">
      <c r="O445" s="1003"/>
      <c r="P445" s="1003"/>
      <c r="Q445" s="1003"/>
    </row>
    <row r="446" spans="15:17" s="400" customFormat="1">
      <c r="O446" s="1003"/>
      <c r="P446" s="1003"/>
      <c r="Q446" s="1003"/>
    </row>
    <row r="447" spans="15:17" s="400" customFormat="1">
      <c r="O447" s="1003"/>
      <c r="P447" s="1003"/>
      <c r="Q447" s="1003"/>
    </row>
    <row r="448" spans="15:17" s="400" customFormat="1">
      <c r="O448" s="1003"/>
      <c r="P448" s="1003"/>
      <c r="Q448" s="1003"/>
    </row>
    <row r="449" spans="15:17" s="400" customFormat="1">
      <c r="O449" s="1003"/>
      <c r="P449" s="1003"/>
      <c r="Q449" s="1003"/>
    </row>
    <row r="450" spans="15:17" s="400" customFormat="1">
      <c r="O450" s="1003"/>
      <c r="P450" s="1003"/>
      <c r="Q450" s="1003"/>
    </row>
    <row r="451" spans="15:17" s="400" customFormat="1">
      <c r="O451" s="1003"/>
      <c r="P451" s="1003"/>
      <c r="Q451" s="1003"/>
    </row>
    <row r="452" spans="15:17" s="400" customFormat="1">
      <c r="O452" s="1003"/>
      <c r="P452" s="1003"/>
      <c r="Q452" s="1003"/>
    </row>
    <row r="453" spans="15:17" s="400" customFormat="1">
      <c r="O453" s="1003"/>
      <c r="P453" s="1003"/>
      <c r="Q453" s="1003"/>
    </row>
    <row r="454" spans="15:17" s="400" customFormat="1">
      <c r="O454" s="1003"/>
      <c r="P454" s="1003"/>
      <c r="Q454" s="1003"/>
    </row>
    <row r="455" spans="15:17" s="400" customFormat="1">
      <c r="O455" s="1003"/>
      <c r="P455" s="1003"/>
      <c r="Q455" s="1003"/>
    </row>
    <row r="456" spans="15:17" s="400" customFormat="1">
      <c r="O456" s="1003"/>
      <c r="P456" s="1003"/>
      <c r="Q456" s="1003"/>
    </row>
    <row r="457" spans="15:17" s="400" customFormat="1">
      <c r="O457" s="1003"/>
      <c r="P457" s="1003"/>
      <c r="Q457" s="1003"/>
    </row>
    <row r="458" spans="15:17" s="400" customFormat="1">
      <c r="O458" s="1003"/>
      <c r="P458" s="1003"/>
      <c r="Q458" s="1003"/>
    </row>
    <row r="459" spans="15:17" s="400" customFormat="1">
      <c r="O459" s="1003"/>
      <c r="P459" s="1003"/>
      <c r="Q459" s="1003"/>
    </row>
    <row r="460" spans="15:17" s="400" customFormat="1">
      <c r="O460" s="1003"/>
      <c r="P460" s="1003"/>
      <c r="Q460" s="1003"/>
    </row>
    <row r="461" spans="15:17" s="400" customFormat="1">
      <c r="O461" s="1003"/>
      <c r="P461" s="1003"/>
      <c r="Q461" s="1003"/>
    </row>
    <row r="462" spans="15:17" s="400" customFormat="1">
      <c r="O462" s="1003"/>
      <c r="P462" s="1003"/>
      <c r="Q462" s="1003"/>
    </row>
    <row r="463" spans="15:17" s="400" customFormat="1">
      <c r="O463" s="1003"/>
      <c r="P463" s="1003"/>
      <c r="Q463" s="1003"/>
    </row>
    <row r="464" spans="15:17" s="400" customFormat="1">
      <c r="O464" s="1003"/>
      <c r="P464" s="1003"/>
      <c r="Q464" s="1003"/>
    </row>
    <row r="465" spans="15:17" s="400" customFormat="1">
      <c r="O465" s="1003"/>
      <c r="P465" s="1003"/>
      <c r="Q465" s="1003"/>
    </row>
    <row r="466" spans="15:17" s="400" customFormat="1">
      <c r="O466" s="1003"/>
      <c r="P466" s="1003"/>
      <c r="Q466" s="1003"/>
    </row>
    <row r="467" spans="15:17" s="400" customFormat="1">
      <c r="O467" s="1003"/>
      <c r="P467" s="1003"/>
      <c r="Q467" s="1003"/>
    </row>
    <row r="468" spans="15:17" s="400" customFormat="1">
      <c r="O468" s="1003"/>
      <c r="P468" s="1003"/>
      <c r="Q468" s="1003"/>
    </row>
    <row r="469" spans="15:17" s="400" customFormat="1">
      <c r="O469" s="1003"/>
      <c r="P469" s="1003"/>
      <c r="Q469" s="1003"/>
    </row>
    <row r="470" spans="15:17" s="400" customFormat="1">
      <c r="O470" s="1003"/>
      <c r="P470" s="1003"/>
      <c r="Q470" s="1003"/>
    </row>
    <row r="471" spans="15:17" s="400" customFormat="1">
      <c r="O471" s="1003"/>
      <c r="P471" s="1003"/>
      <c r="Q471" s="1003"/>
    </row>
    <row r="472" spans="15:17" s="400" customFormat="1">
      <c r="O472" s="1003"/>
      <c r="P472" s="1003"/>
      <c r="Q472" s="1003"/>
    </row>
    <row r="473" spans="15:17" s="400" customFormat="1">
      <c r="O473" s="1003"/>
      <c r="P473" s="1003"/>
      <c r="Q473" s="1003"/>
    </row>
    <row r="474" spans="15:17" s="400" customFormat="1">
      <c r="O474" s="1003"/>
      <c r="P474" s="1003"/>
      <c r="Q474" s="1003"/>
    </row>
    <row r="475" spans="15:17" s="400" customFormat="1">
      <c r="O475" s="1003"/>
      <c r="P475" s="1003"/>
      <c r="Q475" s="1003"/>
    </row>
    <row r="476" spans="15:17" s="400" customFormat="1">
      <c r="O476" s="1003"/>
      <c r="P476" s="1003"/>
      <c r="Q476" s="1003"/>
    </row>
    <row r="477" spans="15:17" s="400" customFormat="1">
      <c r="O477" s="1003"/>
      <c r="P477" s="1003"/>
      <c r="Q477" s="1003"/>
    </row>
    <row r="478" spans="15:17" s="400" customFormat="1">
      <c r="O478" s="1003"/>
      <c r="P478" s="1003"/>
      <c r="Q478" s="1003"/>
    </row>
    <row r="479" spans="15:17" s="400" customFormat="1">
      <c r="O479" s="1003"/>
      <c r="P479" s="1003"/>
      <c r="Q479" s="1003"/>
    </row>
    <row r="480" spans="15:17" s="400" customFormat="1">
      <c r="O480" s="1003"/>
      <c r="P480" s="1003"/>
      <c r="Q480" s="1003"/>
    </row>
    <row r="481" spans="15:17" s="400" customFormat="1">
      <c r="O481" s="1003"/>
      <c r="P481" s="1003"/>
      <c r="Q481" s="1003"/>
    </row>
    <row r="482" spans="15:17" s="400" customFormat="1">
      <c r="O482" s="1003"/>
      <c r="P482" s="1003"/>
      <c r="Q482" s="1003"/>
    </row>
    <row r="483" spans="15:17" s="400" customFormat="1">
      <c r="O483" s="1003"/>
      <c r="P483" s="1003"/>
      <c r="Q483" s="1003"/>
    </row>
    <row r="484" spans="15:17" s="400" customFormat="1">
      <c r="O484" s="1003"/>
      <c r="P484" s="1003"/>
      <c r="Q484" s="1003"/>
    </row>
    <row r="485" spans="15:17" s="400" customFormat="1">
      <c r="O485" s="1003"/>
      <c r="P485" s="1003"/>
      <c r="Q485" s="1003"/>
    </row>
    <row r="486" spans="15:17" s="400" customFormat="1">
      <c r="O486" s="1003"/>
      <c r="P486" s="1003"/>
      <c r="Q486" s="1003"/>
    </row>
    <row r="487" spans="15:17" s="400" customFormat="1">
      <c r="O487" s="1003"/>
      <c r="P487" s="1003"/>
      <c r="Q487" s="1003"/>
    </row>
    <row r="488" spans="15:17" s="400" customFormat="1">
      <c r="O488" s="1003"/>
      <c r="P488" s="1003"/>
      <c r="Q488" s="1003"/>
    </row>
    <row r="489" spans="15:17" s="400" customFormat="1">
      <c r="O489" s="1003"/>
      <c r="P489" s="1003"/>
      <c r="Q489" s="1003"/>
    </row>
    <row r="490" spans="15:17" s="400" customFormat="1">
      <c r="O490" s="1003"/>
      <c r="P490" s="1003"/>
      <c r="Q490" s="1003"/>
    </row>
    <row r="491" spans="15:17" s="400" customFormat="1">
      <c r="O491" s="1003"/>
      <c r="P491" s="1003"/>
      <c r="Q491" s="1003"/>
    </row>
    <row r="492" spans="15:17" s="400" customFormat="1">
      <c r="O492" s="1003"/>
      <c r="P492" s="1003"/>
      <c r="Q492" s="1003"/>
    </row>
    <row r="493" spans="15:17" s="400" customFormat="1">
      <c r="O493" s="1003"/>
      <c r="P493" s="1003"/>
      <c r="Q493" s="1003"/>
    </row>
    <row r="494" spans="15:17" s="400" customFormat="1">
      <c r="O494" s="1003"/>
      <c r="P494" s="1003"/>
      <c r="Q494" s="1003"/>
    </row>
    <row r="495" spans="15:17" s="400" customFormat="1">
      <c r="O495" s="1003"/>
      <c r="P495" s="1003"/>
      <c r="Q495" s="1003"/>
    </row>
    <row r="496" spans="15:17" s="400" customFormat="1">
      <c r="O496" s="1003"/>
      <c r="P496" s="1003"/>
      <c r="Q496" s="1003"/>
    </row>
    <row r="497" spans="15:17" s="400" customFormat="1">
      <c r="O497" s="1003"/>
      <c r="P497" s="1003"/>
      <c r="Q497" s="1003"/>
    </row>
    <row r="498" spans="15:17" s="400" customFormat="1">
      <c r="O498" s="1003"/>
      <c r="P498" s="1003"/>
      <c r="Q498" s="1003"/>
    </row>
    <row r="499" spans="15:17" s="400" customFormat="1">
      <c r="O499" s="1003"/>
      <c r="P499" s="1003"/>
      <c r="Q499" s="1003"/>
    </row>
    <row r="500" spans="15:17" s="400" customFormat="1">
      <c r="O500" s="1003"/>
      <c r="P500" s="1003"/>
      <c r="Q500" s="1003"/>
    </row>
    <row r="501" spans="15:17" s="400" customFormat="1">
      <c r="O501" s="1003"/>
      <c r="P501" s="1003"/>
      <c r="Q501" s="1003"/>
    </row>
    <row r="502" spans="15:17" s="400" customFormat="1">
      <c r="O502" s="1003"/>
      <c r="P502" s="1003"/>
      <c r="Q502" s="1003"/>
    </row>
    <row r="503" spans="15:17" s="400" customFormat="1">
      <c r="O503" s="1003"/>
      <c r="P503" s="1003"/>
      <c r="Q503" s="1003"/>
    </row>
    <row r="504" spans="15:17" s="400" customFormat="1">
      <c r="O504" s="1003"/>
      <c r="P504" s="1003"/>
      <c r="Q504" s="1003"/>
    </row>
    <row r="505" spans="15:17" s="400" customFormat="1">
      <c r="O505" s="1003"/>
      <c r="P505" s="1003"/>
      <c r="Q505" s="1003"/>
    </row>
    <row r="506" spans="15:17" s="400" customFormat="1">
      <c r="O506" s="1003"/>
      <c r="P506" s="1003"/>
      <c r="Q506" s="1003"/>
    </row>
    <row r="507" spans="15:17" s="400" customFormat="1">
      <c r="O507" s="1003"/>
      <c r="P507" s="1003"/>
      <c r="Q507" s="1003"/>
    </row>
    <row r="508" spans="15:17" s="400" customFormat="1">
      <c r="O508" s="1003"/>
      <c r="P508" s="1003"/>
      <c r="Q508" s="1003"/>
    </row>
    <row r="509" spans="15:17" s="400" customFormat="1">
      <c r="O509" s="1003"/>
      <c r="P509" s="1003"/>
      <c r="Q509" s="1003"/>
    </row>
    <row r="510" spans="15:17" s="400" customFormat="1">
      <c r="O510" s="1003"/>
      <c r="P510" s="1003"/>
      <c r="Q510" s="1003"/>
    </row>
    <row r="511" spans="15:17" s="400" customFormat="1">
      <c r="O511" s="1003"/>
      <c r="P511" s="1003"/>
      <c r="Q511" s="1003"/>
    </row>
    <row r="512" spans="15:17" s="400" customFormat="1">
      <c r="O512" s="1003"/>
      <c r="P512" s="1003"/>
      <c r="Q512" s="1003"/>
    </row>
    <row r="513" spans="15:17" s="400" customFormat="1">
      <c r="O513" s="1003"/>
      <c r="P513" s="1003"/>
      <c r="Q513" s="1003"/>
    </row>
    <row r="514" spans="15:17" s="400" customFormat="1">
      <c r="O514" s="1003"/>
      <c r="P514" s="1003"/>
      <c r="Q514" s="1003"/>
    </row>
    <row r="515" spans="15:17" s="400" customFormat="1">
      <c r="O515" s="1003"/>
      <c r="P515" s="1003"/>
      <c r="Q515" s="1003"/>
    </row>
    <row r="516" spans="15:17" s="400" customFormat="1">
      <c r="O516" s="1003"/>
      <c r="P516" s="1003"/>
      <c r="Q516" s="1003"/>
    </row>
    <row r="517" spans="15:17" s="400" customFormat="1">
      <c r="O517" s="1003"/>
      <c r="P517" s="1003"/>
      <c r="Q517" s="1003"/>
    </row>
    <row r="518" spans="15:17" s="400" customFormat="1">
      <c r="O518" s="1003"/>
      <c r="P518" s="1003"/>
      <c r="Q518" s="1003"/>
    </row>
    <row r="519" spans="15:17" s="400" customFormat="1">
      <c r="O519" s="1003"/>
      <c r="P519" s="1003"/>
      <c r="Q519" s="1003"/>
    </row>
    <row r="520" spans="15:17" s="400" customFormat="1">
      <c r="O520" s="1003"/>
      <c r="P520" s="1003"/>
      <c r="Q520" s="1003"/>
    </row>
    <row r="521" spans="15:17" s="400" customFormat="1">
      <c r="O521" s="1003"/>
      <c r="P521" s="1003"/>
      <c r="Q521" s="1003"/>
    </row>
    <row r="522" spans="15:17" s="400" customFormat="1">
      <c r="O522" s="1003"/>
      <c r="P522" s="1003"/>
      <c r="Q522" s="1003"/>
    </row>
    <row r="523" spans="15:17" s="400" customFormat="1">
      <c r="O523" s="1003"/>
      <c r="P523" s="1003"/>
      <c r="Q523" s="1003"/>
    </row>
    <row r="524" spans="15:17" s="400" customFormat="1">
      <c r="O524" s="1003"/>
      <c r="P524" s="1003"/>
      <c r="Q524" s="1003"/>
    </row>
    <row r="525" spans="15:17" s="400" customFormat="1">
      <c r="O525" s="1003"/>
      <c r="P525" s="1003"/>
      <c r="Q525" s="1003"/>
    </row>
    <row r="526" spans="15:17" s="400" customFormat="1">
      <c r="O526" s="1003"/>
      <c r="P526" s="1003"/>
      <c r="Q526" s="1003"/>
    </row>
    <row r="527" spans="15:17" s="400" customFormat="1">
      <c r="O527" s="1003"/>
      <c r="P527" s="1003"/>
      <c r="Q527" s="1003"/>
    </row>
    <row r="528" spans="15:17" s="400" customFormat="1">
      <c r="O528" s="1003"/>
      <c r="P528" s="1003"/>
      <c r="Q528" s="1003"/>
    </row>
    <row r="529" spans="15:17" s="400" customFormat="1">
      <c r="O529" s="1003"/>
      <c r="P529" s="1003"/>
      <c r="Q529" s="1003"/>
    </row>
    <row r="530" spans="15:17" s="400" customFormat="1">
      <c r="O530" s="1003"/>
      <c r="P530" s="1003"/>
      <c r="Q530" s="1003"/>
    </row>
    <row r="531" spans="15:17" s="400" customFormat="1">
      <c r="O531" s="1003"/>
      <c r="P531" s="1003"/>
      <c r="Q531" s="1003"/>
    </row>
    <row r="532" spans="15:17" s="400" customFormat="1">
      <c r="O532" s="1003"/>
      <c r="P532" s="1003"/>
      <c r="Q532" s="1003"/>
    </row>
    <row r="533" spans="15:17" s="400" customFormat="1">
      <c r="O533" s="1003"/>
      <c r="P533" s="1003"/>
      <c r="Q533" s="1003"/>
    </row>
    <row r="534" spans="15:17" s="400" customFormat="1">
      <c r="O534" s="1003"/>
      <c r="P534" s="1003"/>
      <c r="Q534" s="1003"/>
    </row>
    <row r="535" spans="15:17" s="400" customFormat="1">
      <c r="O535" s="1003"/>
      <c r="P535" s="1003"/>
      <c r="Q535" s="1003"/>
    </row>
    <row r="536" spans="15:17" s="400" customFormat="1">
      <c r="O536" s="1003"/>
      <c r="P536" s="1003"/>
      <c r="Q536" s="1003"/>
    </row>
    <row r="537" spans="15:17" s="400" customFormat="1">
      <c r="O537" s="1003"/>
      <c r="P537" s="1003"/>
      <c r="Q537" s="1003"/>
    </row>
    <row r="538" spans="15:17" s="400" customFormat="1">
      <c r="O538" s="1003"/>
      <c r="P538" s="1003"/>
      <c r="Q538" s="1003"/>
    </row>
    <row r="539" spans="15:17" s="400" customFormat="1">
      <c r="O539" s="1003"/>
      <c r="P539" s="1003"/>
      <c r="Q539" s="1003"/>
    </row>
    <row r="540" spans="15:17" s="400" customFormat="1">
      <c r="O540" s="1003"/>
      <c r="P540" s="1003"/>
      <c r="Q540" s="1003"/>
    </row>
    <row r="541" spans="15:17" s="400" customFormat="1">
      <c r="O541" s="1003"/>
      <c r="P541" s="1003"/>
      <c r="Q541" s="1003"/>
    </row>
    <row r="542" spans="15:17" s="400" customFormat="1">
      <c r="O542" s="1003"/>
      <c r="P542" s="1003"/>
      <c r="Q542" s="1003"/>
    </row>
    <row r="543" spans="15:17" s="400" customFormat="1">
      <c r="O543" s="1003"/>
      <c r="P543" s="1003"/>
      <c r="Q543" s="1003"/>
    </row>
    <row r="544" spans="15:17" s="400" customFormat="1">
      <c r="O544" s="1003"/>
      <c r="P544" s="1003"/>
      <c r="Q544" s="1003"/>
    </row>
    <row r="545" spans="15:17" s="400" customFormat="1">
      <c r="O545" s="1003"/>
      <c r="P545" s="1003"/>
      <c r="Q545" s="1003"/>
    </row>
    <row r="546" spans="15:17" s="400" customFormat="1">
      <c r="O546" s="1003"/>
      <c r="P546" s="1003"/>
      <c r="Q546" s="1003"/>
    </row>
    <row r="547" spans="15:17" s="400" customFormat="1">
      <c r="O547" s="1003"/>
      <c r="P547" s="1003"/>
      <c r="Q547" s="1003"/>
    </row>
    <row r="548" spans="15:17" s="400" customFormat="1">
      <c r="O548" s="1003"/>
      <c r="P548" s="1003"/>
      <c r="Q548" s="1003"/>
    </row>
    <row r="549" spans="15:17" s="400" customFormat="1">
      <c r="O549" s="1003"/>
      <c r="P549" s="1003"/>
      <c r="Q549" s="1003"/>
    </row>
    <row r="550" spans="15:17" s="400" customFormat="1">
      <c r="O550" s="1003"/>
      <c r="P550" s="1003"/>
      <c r="Q550" s="1003"/>
    </row>
    <row r="551" spans="15:17" s="400" customFormat="1">
      <c r="O551" s="1003"/>
      <c r="P551" s="1003"/>
      <c r="Q551" s="1003"/>
    </row>
    <row r="552" spans="15:17" s="400" customFormat="1">
      <c r="O552" s="1003"/>
      <c r="P552" s="1003"/>
      <c r="Q552" s="1003"/>
    </row>
    <row r="553" spans="15:17" s="400" customFormat="1">
      <c r="O553" s="1003"/>
      <c r="P553" s="1003"/>
      <c r="Q553" s="1003"/>
    </row>
    <row r="554" spans="15:17" s="400" customFormat="1">
      <c r="O554" s="1003"/>
      <c r="P554" s="1003"/>
      <c r="Q554" s="1003"/>
    </row>
    <row r="555" spans="15:17" s="400" customFormat="1">
      <c r="O555" s="1003"/>
      <c r="P555" s="1003"/>
      <c r="Q555" s="1003"/>
    </row>
    <row r="556" spans="15:17" s="400" customFormat="1">
      <c r="O556" s="1003"/>
      <c r="P556" s="1003"/>
      <c r="Q556" s="1003"/>
    </row>
    <row r="557" spans="15:17" s="400" customFormat="1">
      <c r="O557" s="1003"/>
      <c r="P557" s="1003"/>
      <c r="Q557" s="1003"/>
    </row>
    <row r="558" spans="15:17" s="400" customFormat="1">
      <c r="O558" s="1003"/>
      <c r="P558" s="1003"/>
      <c r="Q558" s="1003"/>
    </row>
    <row r="559" spans="15:17" s="400" customFormat="1">
      <c r="O559" s="1003"/>
      <c r="P559" s="1003"/>
      <c r="Q559" s="1003"/>
    </row>
    <row r="560" spans="15:17" s="400" customFormat="1">
      <c r="O560" s="1003"/>
      <c r="P560" s="1003"/>
      <c r="Q560" s="1003"/>
    </row>
    <row r="561" spans="15:17" s="400" customFormat="1">
      <c r="O561" s="1003"/>
      <c r="P561" s="1003"/>
      <c r="Q561" s="1003"/>
    </row>
    <row r="562" spans="15:17" s="400" customFormat="1">
      <c r="O562" s="1003"/>
      <c r="P562" s="1003"/>
      <c r="Q562" s="1003"/>
    </row>
    <row r="563" spans="15:17" s="400" customFormat="1">
      <c r="O563" s="1003"/>
      <c r="P563" s="1003"/>
      <c r="Q563" s="1003"/>
    </row>
    <row r="564" spans="15:17" s="400" customFormat="1">
      <c r="O564" s="1003"/>
      <c r="P564" s="1003"/>
      <c r="Q564" s="1003"/>
    </row>
    <row r="565" spans="15:17" s="400" customFormat="1">
      <c r="O565" s="1003"/>
      <c r="P565" s="1003"/>
      <c r="Q565" s="1003"/>
    </row>
    <row r="566" spans="15:17" s="400" customFormat="1">
      <c r="O566" s="1003"/>
      <c r="P566" s="1003"/>
      <c r="Q566" s="1003"/>
    </row>
    <row r="567" spans="15:17" s="400" customFormat="1">
      <c r="O567" s="1003"/>
      <c r="P567" s="1003"/>
      <c r="Q567" s="1003"/>
    </row>
    <row r="568" spans="15:17" s="400" customFormat="1">
      <c r="O568" s="1003"/>
      <c r="P568" s="1003"/>
      <c r="Q568" s="1003"/>
    </row>
    <row r="569" spans="15:17" s="400" customFormat="1">
      <c r="O569" s="1003"/>
      <c r="P569" s="1003"/>
      <c r="Q569" s="1003"/>
    </row>
    <row r="570" spans="15:17" s="400" customFormat="1">
      <c r="O570" s="1003"/>
      <c r="P570" s="1003"/>
      <c r="Q570" s="1003"/>
    </row>
    <row r="571" spans="15:17" s="400" customFormat="1">
      <c r="O571" s="1003"/>
      <c r="P571" s="1003"/>
      <c r="Q571" s="1003"/>
    </row>
    <row r="572" spans="15:17" s="400" customFormat="1">
      <c r="O572" s="1003"/>
      <c r="P572" s="1003"/>
      <c r="Q572" s="1003"/>
    </row>
    <row r="573" spans="15:17" s="400" customFormat="1">
      <c r="O573" s="1003"/>
      <c r="P573" s="1003"/>
      <c r="Q573" s="1003"/>
    </row>
    <row r="574" spans="15:17" s="400" customFormat="1">
      <c r="O574" s="1003"/>
      <c r="P574" s="1003"/>
      <c r="Q574" s="1003"/>
    </row>
    <row r="575" spans="15:17" s="400" customFormat="1">
      <c r="O575" s="1003"/>
      <c r="P575" s="1003"/>
      <c r="Q575" s="1003"/>
    </row>
    <row r="576" spans="15:17" s="400" customFormat="1">
      <c r="O576" s="1003"/>
      <c r="P576" s="1003"/>
      <c r="Q576" s="1003"/>
    </row>
    <row r="577" spans="15:17" s="400" customFormat="1">
      <c r="O577" s="1003"/>
      <c r="P577" s="1003"/>
      <c r="Q577" s="1003"/>
    </row>
    <row r="578" spans="15:17" s="400" customFormat="1">
      <c r="O578" s="1003"/>
      <c r="P578" s="1003"/>
      <c r="Q578" s="1003"/>
    </row>
    <row r="579" spans="15:17" s="400" customFormat="1">
      <c r="O579" s="1003"/>
      <c r="P579" s="1003"/>
      <c r="Q579" s="1003"/>
    </row>
    <row r="580" spans="15:17" s="400" customFormat="1">
      <c r="O580" s="1003"/>
      <c r="P580" s="1003"/>
      <c r="Q580" s="1003"/>
    </row>
    <row r="581" spans="15:17" s="400" customFormat="1">
      <c r="O581" s="1003"/>
      <c r="P581" s="1003"/>
      <c r="Q581" s="1003"/>
    </row>
    <row r="582" spans="15:17" s="400" customFormat="1">
      <c r="O582" s="1003"/>
      <c r="P582" s="1003"/>
      <c r="Q582" s="1003"/>
    </row>
    <row r="583" spans="15:17" s="400" customFormat="1">
      <c r="O583" s="1003"/>
      <c r="P583" s="1003"/>
      <c r="Q583" s="1003"/>
    </row>
    <row r="584" spans="15:17" s="400" customFormat="1">
      <c r="O584" s="1003"/>
      <c r="P584" s="1003"/>
      <c r="Q584" s="1003"/>
    </row>
    <row r="585" spans="15:17" s="400" customFormat="1">
      <c r="O585" s="1003"/>
      <c r="P585" s="1003"/>
      <c r="Q585" s="1003"/>
    </row>
    <row r="586" spans="15:17" s="400" customFormat="1">
      <c r="O586" s="1003"/>
      <c r="P586" s="1003"/>
      <c r="Q586" s="1003"/>
    </row>
    <row r="587" spans="15:17" s="400" customFormat="1">
      <c r="O587" s="1003"/>
      <c r="P587" s="1003"/>
      <c r="Q587" s="1003"/>
    </row>
    <row r="588" spans="15:17" s="400" customFormat="1">
      <c r="O588" s="1003"/>
      <c r="P588" s="1003"/>
      <c r="Q588" s="1003"/>
    </row>
    <row r="589" spans="15:17" s="400" customFormat="1">
      <c r="O589" s="1003"/>
      <c r="P589" s="1003"/>
      <c r="Q589" s="1003"/>
    </row>
    <row r="590" spans="15:17" s="400" customFormat="1">
      <c r="O590" s="1003"/>
      <c r="P590" s="1003"/>
      <c r="Q590" s="1003"/>
    </row>
    <row r="591" spans="15:17" s="400" customFormat="1">
      <c r="O591" s="1003"/>
      <c r="P591" s="1003"/>
      <c r="Q591" s="1003"/>
    </row>
    <row r="592" spans="15:17" s="400" customFormat="1">
      <c r="O592" s="1003"/>
      <c r="P592" s="1003"/>
      <c r="Q592" s="1003"/>
    </row>
    <row r="593" spans="15:17" s="400" customFormat="1">
      <c r="O593" s="1003"/>
      <c r="P593" s="1003"/>
      <c r="Q593" s="1003"/>
    </row>
    <row r="594" spans="15:17" s="400" customFormat="1">
      <c r="O594" s="1003"/>
      <c r="P594" s="1003"/>
      <c r="Q594" s="1003"/>
    </row>
    <row r="595" spans="15:17" s="400" customFormat="1">
      <c r="O595" s="1003"/>
      <c r="P595" s="1003"/>
      <c r="Q595" s="1003"/>
    </row>
    <row r="596" spans="15:17" s="400" customFormat="1">
      <c r="O596" s="1003"/>
      <c r="P596" s="1003"/>
      <c r="Q596" s="1003"/>
    </row>
    <row r="597" spans="15:17" s="400" customFormat="1">
      <c r="O597" s="1003"/>
      <c r="P597" s="1003"/>
      <c r="Q597" s="1003"/>
    </row>
    <row r="598" spans="15:17" s="400" customFormat="1">
      <c r="O598" s="1003"/>
      <c r="P598" s="1003"/>
      <c r="Q598" s="1003"/>
    </row>
    <row r="599" spans="15:17" s="400" customFormat="1">
      <c r="O599" s="1003"/>
      <c r="P599" s="1003"/>
      <c r="Q599" s="1003"/>
    </row>
    <row r="600" spans="15:17" s="400" customFormat="1">
      <c r="O600" s="1003"/>
      <c r="P600" s="1003"/>
      <c r="Q600" s="1003"/>
    </row>
    <row r="601" spans="15:17" s="400" customFormat="1">
      <c r="O601" s="1003"/>
      <c r="P601" s="1003"/>
      <c r="Q601" s="1003"/>
    </row>
    <row r="602" spans="15:17" s="400" customFormat="1">
      <c r="O602" s="1003"/>
      <c r="P602" s="1003"/>
      <c r="Q602" s="1003"/>
    </row>
    <row r="603" spans="15:17" s="400" customFormat="1">
      <c r="O603" s="1003"/>
      <c r="P603" s="1003"/>
      <c r="Q603" s="1003"/>
    </row>
    <row r="604" spans="15:17" s="400" customFormat="1">
      <c r="O604" s="1003"/>
      <c r="P604" s="1003"/>
      <c r="Q604" s="1003"/>
    </row>
    <row r="605" spans="15:17" s="400" customFormat="1">
      <c r="O605" s="1003"/>
      <c r="P605" s="1003"/>
      <c r="Q605" s="1003"/>
    </row>
    <row r="606" spans="15:17" s="400" customFormat="1">
      <c r="O606" s="1003"/>
      <c r="P606" s="1003"/>
      <c r="Q606" s="1003"/>
    </row>
    <row r="607" spans="15:17" s="400" customFormat="1">
      <c r="O607" s="1003"/>
      <c r="P607" s="1003"/>
      <c r="Q607" s="1003"/>
    </row>
    <row r="608" spans="15:17" s="400" customFormat="1">
      <c r="O608" s="1003"/>
      <c r="P608" s="1003"/>
      <c r="Q608" s="1003"/>
    </row>
    <row r="609" spans="15:17" s="400" customFormat="1">
      <c r="O609" s="1003"/>
      <c r="P609" s="1003"/>
      <c r="Q609" s="1003"/>
    </row>
    <row r="610" spans="15:17" s="400" customFormat="1">
      <c r="O610" s="1003"/>
      <c r="P610" s="1003"/>
      <c r="Q610" s="1003"/>
    </row>
    <row r="611" spans="15:17" s="400" customFormat="1">
      <c r="O611" s="1003"/>
      <c r="P611" s="1003"/>
      <c r="Q611" s="1003"/>
    </row>
    <row r="612" spans="15:17" s="400" customFormat="1">
      <c r="O612" s="1003"/>
      <c r="P612" s="1003"/>
      <c r="Q612" s="1003"/>
    </row>
    <row r="613" spans="15:17" s="400" customFormat="1">
      <c r="O613" s="1003"/>
      <c r="P613" s="1003"/>
      <c r="Q613" s="1003"/>
    </row>
    <row r="614" spans="15:17" s="400" customFormat="1">
      <c r="O614" s="1003"/>
      <c r="P614" s="1003"/>
      <c r="Q614" s="1003"/>
    </row>
    <row r="615" spans="15:17" s="400" customFormat="1">
      <c r="O615" s="1003"/>
      <c r="P615" s="1003"/>
      <c r="Q615" s="1003"/>
    </row>
    <row r="616" spans="15:17" s="400" customFormat="1">
      <c r="O616" s="1003"/>
      <c r="P616" s="1003"/>
      <c r="Q616" s="1003"/>
    </row>
    <row r="617" spans="15:17" s="400" customFormat="1">
      <c r="O617" s="1003"/>
      <c r="P617" s="1003"/>
      <c r="Q617" s="1003"/>
    </row>
    <row r="618" spans="15:17" s="400" customFormat="1">
      <c r="O618" s="1003"/>
      <c r="P618" s="1003"/>
      <c r="Q618" s="1003"/>
    </row>
    <row r="619" spans="15:17" s="400" customFormat="1">
      <c r="O619" s="1003"/>
      <c r="P619" s="1003"/>
      <c r="Q619" s="1003"/>
    </row>
    <row r="620" spans="15:17" s="400" customFormat="1">
      <c r="O620" s="1003"/>
      <c r="P620" s="1003"/>
      <c r="Q620" s="1003"/>
    </row>
    <row r="621" spans="15:17" s="400" customFormat="1">
      <c r="O621" s="1003"/>
      <c r="P621" s="1003"/>
      <c r="Q621" s="1003"/>
    </row>
    <row r="622" spans="15:17" s="400" customFormat="1">
      <c r="O622" s="1003"/>
      <c r="P622" s="1003"/>
      <c r="Q622" s="1003"/>
    </row>
    <row r="623" spans="15:17" s="400" customFormat="1">
      <c r="O623" s="1003"/>
      <c r="P623" s="1003"/>
      <c r="Q623" s="1003"/>
    </row>
    <row r="624" spans="15:17" s="400" customFormat="1">
      <c r="O624" s="1003"/>
      <c r="P624" s="1003"/>
      <c r="Q624" s="1003"/>
    </row>
    <row r="625" spans="15:17" s="400" customFormat="1">
      <c r="O625" s="1003"/>
      <c r="P625" s="1003"/>
      <c r="Q625" s="1003"/>
    </row>
    <row r="626" spans="15:17" s="400" customFormat="1">
      <c r="O626" s="1003"/>
      <c r="P626" s="1003"/>
      <c r="Q626" s="1003"/>
    </row>
    <row r="627" spans="15:17" s="400" customFormat="1">
      <c r="O627" s="1003"/>
      <c r="P627" s="1003"/>
      <c r="Q627" s="1003"/>
    </row>
    <row r="628" spans="15:17" s="400" customFormat="1">
      <c r="O628" s="1003"/>
      <c r="P628" s="1003"/>
      <c r="Q628" s="1003"/>
    </row>
    <row r="629" spans="15:17" s="400" customFormat="1">
      <c r="O629" s="1003"/>
      <c r="P629" s="1003"/>
      <c r="Q629" s="1003"/>
    </row>
    <row r="630" spans="15:17" s="400" customFormat="1">
      <c r="O630" s="1003"/>
      <c r="P630" s="1003"/>
      <c r="Q630" s="1003"/>
    </row>
    <row r="631" spans="15:17" s="400" customFormat="1">
      <c r="O631" s="1003"/>
      <c r="P631" s="1003"/>
      <c r="Q631" s="1003"/>
    </row>
    <row r="632" spans="15:17" s="400" customFormat="1">
      <c r="O632" s="1003"/>
      <c r="P632" s="1003"/>
      <c r="Q632" s="1003"/>
    </row>
    <row r="633" spans="15:17" s="400" customFormat="1">
      <c r="O633" s="1003"/>
      <c r="P633" s="1003"/>
      <c r="Q633" s="1003"/>
    </row>
    <row r="634" spans="15:17" s="400" customFormat="1">
      <c r="O634" s="1003"/>
      <c r="P634" s="1003"/>
      <c r="Q634" s="1003"/>
    </row>
    <row r="635" spans="15:17" s="400" customFormat="1">
      <c r="O635" s="1003"/>
      <c r="P635" s="1003"/>
      <c r="Q635" s="1003"/>
    </row>
    <row r="636" spans="15:17" s="400" customFormat="1">
      <c r="O636" s="1003"/>
      <c r="P636" s="1003"/>
      <c r="Q636" s="1003"/>
    </row>
    <row r="637" spans="15:17" s="400" customFormat="1">
      <c r="O637" s="1003"/>
      <c r="P637" s="1003"/>
      <c r="Q637" s="1003"/>
    </row>
    <row r="638" spans="15:17" s="400" customFormat="1">
      <c r="O638" s="1003"/>
      <c r="P638" s="1003"/>
      <c r="Q638" s="1003"/>
    </row>
    <row r="639" spans="15:17" s="400" customFormat="1">
      <c r="O639" s="1003"/>
      <c r="P639" s="1003"/>
      <c r="Q639" s="1003"/>
    </row>
    <row r="640" spans="15:17" s="400" customFormat="1">
      <c r="O640" s="1003"/>
      <c r="P640" s="1003"/>
      <c r="Q640" s="1003"/>
    </row>
    <row r="641" spans="15:17" s="400" customFormat="1">
      <c r="O641" s="1003"/>
      <c r="P641" s="1003"/>
      <c r="Q641" s="1003"/>
    </row>
    <row r="642" spans="15:17" s="400" customFormat="1">
      <c r="O642" s="1003"/>
      <c r="P642" s="1003"/>
      <c r="Q642" s="1003"/>
    </row>
    <row r="643" spans="15:17" s="400" customFormat="1">
      <c r="O643" s="1003"/>
      <c r="P643" s="1003"/>
      <c r="Q643" s="1003"/>
    </row>
    <row r="644" spans="15:17" s="400" customFormat="1">
      <c r="O644" s="1003"/>
      <c r="P644" s="1003"/>
      <c r="Q644" s="1003"/>
    </row>
    <row r="645" spans="15:17" s="400" customFormat="1">
      <c r="O645" s="1003"/>
      <c r="P645" s="1003"/>
      <c r="Q645" s="1003"/>
    </row>
    <row r="646" spans="15:17" s="400" customFormat="1">
      <c r="O646" s="1003"/>
      <c r="P646" s="1003"/>
      <c r="Q646" s="1003"/>
    </row>
    <row r="647" spans="15:17" s="400" customFormat="1">
      <c r="O647" s="1003"/>
      <c r="P647" s="1003"/>
      <c r="Q647" s="1003"/>
    </row>
    <row r="648" spans="15:17" s="400" customFormat="1">
      <c r="O648" s="1003"/>
      <c r="P648" s="1003"/>
      <c r="Q648" s="1003"/>
    </row>
    <row r="649" spans="15:17" s="400" customFormat="1">
      <c r="O649" s="1003"/>
      <c r="P649" s="1003"/>
      <c r="Q649" s="1003"/>
    </row>
    <row r="650" spans="15:17" s="400" customFormat="1">
      <c r="O650" s="1003"/>
      <c r="P650" s="1003"/>
      <c r="Q650" s="1003"/>
    </row>
    <row r="651" spans="15:17" s="400" customFormat="1">
      <c r="O651" s="1003"/>
      <c r="P651" s="1003"/>
      <c r="Q651" s="1003"/>
    </row>
    <row r="652" spans="15:17" s="400" customFormat="1">
      <c r="O652" s="1003"/>
      <c r="P652" s="1003"/>
      <c r="Q652" s="1003"/>
    </row>
    <row r="653" spans="15:17" s="400" customFormat="1">
      <c r="O653" s="1003"/>
      <c r="P653" s="1003"/>
      <c r="Q653" s="1003"/>
    </row>
    <row r="654" spans="15:17" s="400" customFormat="1">
      <c r="O654" s="1003"/>
      <c r="P654" s="1003"/>
      <c r="Q654" s="1003"/>
    </row>
    <row r="655" spans="15:17" s="400" customFormat="1">
      <c r="O655" s="1003"/>
      <c r="P655" s="1003"/>
      <c r="Q655" s="1003"/>
    </row>
    <row r="656" spans="15:17" s="400" customFormat="1">
      <c r="O656" s="1003"/>
      <c r="P656" s="1003"/>
      <c r="Q656" s="1003"/>
    </row>
    <row r="657" spans="15:17" s="400" customFormat="1">
      <c r="O657" s="1003"/>
      <c r="P657" s="1003"/>
      <c r="Q657" s="1003"/>
    </row>
    <row r="658" spans="15:17" s="400" customFormat="1">
      <c r="O658" s="1003"/>
      <c r="P658" s="1003"/>
      <c r="Q658" s="1003"/>
    </row>
    <row r="659" spans="15:17" s="400" customFormat="1">
      <c r="O659" s="1003"/>
      <c r="P659" s="1003"/>
      <c r="Q659" s="1003"/>
    </row>
    <row r="660" spans="15:17" s="400" customFormat="1">
      <c r="O660" s="1003"/>
      <c r="P660" s="1003"/>
      <c r="Q660" s="1003"/>
    </row>
    <row r="661" spans="15:17" s="400" customFormat="1">
      <c r="O661" s="1003"/>
      <c r="P661" s="1003"/>
      <c r="Q661" s="1003"/>
    </row>
    <row r="662" spans="15:17" s="400" customFormat="1">
      <c r="O662" s="1003"/>
      <c r="P662" s="1003"/>
      <c r="Q662" s="1003"/>
    </row>
    <row r="663" spans="15:17" s="400" customFormat="1">
      <c r="O663" s="1003"/>
      <c r="P663" s="1003"/>
      <c r="Q663" s="1003"/>
    </row>
    <row r="664" spans="15:17" s="400" customFormat="1">
      <c r="O664" s="1003"/>
      <c r="P664" s="1003"/>
      <c r="Q664" s="1003"/>
    </row>
    <row r="665" spans="15:17" s="400" customFormat="1">
      <c r="O665" s="1003"/>
      <c r="P665" s="1003"/>
      <c r="Q665" s="1003"/>
    </row>
    <row r="666" spans="15:17" s="400" customFormat="1">
      <c r="O666" s="1003"/>
      <c r="P666" s="1003"/>
      <c r="Q666" s="1003"/>
    </row>
    <row r="667" spans="15:17" s="400" customFormat="1">
      <c r="O667" s="1003"/>
      <c r="P667" s="1003"/>
      <c r="Q667" s="1003"/>
    </row>
    <row r="668" spans="15:17" s="400" customFormat="1">
      <c r="O668" s="1003"/>
      <c r="P668" s="1003"/>
      <c r="Q668" s="1003"/>
    </row>
    <row r="669" spans="15:17" s="400" customFormat="1">
      <c r="O669" s="1003"/>
      <c r="P669" s="1003"/>
      <c r="Q669" s="1003"/>
    </row>
    <row r="670" spans="15:17" s="400" customFormat="1">
      <c r="O670" s="1003"/>
      <c r="P670" s="1003"/>
      <c r="Q670" s="1003"/>
    </row>
    <row r="671" spans="15:17" s="400" customFormat="1">
      <c r="O671" s="1003"/>
      <c r="P671" s="1003"/>
      <c r="Q671" s="1003"/>
    </row>
    <row r="672" spans="15:17" s="400" customFormat="1">
      <c r="O672" s="1003"/>
      <c r="P672" s="1003"/>
      <c r="Q672" s="1003"/>
    </row>
    <row r="673" spans="15:17" s="400" customFormat="1">
      <c r="O673" s="1003"/>
      <c r="P673" s="1003"/>
      <c r="Q673" s="1003"/>
    </row>
    <row r="674" spans="15:17" s="400" customFormat="1">
      <c r="O674" s="1003"/>
      <c r="P674" s="1003"/>
      <c r="Q674" s="1003"/>
    </row>
    <row r="675" spans="15:17" s="400" customFormat="1">
      <c r="O675" s="1003"/>
      <c r="P675" s="1003"/>
      <c r="Q675" s="1003"/>
    </row>
    <row r="676" spans="15:17" s="400" customFormat="1">
      <c r="O676" s="1003"/>
      <c r="P676" s="1003"/>
      <c r="Q676" s="1003"/>
    </row>
    <row r="677" spans="15:17" s="400" customFormat="1">
      <c r="O677" s="1003"/>
      <c r="P677" s="1003"/>
      <c r="Q677" s="1003"/>
    </row>
    <row r="678" spans="15:17" s="400" customFormat="1">
      <c r="O678" s="1003"/>
      <c r="P678" s="1003"/>
      <c r="Q678" s="1003"/>
    </row>
    <row r="679" spans="15:17" s="400" customFormat="1">
      <c r="O679" s="1003"/>
      <c r="P679" s="1003"/>
      <c r="Q679" s="1003"/>
    </row>
    <row r="680" spans="15:17" s="400" customFormat="1">
      <c r="O680" s="1003"/>
      <c r="P680" s="1003"/>
      <c r="Q680" s="1003"/>
    </row>
    <row r="681" spans="15:17" s="400" customFormat="1">
      <c r="O681" s="1003"/>
      <c r="P681" s="1003"/>
      <c r="Q681" s="1003"/>
    </row>
    <row r="682" spans="15:17" s="400" customFormat="1">
      <c r="O682" s="1003"/>
      <c r="P682" s="1003"/>
      <c r="Q682" s="1003"/>
    </row>
    <row r="683" spans="15:17" s="400" customFormat="1">
      <c r="O683" s="1003"/>
      <c r="P683" s="1003"/>
      <c r="Q683" s="1003"/>
    </row>
    <row r="684" spans="15:17" s="400" customFormat="1">
      <c r="O684" s="1003"/>
      <c r="P684" s="1003"/>
      <c r="Q684" s="1003"/>
    </row>
    <row r="685" spans="15:17" s="400" customFormat="1">
      <c r="O685" s="1003"/>
      <c r="P685" s="1003"/>
      <c r="Q685" s="1003"/>
    </row>
    <row r="686" spans="15:17" s="400" customFormat="1">
      <c r="O686" s="1003"/>
      <c r="P686" s="1003"/>
      <c r="Q686" s="1003"/>
    </row>
    <row r="687" spans="15:17" s="400" customFormat="1">
      <c r="O687" s="1003"/>
      <c r="P687" s="1003"/>
      <c r="Q687" s="1003"/>
    </row>
    <row r="688" spans="15:17" s="400" customFormat="1">
      <c r="O688" s="1003"/>
      <c r="P688" s="1003"/>
      <c r="Q688" s="1003"/>
    </row>
    <row r="689" spans="15:17" s="400" customFormat="1">
      <c r="O689" s="1003"/>
      <c r="P689" s="1003"/>
      <c r="Q689" s="1003"/>
    </row>
    <row r="690" spans="15:17" s="400" customFormat="1">
      <c r="O690" s="1003"/>
      <c r="P690" s="1003"/>
      <c r="Q690" s="1003"/>
    </row>
    <row r="691" spans="15:17" s="400" customFormat="1">
      <c r="O691" s="1003"/>
      <c r="P691" s="1003"/>
      <c r="Q691" s="1003"/>
    </row>
    <row r="692" spans="15:17" s="400" customFormat="1">
      <c r="O692" s="1003"/>
      <c r="P692" s="1003"/>
      <c r="Q692" s="1003"/>
    </row>
    <row r="693" spans="15:17" s="400" customFormat="1">
      <c r="O693" s="1003"/>
      <c r="P693" s="1003"/>
      <c r="Q693" s="1003"/>
    </row>
    <row r="694" spans="15:17" s="400" customFormat="1">
      <c r="O694" s="1003"/>
      <c r="P694" s="1003"/>
      <c r="Q694" s="1003"/>
    </row>
    <row r="695" spans="15:17" s="400" customFormat="1">
      <c r="O695" s="1003"/>
      <c r="P695" s="1003"/>
      <c r="Q695" s="1003"/>
    </row>
    <row r="696" spans="15:17" s="400" customFormat="1">
      <c r="O696" s="1003"/>
      <c r="P696" s="1003"/>
      <c r="Q696" s="1003"/>
    </row>
    <row r="697" spans="15:17" s="400" customFormat="1">
      <c r="O697" s="1003"/>
      <c r="P697" s="1003"/>
      <c r="Q697" s="1003"/>
    </row>
    <row r="698" spans="15:17" s="400" customFormat="1">
      <c r="O698" s="1003"/>
      <c r="P698" s="1003"/>
      <c r="Q698" s="1003"/>
    </row>
    <row r="699" spans="15:17" s="400" customFormat="1">
      <c r="O699" s="1003"/>
      <c r="P699" s="1003"/>
      <c r="Q699" s="1003"/>
    </row>
    <row r="700" spans="15:17" s="400" customFormat="1">
      <c r="O700" s="1003"/>
      <c r="P700" s="1003"/>
      <c r="Q700" s="1003"/>
    </row>
    <row r="701" spans="15:17" s="400" customFormat="1">
      <c r="O701" s="1003"/>
      <c r="P701" s="1003"/>
      <c r="Q701" s="1003"/>
    </row>
    <row r="702" spans="15:17" s="400" customFormat="1">
      <c r="O702" s="1003"/>
      <c r="P702" s="1003"/>
      <c r="Q702" s="1003"/>
    </row>
    <row r="703" spans="15:17" s="400" customFormat="1">
      <c r="O703" s="1003"/>
      <c r="P703" s="1003"/>
      <c r="Q703" s="1003"/>
    </row>
    <row r="704" spans="15:17" s="400" customFormat="1">
      <c r="O704" s="1003"/>
      <c r="P704" s="1003"/>
      <c r="Q704" s="1003"/>
    </row>
    <row r="705" spans="15:17" s="400" customFormat="1">
      <c r="O705" s="1003"/>
      <c r="P705" s="1003"/>
      <c r="Q705" s="1003"/>
    </row>
    <row r="706" spans="15:17" s="400" customFormat="1">
      <c r="O706" s="1003"/>
      <c r="P706" s="1003"/>
      <c r="Q706" s="1003"/>
    </row>
    <row r="707" spans="15:17" s="400" customFormat="1">
      <c r="O707" s="1003"/>
      <c r="P707" s="1003"/>
      <c r="Q707" s="1003"/>
    </row>
    <row r="708" spans="15:17" s="400" customFormat="1">
      <c r="O708" s="1003"/>
      <c r="P708" s="1003"/>
      <c r="Q708" s="1003"/>
    </row>
    <row r="709" spans="15:17" s="400" customFormat="1">
      <c r="O709" s="1003"/>
      <c r="P709" s="1003"/>
      <c r="Q709" s="1003"/>
    </row>
    <row r="710" spans="15:17" s="400" customFormat="1">
      <c r="O710" s="1003"/>
      <c r="P710" s="1003"/>
      <c r="Q710" s="1003"/>
    </row>
    <row r="711" spans="15:17" s="400" customFormat="1">
      <c r="O711" s="1003"/>
      <c r="P711" s="1003"/>
      <c r="Q711" s="1003"/>
    </row>
    <row r="712" spans="15:17" s="400" customFormat="1">
      <c r="O712" s="1003"/>
      <c r="P712" s="1003"/>
      <c r="Q712" s="1003"/>
    </row>
    <row r="713" spans="15:17" s="400" customFormat="1">
      <c r="O713" s="1003"/>
      <c r="P713" s="1003"/>
      <c r="Q713" s="1003"/>
    </row>
    <row r="714" spans="15:17" s="400" customFormat="1">
      <c r="O714" s="1003"/>
      <c r="P714" s="1003"/>
      <c r="Q714" s="1003"/>
    </row>
    <row r="715" spans="15:17" s="400" customFormat="1">
      <c r="O715" s="1003"/>
      <c r="P715" s="1003"/>
      <c r="Q715" s="1003"/>
    </row>
    <row r="716" spans="15:17" s="400" customFormat="1">
      <c r="O716" s="1003"/>
      <c r="P716" s="1003"/>
      <c r="Q716" s="1003"/>
    </row>
    <row r="717" spans="15:17" s="400" customFormat="1">
      <c r="O717" s="1003"/>
      <c r="P717" s="1003"/>
      <c r="Q717" s="1003"/>
    </row>
    <row r="718" spans="15:17" s="400" customFormat="1">
      <c r="O718" s="1003"/>
      <c r="P718" s="1003"/>
      <c r="Q718" s="1003"/>
    </row>
    <row r="719" spans="15:17" s="400" customFormat="1">
      <c r="O719" s="1003"/>
      <c r="P719" s="1003"/>
      <c r="Q719" s="1003"/>
    </row>
    <row r="720" spans="15:17" s="400" customFormat="1">
      <c r="O720" s="1003"/>
      <c r="P720" s="1003"/>
      <c r="Q720" s="1003"/>
    </row>
    <row r="721" spans="15:17" s="400" customFormat="1">
      <c r="O721" s="1003"/>
      <c r="P721" s="1003"/>
      <c r="Q721" s="1003"/>
    </row>
    <row r="722" spans="15:17" s="400" customFormat="1">
      <c r="O722" s="1003"/>
      <c r="P722" s="1003"/>
      <c r="Q722" s="1003"/>
    </row>
    <row r="723" spans="15:17" s="400" customFormat="1">
      <c r="O723" s="1003"/>
      <c r="P723" s="1003"/>
      <c r="Q723" s="1003"/>
    </row>
    <row r="724" spans="15:17" s="400" customFormat="1">
      <c r="O724" s="1003"/>
      <c r="P724" s="1003"/>
      <c r="Q724" s="1003"/>
    </row>
    <row r="725" spans="15:17" s="400" customFormat="1">
      <c r="O725" s="1003"/>
      <c r="P725" s="1003"/>
      <c r="Q725" s="1003"/>
    </row>
    <row r="726" spans="15:17" s="400" customFormat="1">
      <c r="O726" s="1003"/>
      <c r="P726" s="1003"/>
      <c r="Q726" s="1003"/>
    </row>
    <row r="727" spans="15:17" s="400" customFormat="1">
      <c r="O727" s="1003"/>
      <c r="P727" s="1003"/>
      <c r="Q727" s="1003"/>
    </row>
    <row r="728" spans="15:17" s="400" customFormat="1">
      <c r="O728" s="1003"/>
      <c r="P728" s="1003"/>
      <c r="Q728" s="1003"/>
    </row>
    <row r="729" spans="15:17" s="400" customFormat="1">
      <c r="O729" s="1003"/>
      <c r="P729" s="1003"/>
      <c r="Q729" s="1003"/>
    </row>
    <row r="730" spans="15:17" s="400" customFormat="1">
      <c r="O730" s="1003"/>
      <c r="P730" s="1003"/>
      <c r="Q730" s="1003"/>
    </row>
    <row r="731" spans="15:17" s="400" customFormat="1">
      <c r="O731" s="1003"/>
      <c r="P731" s="1003"/>
      <c r="Q731" s="1003"/>
    </row>
    <row r="732" spans="15:17" s="400" customFormat="1">
      <c r="O732" s="1003"/>
      <c r="P732" s="1003"/>
      <c r="Q732" s="1003"/>
    </row>
    <row r="733" spans="15:17" s="400" customFormat="1">
      <c r="O733" s="1003"/>
      <c r="P733" s="1003"/>
      <c r="Q733" s="1003"/>
    </row>
    <row r="734" spans="15:17" s="400" customFormat="1">
      <c r="O734" s="1003"/>
      <c r="P734" s="1003"/>
      <c r="Q734" s="1003"/>
    </row>
    <row r="735" spans="15:17" s="400" customFormat="1">
      <c r="O735" s="1003"/>
      <c r="P735" s="1003"/>
      <c r="Q735" s="1003"/>
    </row>
    <row r="736" spans="15:17" s="400" customFormat="1">
      <c r="O736" s="1003"/>
      <c r="P736" s="1003"/>
      <c r="Q736" s="1003"/>
    </row>
    <row r="737" spans="15:17" s="400" customFormat="1">
      <c r="O737" s="1003"/>
      <c r="P737" s="1003"/>
      <c r="Q737" s="1003"/>
    </row>
    <row r="738" spans="15:17" s="400" customFormat="1">
      <c r="O738" s="1003"/>
      <c r="P738" s="1003"/>
      <c r="Q738" s="1003"/>
    </row>
    <row r="739" spans="15:17" s="400" customFormat="1">
      <c r="O739" s="1003"/>
      <c r="P739" s="1003"/>
      <c r="Q739" s="1003"/>
    </row>
    <row r="740" spans="15:17" s="400" customFormat="1">
      <c r="O740" s="1003"/>
      <c r="P740" s="1003"/>
      <c r="Q740" s="1003"/>
    </row>
    <row r="741" spans="15:17" s="400" customFormat="1">
      <c r="O741" s="1003"/>
      <c r="P741" s="1003"/>
      <c r="Q741" s="1003"/>
    </row>
    <row r="742" spans="15:17" s="400" customFormat="1">
      <c r="O742" s="1003"/>
      <c r="P742" s="1003"/>
      <c r="Q742" s="1003"/>
    </row>
    <row r="743" spans="15:17" s="400" customFormat="1">
      <c r="O743" s="1003"/>
      <c r="P743" s="1003"/>
      <c r="Q743" s="1003"/>
    </row>
    <row r="744" spans="15:17" s="400" customFormat="1">
      <c r="O744" s="1003"/>
      <c r="P744" s="1003"/>
      <c r="Q744" s="1003"/>
    </row>
    <row r="745" spans="15:17" s="400" customFormat="1">
      <c r="O745" s="1003"/>
      <c r="P745" s="1003"/>
      <c r="Q745" s="1003"/>
    </row>
    <row r="746" spans="15:17" s="400" customFormat="1">
      <c r="O746" s="1003"/>
      <c r="P746" s="1003"/>
      <c r="Q746" s="1003"/>
    </row>
    <row r="747" spans="15:17" s="400" customFormat="1">
      <c r="O747" s="1003"/>
      <c r="P747" s="1003"/>
      <c r="Q747" s="1003"/>
    </row>
    <row r="748" spans="15:17" s="400" customFormat="1">
      <c r="O748" s="1003"/>
      <c r="P748" s="1003"/>
      <c r="Q748" s="1003"/>
    </row>
    <row r="749" spans="15:17" s="400" customFormat="1">
      <c r="O749" s="1003"/>
      <c r="P749" s="1003"/>
      <c r="Q749" s="1003"/>
    </row>
    <row r="750" spans="15:17" s="400" customFormat="1">
      <c r="O750" s="1003"/>
      <c r="P750" s="1003"/>
      <c r="Q750" s="1003"/>
    </row>
    <row r="751" spans="15:17" s="400" customFormat="1">
      <c r="O751" s="1003"/>
      <c r="P751" s="1003"/>
      <c r="Q751" s="1003"/>
    </row>
    <row r="752" spans="15:17" s="400" customFormat="1">
      <c r="O752" s="1003"/>
      <c r="P752" s="1003"/>
      <c r="Q752" s="1003"/>
    </row>
    <row r="753" spans="15:17" s="400" customFormat="1">
      <c r="O753" s="1003"/>
      <c r="P753" s="1003"/>
      <c r="Q753" s="1003"/>
    </row>
    <row r="754" spans="15:17" s="400" customFormat="1">
      <c r="O754" s="1003"/>
      <c r="P754" s="1003"/>
      <c r="Q754" s="1003"/>
    </row>
    <row r="755" spans="15:17" s="400" customFormat="1">
      <c r="O755" s="1003"/>
      <c r="P755" s="1003"/>
      <c r="Q755" s="1003"/>
    </row>
    <row r="756" spans="15:17" s="400" customFormat="1">
      <c r="O756" s="1003"/>
      <c r="P756" s="1003"/>
      <c r="Q756" s="1003"/>
    </row>
    <row r="757" spans="15:17" s="400" customFormat="1">
      <c r="O757" s="1003"/>
      <c r="P757" s="1003"/>
      <c r="Q757" s="1003"/>
    </row>
    <row r="758" spans="15:17" s="400" customFormat="1">
      <c r="O758" s="1003"/>
      <c r="P758" s="1003"/>
      <c r="Q758" s="1003"/>
    </row>
    <row r="759" spans="15:17" s="400" customFormat="1">
      <c r="O759" s="1003"/>
      <c r="P759" s="1003"/>
      <c r="Q759" s="1003"/>
    </row>
    <row r="760" spans="15:17" s="400" customFormat="1">
      <c r="O760" s="1003"/>
      <c r="P760" s="1003"/>
      <c r="Q760" s="1003"/>
    </row>
    <row r="761" spans="15:17" s="400" customFormat="1">
      <c r="O761" s="1003"/>
      <c r="P761" s="1003"/>
      <c r="Q761" s="1003"/>
    </row>
    <row r="762" spans="15:17" s="400" customFormat="1">
      <c r="O762" s="1003"/>
      <c r="P762" s="1003"/>
      <c r="Q762" s="1003"/>
    </row>
    <row r="763" spans="15:17" s="400" customFormat="1">
      <c r="O763" s="1003"/>
      <c r="P763" s="1003"/>
      <c r="Q763" s="1003"/>
    </row>
    <row r="764" spans="15:17" s="400" customFormat="1">
      <c r="O764" s="1003"/>
      <c r="P764" s="1003"/>
      <c r="Q764" s="1003"/>
    </row>
    <row r="765" spans="15:17" s="400" customFormat="1">
      <c r="O765" s="1003"/>
      <c r="P765" s="1003"/>
      <c r="Q765" s="1003"/>
    </row>
    <row r="766" spans="15:17" s="400" customFormat="1">
      <c r="O766" s="1003"/>
      <c r="P766" s="1003"/>
      <c r="Q766" s="1003"/>
    </row>
    <row r="767" spans="15:17" s="400" customFormat="1">
      <c r="O767" s="1003"/>
      <c r="P767" s="1003"/>
      <c r="Q767" s="1003"/>
    </row>
    <row r="768" spans="15:17" s="400" customFormat="1">
      <c r="O768" s="1003"/>
      <c r="P768" s="1003"/>
      <c r="Q768" s="1003"/>
    </row>
    <row r="769" spans="15:17" s="400" customFormat="1">
      <c r="O769" s="1003"/>
      <c r="P769" s="1003"/>
      <c r="Q769" s="1003"/>
    </row>
    <row r="770" spans="15:17" s="400" customFormat="1">
      <c r="O770" s="1003"/>
      <c r="P770" s="1003"/>
      <c r="Q770" s="1003"/>
    </row>
    <row r="771" spans="15:17" s="400" customFormat="1">
      <c r="O771" s="1003"/>
      <c r="P771" s="1003"/>
      <c r="Q771" s="1003"/>
    </row>
    <row r="772" spans="15:17" s="400" customFormat="1">
      <c r="O772" s="1003"/>
      <c r="P772" s="1003"/>
      <c r="Q772" s="1003"/>
    </row>
    <row r="773" spans="15:17" s="400" customFormat="1">
      <c r="O773" s="1003"/>
      <c r="P773" s="1003"/>
      <c r="Q773" s="1003"/>
    </row>
    <row r="774" spans="15:17" s="400" customFormat="1">
      <c r="O774" s="1003"/>
      <c r="P774" s="1003"/>
      <c r="Q774" s="1003"/>
    </row>
    <row r="775" spans="15:17" s="400" customFormat="1">
      <c r="O775" s="1003"/>
      <c r="P775" s="1003"/>
      <c r="Q775" s="1003"/>
    </row>
    <row r="776" spans="15:17" s="400" customFormat="1">
      <c r="O776" s="1003"/>
      <c r="P776" s="1003"/>
      <c r="Q776" s="1003"/>
    </row>
    <row r="777" spans="15:17" s="400" customFormat="1">
      <c r="O777" s="1003"/>
      <c r="P777" s="1003"/>
      <c r="Q777" s="1003"/>
    </row>
    <row r="778" spans="15:17" s="400" customFormat="1">
      <c r="O778" s="1003"/>
      <c r="P778" s="1003"/>
      <c r="Q778" s="1003"/>
    </row>
    <row r="779" spans="15:17" s="400" customFormat="1">
      <c r="O779" s="1003"/>
      <c r="P779" s="1003"/>
      <c r="Q779" s="1003"/>
    </row>
    <row r="780" spans="15:17" s="400" customFormat="1">
      <c r="O780" s="1003"/>
      <c r="P780" s="1003"/>
      <c r="Q780" s="1003"/>
    </row>
    <row r="781" spans="15:17" s="400" customFormat="1">
      <c r="O781" s="1003"/>
      <c r="P781" s="1003"/>
      <c r="Q781" s="1003"/>
    </row>
    <row r="782" spans="15:17" s="400" customFormat="1">
      <c r="O782" s="1003"/>
      <c r="P782" s="1003"/>
      <c r="Q782" s="1003"/>
    </row>
    <row r="783" spans="15:17" s="400" customFormat="1">
      <c r="O783" s="1003"/>
      <c r="P783" s="1003"/>
      <c r="Q783" s="1003"/>
    </row>
    <row r="784" spans="15:17" s="400" customFormat="1">
      <c r="O784" s="1003"/>
      <c r="P784" s="1003"/>
      <c r="Q784" s="1003"/>
    </row>
    <row r="785" spans="15:17" s="400" customFormat="1">
      <c r="O785" s="1003"/>
      <c r="P785" s="1003"/>
      <c r="Q785" s="1003"/>
    </row>
    <row r="786" spans="15:17" s="400" customFormat="1">
      <c r="O786" s="1003"/>
      <c r="P786" s="1003"/>
      <c r="Q786" s="1003"/>
    </row>
    <row r="787" spans="15:17" s="400" customFormat="1">
      <c r="O787" s="1003"/>
      <c r="P787" s="1003"/>
      <c r="Q787" s="1003"/>
    </row>
    <row r="788" spans="15:17" s="400" customFormat="1">
      <c r="O788" s="1003"/>
      <c r="P788" s="1003"/>
      <c r="Q788" s="1003"/>
    </row>
    <row r="789" spans="15:17" s="400" customFormat="1">
      <c r="O789" s="1003"/>
      <c r="P789" s="1003"/>
      <c r="Q789" s="1003"/>
    </row>
    <row r="790" spans="15:17" s="400" customFormat="1">
      <c r="O790" s="1003"/>
      <c r="P790" s="1003"/>
      <c r="Q790" s="1003"/>
    </row>
    <row r="791" spans="15:17" s="400" customFormat="1">
      <c r="O791" s="1003"/>
      <c r="P791" s="1003"/>
      <c r="Q791" s="1003"/>
    </row>
    <row r="792" spans="15:17" s="400" customFormat="1">
      <c r="O792" s="1003"/>
      <c r="P792" s="1003"/>
      <c r="Q792" s="1003"/>
    </row>
    <row r="793" spans="15:17" s="400" customFormat="1">
      <c r="O793" s="1003"/>
      <c r="P793" s="1003"/>
      <c r="Q793" s="1003"/>
    </row>
    <row r="794" spans="15:17" s="400" customFormat="1">
      <c r="O794" s="1003"/>
      <c r="P794" s="1003"/>
      <c r="Q794" s="1003"/>
    </row>
    <row r="795" spans="15:17" s="400" customFormat="1">
      <c r="O795" s="1003"/>
      <c r="P795" s="1003"/>
      <c r="Q795" s="1003"/>
    </row>
    <row r="796" spans="15:17" s="400" customFormat="1">
      <c r="O796" s="1003"/>
      <c r="P796" s="1003"/>
      <c r="Q796" s="1003"/>
    </row>
    <row r="797" spans="15:17" s="400" customFormat="1">
      <c r="O797" s="1003"/>
      <c r="P797" s="1003"/>
      <c r="Q797" s="1003"/>
    </row>
    <row r="798" spans="15:17" s="400" customFormat="1">
      <c r="O798" s="1003"/>
      <c r="P798" s="1003"/>
      <c r="Q798" s="1003"/>
    </row>
    <row r="799" spans="15:17" s="400" customFormat="1">
      <c r="O799" s="1003"/>
      <c r="P799" s="1003"/>
      <c r="Q799" s="1003"/>
    </row>
    <row r="800" spans="15:17" s="400" customFormat="1">
      <c r="O800" s="1003"/>
      <c r="P800" s="1003"/>
      <c r="Q800" s="1003"/>
    </row>
    <row r="801" spans="15:17" s="400" customFormat="1">
      <c r="O801" s="1003"/>
      <c r="P801" s="1003"/>
      <c r="Q801" s="1003"/>
    </row>
    <row r="802" spans="15:17" s="400" customFormat="1">
      <c r="O802" s="1003"/>
      <c r="P802" s="1003"/>
      <c r="Q802" s="1003"/>
    </row>
    <row r="803" spans="15:17" s="400" customFormat="1">
      <c r="O803" s="1003"/>
      <c r="P803" s="1003"/>
      <c r="Q803" s="1003"/>
    </row>
    <row r="804" spans="15:17" s="400" customFormat="1">
      <c r="O804" s="1003"/>
      <c r="P804" s="1003"/>
      <c r="Q804" s="1003"/>
    </row>
    <row r="805" spans="15:17" s="400" customFormat="1">
      <c r="O805" s="1003"/>
      <c r="P805" s="1003"/>
      <c r="Q805" s="1003"/>
    </row>
    <row r="806" spans="15:17" s="400" customFormat="1">
      <c r="O806" s="1003"/>
      <c r="P806" s="1003"/>
      <c r="Q806" s="1003"/>
    </row>
    <row r="807" spans="15:17" s="400" customFormat="1">
      <c r="O807" s="1003"/>
      <c r="P807" s="1003"/>
      <c r="Q807" s="1003"/>
    </row>
    <row r="808" spans="15:17" s="400" customFormat="1">
      <c r="O808" s="1003"/>
      <c r="P808" s="1003"/>
      <c r="Q808" s="1003"/>
    </row>
    <row r="809" spans="15:17" s="400" customFormat="1">
      <c r="O809" s="1003"/>
      <c r="P809" s="1003"/>
      <c r="Q809" s="1003"/>
    </row>
    <row r="810" spans="15:17" s="400" customFormat="1">
      <c r="O810" s="1003"/>
      <c r="P810" s="1003"/>
      <c r="Q810" s="1003"/>
    </row>
    <row r="811" spans="15:17" s="400" customFormat="1">
      <c r="O811" s="1003"/>
      <c r="P811" s="1003"/>
      <c r="Q811" s="1003"/>
    </row>
    <row r="812" spans="15:17" s="400" customFormat="1">
      <c r="O812" s="1003"/>
      <c r="P812" s="1003"/>
      <c r="Q812" s="1003"/>
    </row>
    <row r="813" spans="15:17" s="400" customFormat="1">
      <c r="O813" s="1003"/>
      <c r="P813" s="1003"/>
      <c r="Q813" s="1003"/>
    </row>
    <row r="814" spans="15:17" s="400" customFormat="1">
      <c r="O814" s="1003"/>
      <c r="P814" s="1003"/>
      <c r="Q814" s="1003"/>
    </row>
    <row r="815" spans="15:17" s="400" customFormat="1">
      <c r="O815" s="1003"/>
      <c r="P815" s="1003"/>
      <c r="Q815" s="1003"/>
    </row>
    <row r="816" spans="15:17" s="400" customFormat="1">
      <c r="O816" s="1003"/>
      <c r="P816" s="1003"/>
      <c r="Q816" s="1003"/>
    </row>
    <row r="817" spans="15:17" s="400" customFormat="1">
      <c r="O817" s="1003"/>
      <c r="P817" s="1003"/>
      <c r="Q817" s="1003"/>
    </row>
    <row r="818" spans="15:17" s="400" customFormat="1">
      <c r="O818" s="1003"/>
      <c r="P818" s="1003"/>
      <c r="Q818" s="1003"/>
    </row>
    <row r="819" spans="15:17" s="400" customFormat="1">
      <c r="O819" s="1003"/>
      <c r="P819" s="1003"/>
      <c r="Q819" s="1003"/>
    </row>
    <row r="820" spans="15:17" s="400" customFormat="1">
      <c r="O820" s="1003"/>
      <c r="P820" s="1003"/>
      <c r="Q820" s="1003"/>
    </row>
    <row r="821" spans="15:17" s="400" customFormat="1">
      <c r="O821" s="1003"/>
      <c r="P821" s="1003"/>
      <c r="Q821" s="1003"/>
    </row>
    <row r="822" spans="15:17" s="400" customFormat="1">
      <c r="O822" s="1003"/>
      <c r="P822" s="1003"/>
      <c r="Q822" s="1003"/>
    </row>
    <row r="823" spans="15:17" s="400" customFormat="1">
      <c r="O823" s="1003"/>
      <c r="P823" s="1003"/>
      <c r="Q823" s="1003"/>
    </row>
    <row r="824" spans="15:17" s="400" customFormat="1">
      <c r="O824" s="1003"/>
      <c r="P824" s="1003"/>
      <c r="Q824" s="1003"/>
    </row>
    <row r="825" spans="15:17" s="400" customFormat="1">
      <c r="O825" s="1003"/>
      <c r="P825" s="1003"/>
      <c r="Q825" s="1003"/>
    </row>
    <row r="826" spans="15:17" s="400" customFormat="1">
      <c r="O826" s="1003"/>
      <c r="P826" s="1003"/>
      <c r="Q826" s="1003"/>
    </row>
    <row r="827" spans="15:17" s="400" customFormat="1">
      <c r="O827" s="1003"/>
      <c r="P827" s="1003"/>
      <c r="Q827" s="1003"/>
    </row>
    <row r="828" spans="15:17" s="400" customFormat="1">
      <c r="O828" s="1003"/>
      <c r="P828" s="1003"/>
      <c r="Q828" s="1003"/>
    </row>
    <row r="829" spans="15:17" s="400" customFormat="1">
      <c r="O829" s="1003"/>
      <c r="P829" s="1003"/>
      <c r="Q829" s="1003"/>
    </row>
    <row r="830" spans="15:17" s="400" customFormat="1">
      <c r="O830" s="1003"/>
      <c r="P830" s="1003"/>
      <c r="Q830" s="1003"/>
    </row>
    <row r="831" spans="15:17" s="400" customFormat="1">
      <c r="O831" s="1003"/>
      <c r="P831" s="1003"/>
      <c r="Q831" s="1003"/>
    </row>
    <row r="832" spans="15:17" s="400" customFormat="1">
      <c r="O832" s="1003"/>
      <c r="P832" s="1003"/>
      <c r="Q832" s="1003"/>
    </row>
    <row r="833" spans="15:17" s="400" customFormat="1">
      <c r="O833" s="1003"/>
      <c r="P833" s="1003"/>
      <c r="Q833" s="1003"/>
    </row>
    <row r="834" spans="15:17" s="400" customFormat="1">
      <c r="O834" s="1003"/>
      <c r="P834" s="1003"/>
      <c r="Q834" s="1003"/>
    </row>
    <row r="835" spans="15:17" s="400" customFormat="1">
      <c r="O835" s="1003"/>
      <c r="P835" s="1003"/>
      <c r="Q835" s="1003"/>
    </row>
    <row r="836" spans="15:17" s="400" customFormat="1">
      <c r="O836" s="1003"/>
      <c r="P836" s="1003"/>
      <c r="Q836" s="1003"/>
    </row>
    <row r="837" spans="15:17" s="400" customFormat="1">
      <c r="O837" s="1003"/>
      <c r="P837" s="1003"/>
      <c r="Q837" s="1003"/>
    </row>
    <row r="838" spans="15:17" s="400" customFormat="1">
      <c r="O838" s="1003"/>
      <c r="P838" s="1003"/>
      <c r="Q838" s="1003"/>
    </row>
    <row r="839" spans="15:17" s="400" customFormat="1">
      <c r="O839" s="1003"/>
      <c r="P839" s="1003"/>
      <c r="Q839" s="1003"/>
    </row>
    <row r="840" spans="15:17" s="400" customFormat="1">
      <c r="O840" s="1003"/>
      <c r="P840" s="1003"/>
      <c r="Q840" s="1003"/>
    </row>
    <row r="841" spans="15:17" s="400" customFormat="1">
      <c r="O841" s="1003"/>
      <c r="P841" s="1003"/>
      <c r="Q841" s="1003"/>
    </row>
    <row r="842" spans="15:17" s="400" customFormat="1">
      <c r="O842" s="1003"/>
      <c r="P842" s="1003"/>
      <c r="Q842" s="1003"/>
    </row>
    <row r="843" spans="15:17" s="400" customFormat="1">
      <c r="O843" s="1003"/>
      <c r="P843" s="1003"/>
      <c r="Q843" s="1003"/>
    </row>
    <row r="844" spans="15:17" s="400" customFormat="1">
      <c r="O844" s="1003"/>
      <c r="P844" s="1003"/>
      <c r="Q844" s="1003"/>
    </row>
    <row r="845" spans="15:17" s="400" customFormat="1">
      <c r="O845" s="1003"/>
      <c r="P845" s="1003"/>
      <c r="Q845" s="1003"/>
    </row>
    <row r="846" spans="15:17" s="400" customFormat="1">
      <c r="O846" s="1003"/>
      <c r="P846" s="1003"/>
      <c r="Q846" s="1003"/>
    </row>
    <row r="847" spans="15:17" s="400" customFormat="1">
      <c r="O847" s="1003"/>
      <c r="P847" s="1003"/>
      <c r="Q847" s="1003"/>
    </row>
    <row r="848" spans="15:17" s="400" customFormat="1">
      <c r="O848" s="1003"/>
      <c r="P848" s="1003"/>
      <c r="Q848" s="1003"/>
    </row>
    <row r="849" spans="15:17" s="400" customFormat="1">
      <c r="O849" s="1003"/>
      <c r="P849" s="1003"/>
      <c r="Q849" s="1003"/>
    </row>
    <row r="850" spans="15:17" s="400" customFormat="1">
      <c r="O850" s="1003"/>
      <c r="P850" s="1003"/>
      <c r="Q850" s="1003"/>
    </row>
    <row r="851" spans="15:17" s="400" customFormat="1">
      <c r="O851" s="1003"/>
      <c r="P851" s="1003"/>
      <c r="Q851" s="1003"/>
    </row>
    <row r="852" spans="15:17" s="400" customFormat="1">
      <c r="O852" s="1003"/>
      <c r="P852" s="1003"/>
      <c r="Q852" s="1003"/>
    </row>
    <row r="853" spans="15:17" s="400" customFormat="1">
      <c r="O853" s="1003"/>
      <c r="P853" s="1003"/>
      <c r="Q853" s="1003"/>
    </row>
    <row r="854" spans="15:17" s="400" customFormat="1">
      <c r="O854" s="1003"/>
      <c r="P854" s="1003"/>
      <c r="Q854" s="1003"/>
    </row>
    <row r="855" spans="15:17" s="400" customFormat="1">
      <c r="O855" s="1003"/>
      <c r="P855" s="1003"/>
      <c r="Q855" s="1003"/>
    </row>
    <row r="856" spans="15:17" s="400" customFormat="1">
      <c r="O856" s="1003"/>
      <c r="P856" s="1003"/>
      <c r="Q856" s="1003"/>
    </row>
    <row r="857" spans="15:17" s="400" customFormat="1">
      <c r="O857" s="1003"/>
      <c r="P857" s="1003"/>
      <c r="Q857" s="1003"/>
    </row>
    <row r="858" spans="15:17" s="400" customFormat="1">
      <c r="O858" s="1003"/>
      <c r="P858" s="1003"/>
      <c r="Q858" s="1003"/>
    </row>
    <row r="859" spans="15:17" s="400" customFormat="1">
      <c r="O859" s="1003"/>
      <c r="P859" s="1003"/>
      <c r="Q859" s="1003"/>
    </row>
    <row r="860" spans="15:17" s="400" customFormat="1">
      <c r="O860" s="1003"/>
      <c r="P860" s="1003"/>
      <c r="Q860" s="1003"/>
    </row>
    <row r="861" spans="15:17" s="400" customFormat="1">
      <c r="O861" s="1003"/>
      <c r="P861" s="1003"/>
      <c r="Q861" s="1003"/>
    </row>
    <row r="862" spans="15:17" s="400" customFormat="1">
      <c r="O862" s="1003"/>
      <c r="P862" s="1003"/>
      <c r="Q862" s="1003"/>
    </row>
    <row r="863" spans="15:17" s="400" customFormat="1">
      <c r="O863" s="1003"/>
      <c r="P863" s="1003"/>
      <c r="Q863" s="1003"/>
    </row>
    <row r="864" spans="15:17" s="400" customFormat="1">
      <c r="O864" s="1003"/>
      <c r="P864" s="1003"/>
      <c r="Q864" s="1003"/>
    </row>
    <row r="865" spans="15:17" s="400" customFormat="1">
      <c r="O865" s="1003"/>
      <c r="P865" s="1003"/>
      <c r="Q865" s="1003"/>
    </row>
    <row r="866" spans="15:17" s="400" customFormat="1">
      <c r="O866" s="1003"/>
      <c r="P866" s="1003"/>
      <c r="Q866" s="1003"/>
    </row>
    <row r="867" spans="15:17" s="400" customFormat="1">
      <c r="O867" s="1003"/>
      <c r="P867" s="1003"/>
      <c r="Q867" s="1003"/>
    </row>
    <row r="868" spans="15:17" s="400" customFormat="1">
      <c r="O868" s="1003"/>
      <c r="P868" s="1003"/>
      <c r="Q868" s="1003"/>
    </row>
    <row r="869" spans="15:17" s="400" customFormat="1">
      <c r="O869" s="1003"/>
      <c r="P869" s="1003"/>
      <c r="Q869" s="1003"/>
    </row>
    <row r="870" spans="15:17" s="400" customFormat="1">
      <c r="O870" s="1003"/>
      <c r="P870" s="1003"/>
      <c r="Q870" s="1003"/>
    </row>
    <row r="871" spans="15:17" s="400" customFormat="1">
      <c r="O871" s="1003"/>
      <c r="P871" s="1003"/>
      <c r="Q871" s="1003"/>
    </row>
    <row r="872" spans="15:17" s="400" customFormat="1">
      <c r="O872" s="1003"/>
      <c r="P872" s="1003"/>
      <c r="Q872" s="1003"/>
    </row>
    <row r="873" spans="15:17" s="400" customFormat="1">
      <c r="O873" s="1003"/>
      <c r="P873" s="1003"/>
      <c r="Q873" s="1003"/>
    </row>
    <row r="874" spans="15:17" s="400" customFormat="1">
      <c r="O874" s="1003"/>
      <c r="P874" s="1003"/>
      <c r="Q874" s="1003"/>
    </row>
    <row r="875" spans="15:17" s="400" customFormat="1">
      <c r="O875" s="1003"/>
      <c r="P875" s="1003"/>
      <c r="Q875" s="1003"/>
    </row>
    <row r="876" spans="15:17" s="400" customFormat="1">
      <c r="O876" s="1003"/>
      <c r="P876" s="1003"/>
      <c r="Q876" s="1003"/>
    </row>
    <row r="877" spans="15:17" s="400" customFormat="1">
      <c r="O877" s="1003"/>
      <c r="P877" s="1003"/>
      <c r="Q877" s="1003"/>
    </row>
    <row r="878" spans="15:17" s="400" customFormat="1">
      <c r="O878" s="1003"/>
      <c r="P878" s="1003"/>
      <c r="Q878" s="1003"/>
    </row>
    <row r="879" spans="15:17" s="400" customFormat="1">
      <c r="O879" s="1003"/>
      <c r="P879" s="1003"/>
      <c r="Q879" s="1003"/>
    </row>
    <row r="880" spans="15:17" s="400" customFormat="1">
      <c r="O880" s="1003"/>
      <c r="P880" s="1003"/>
      <c r="Q880" s="1003"/>
    </row>
    <row r="881" spans="15:17" s="400" customFormat="1">
      <c r="O881" s="1003"/>
      <c r="P881" s="1003"/>
      <c r="Q881" s="1003"/>
    </row>
    <row r="882" spans="15:17" s="400" customFormat="1">
      <c r="O882" s="1003"/>
      <c r="P882" s="1003"/>
      <c r="Q882" s="1003"/>
    </row>
    <row r="883" spans="15:17" s="400" customFormat="1">
      <c r="O883" s="1003"/>
      <c r="P883" s="1003"/>
      <c r="Q883" s="1003"/>
    </row>
    <row r="884" spans="15:17" s="400" customFormat="1">
      <c r="O884" s="1003"/>
      <c r="P884" s="1003"/>
      <c r="Q884" s="1003"/>
    </row>
    <row r="885" spans="15:17" s="400" customFormat="1">
      <c r="O885" s="1003"/>
      <c r="P885" s="1003"/>
      <c r="Q885" s="1003"/>
    </row>
    <row r="886" spans="15:17" s="400" customFormat="1">
      <c r="O886" s="1003"/>
      <c r="P886" s="1003"/>
      <c r="Q886" s="1003"/>
    </row>
    <row r="887" spans="15:17" s="400" customFormat="1">
      <c r="O887" s="1003"/>
      <c r="P887" s="1003"/>
      <c r="Q887" s="1003"/>
    </row>
    <row r="888" spans="15:17" s="400" customFormat="1">
      <c r="O888" s="1003"/>
      <c r="P888" s="1003"/>
      <c r="Q888" s="1003"/>
    </row>
    <row r="889" spans="15:17" s="400" customFormat="1">
      <c r="O889" s="1003"/>
      <c r="P889" s="1003"/>
      <c r="Q889" s="1003"/>
    </row>
    <row r="890" spans="15:17" s="400" customFormat="1">
      <c r="O890" s="1003"/>
      <c r="P890" s="1003"/>
      <c r="Q890" s="1003"/>
    </row>
    <row r="891" spans="15:17" s="400" customFormat="1">
      <c r="O891" s="1003"/>
      <c r="P891" s="1003"/>
      <c r="Q891" s="1003"/>
    </row>
    <row r="892" spans="15:17" s="400" customFormat="1">
      <c r="O892" s="1003"/>
      <c r="P892" s="1003"/>
      <c r="Q892" s="1003"/>
    </row>
    <row r="893" spans="15:17" s="400" customFormat="1">
      <c r="O893" s="1003"/>
      <c r="P893" s="1003"/>
      <c r="Q893" s="1003"/>
    </row>
    <row r="894" spans="15:17" s="400" customFormat="1">
      <c r="O894" s="1003"/>
      <c r="P894" s="1003"/>
      <c r="Q894" s="1003"/>
    </row>
    <row r="895" spans="15:17" s="400" customFormat="1">
      <c r="O895" s="1003"/>
      <c r="P895" s="1003"/>
      <c r="Q895" s="1003"/>
    </row>
    <row r="896" spans="15:17" s="400" customFormat="1">
      <c r="O896" s="1003"/>
      <c r="P896" s="1003"/>
      <c r="Q896" s="1003"/>
    </row>
    <row r="897" spans="15:17" s="400" customFormat="1">
      <c r="O897" s="1003"/>
      <c r="P897" s="1003"/>
      <c r="Q897" s="1003"/>
    </row>
    <row r="898" spans="15:17" s="400" customFormat="1">
      <c r="O898" s="1003"/>
      <c r="P898" s="1003"/>
      <c r="Q898" s="1003"/>
    </row>
    <row r="899" spans="15:17" s="400" customFormat="1">
      <c r="O899" s="1003"/>
      <c r="P899" s="1003"/>
      <c r="Q899" s="1003"/>
    </row>
    <row r="900" spans="15:17" s="400" customFormat="1">
      <c r="O900" s="1003"/>
      <c r="P900" s="1003"/>
      <c r="Q900" s="1003"/>
    </row>
    <row r="901" spans="15:17" s="400" customFormat="1">
      <c r="O901" s="1003"/>
      <c r="P901" s="1003"/>
      <c r="Q901" s="1003"/>
    </row>
    <row r="902" spans="15:17" s="400" customFormat="1">
      <c r="O902" s="1003"/>
      <c r="P902" s="1003"/>
      <c r="Q902" s="1003"/>
    </row>
    <row r="903" spans="15:17" s="400" customFormat="1">
      <c r="O903" s="1003"/>
      <c r="P903" s="1003"/>
      <c r="Q903" s="1003"/>
    </row>
    <row r="904" spans="15:17" s="400" customFormat="1">
      <c r="O904" s="1003"/>
      <c r="P904" s="1003"/>
      <c r="Q904" s="1003"/>
    </row>
    <row r="905" spans="15:17" s="400" customFormat="1">
      <c r="O905" s="1003"/>
      <c r="P905" s="1003"/>
      <c r="Q905" s="1003"/>
    </row>
    <row r="906" spans="15:17" s="400" customFormat="1">
      <c r="O906" s="1003"/>
      <c r="P906" s="1003"/>
      <c r="Q906" s="1003"/>
    </row>
    <row r="907" spans="15:17" s="400" customFormat="1">
      <c r="O907" s="1003"/>
      <c r="P907" s="1003"/>
      <c r="Q907" s="1003"/>
    </row>
    <row r="908" spans="15:17" s="400" customFormat="1">
      <c r="O908" s="1003"/>
      <c r="P908" s="1003"/>
      <c r="Q908" s="1003"/>
    </row>
    <row r="909" spans="15:17" s="400" customFormat="1">
      <c r="O909" s="1003"/>
      <c r="P909" s="1003"/>
      <c r="Q909" s="1003"/>
    </row>
    <row r="910" spans="15:17" s="400" customFormat="1">
      <c r="O910" s="1003"/>
      <c r="P910" s="1003"/>
      <c r="Q910" s="1003"/>
    </row>
    <row r="911" spans="15:17" s="400" customFormat="1">
      <c r="O911" s="1003"/>
      <c r="P911" s="1003"/>
      <c r="Q911" s="1003"/>
    </row>
    <row r="912" spans="15:17" s="400" customFormat="1">
      <c r="O912" s="1003"/>
      <c r="P912" s="1003"/>
      <c r="Q912" s="1003"/>
    </row>
    <row r="913" spans="15:17" s="400" customFormat="1">
      <c r="O913" s="1003"/>
      <c r="P913" s="1003"/>
      <c r="Q913" s="1003"/>
    </row>
    <row r="914" spans="15:17" s="400" customFormat="1">
      <c r="O914" s="1003"/>
      <c r="P914" s="1003"/>
      <c r="Q914" s="1003"/>
    </row>
    <row r="915" spans="15:17" s="400" customFormat="1">
      <c r="O915" s="1003"/>
      <c r="P915" s="1003"/>
      <c r="Q915" s="1003"/>
    </row>
    <row r="916" spans="15:17" s="400" customFormat="1">
      <c r="O916" s="1003"/>
      <c r="P916" s="1003"/>
      <c r="Q916" s="1003"/>
    </row>
    <row r="917" spans="15:17" s="400" customFormat="1">
      <c r="O917" s="1003"/>
      <c r="P917" s="1003"/>
      <c r="Q917" s="1003"/>
    </row>
    <row r="918" spans="15:17" s="400" customFormat="1">
      <c r="O918" s="1003"/>
      <c r="P918" s="1003"/>
      <c r="Q918" s="1003"/>
    </row>
    <row r="919" spans="15:17" s="400" customFormat="1">
      <c r="O919" s="1003"/>
      <c r="P919" s="1003"/>
      <c r="Q919" s="1003"/>
    </row>
    <row r="920" spans="15:17" s="400" customFormat="1">
      <c r="O920" s="1003"/>
      <c r="P920" s="1003"/>
      <c r="Q920" s="1003"/>
    </row>
    <row r="921" spans="15:17" s="400" customFormat="1">
      <c r="O921" s="1003"/>
      <c r="P921" s="1003"/>
      <c r="Q921" s="1003"/>
    </row>
    <row r="922" spans="15:17" s="400" customFormat="1">
      <c r="O922" s="1003"/>
      <c r="P922" s="1003"/>
      <c r="Q922" s="1003"/>
    </row>
    <row r="923" spans="15:17" s="400" customFormat="1">
      <c r="O923" s="1003"/>
      <c r="P923" s="1003"/>
      <c r="Q923" s="1003"/>
    </row>
    <row r="924" spans="15:17" s="400" customFormat="1">
      <c r="O924" s="1003"/>
      <c r="P924" s="1003"/>
      <c r="Q924" s="1003"/>
    </row>
    <row r="925" spans="15:17" s="400" customFormat="1">
      <c r="O925" s="1003"/>
      <c r="P925" s="1003"/>
      <c r="Q925" s="1003"/>
    </row>
    <row r="926" spans="15:17" s="400" customFormat="1">
      <c r="O926" s="1003"/>
      <c r="P926" s="1003"/>
      <c r="Q926" s="1003"/>
    </row>
    <row r="927" spans="15:17" s="400" customFormat="1">
      <c r="O927" s="1003"/>
      <c r="P927" s="1003"/>
      <c r="Q927" s="1003"/>
    </row>
    <row r="928" spans="15:17" s="400" customFormat="1">
      <c r="O928" s="1003"/>
      <c r="P928" s="1003"/>
      <c r="Q928" s="1003"/>
    </row>
    <row r="929" spans="15:17" s="400" customFormat="1">
      <c r="O929" s="1003"/>
      <c r="P929" s="1003"/>
      <c r="Q929" s="1003"/>
    </row>
    <row r="930" spans="15:17" s="400" customFormat="1">
      <c r="O930" s="1003"/>
      <c r="P930" s="1003"/>
      <c r="Q930" s="1003"/>
    </row>
    <row r="931" spans="15:17" s="400" customFormat="1">
      <c r="O931" s="1003"/>
      <c r="P931" s="1003"/>
      <c r="Q931" s="1003"/>
    </row>
    <row r="932" spans="15:17" s="400" customFormat="1">
      <c r="O932" s="1003"/>
      <c r="P932" s="1003"/>
      <c r="Q932" s="1003"/>
    </row>
    <row r="933" spans="15:17" s="400" customFormat="1">
      <c r="O933" s="1003"/>
      <c r="P933" s="1003"/>
      <c r="Q933" s="1003"/>
    </row>
    <row r="934" spans="15:17" s="400" customFormat="1">
      <c r="O934" s="1003"/>
      <c r="P934" s="1003"/>
      <c r="Q934" s="1003"/>
    </row>
    <row r="935" spans="15:17" s="400" customFormat="1">
      <c r="O935" s="1003"/>
      <c r="P935" s="1003"/>
      <c r="Q935" s="1003"/>
    </row>
    <row r="936" spans="15:17" s="400" customFormat="1">
      <c r="O936" s="1003"/>
      <c r="P936" s="1003"/>
      <c r="Q936" s="1003"/>
    </row>
    <row r="937" spans="15:17" s="400" customFormat="1">
      <c r="O937" s="1003"/>
      <c r="P937" s="1003"/>
      <c r="Q937" s="1003"/>
    </row>
    <row r="938" spans="15:17" s="400" customFormat="1">
      <c r="O938" s="1003"/>
      <c r="P938" s="1003"/>
      <c r="Q938" s="1003"/>
    </row>
    <row r="939" spans="15:17" s="400" customFormat="1">
      <c r="O939" s="1003"/>
      <c r="P939" s="1003"/>
      <c r="Q939" s="1003"/>
    </row>
    <row r="940" spans="15:17" s="400" customFormat="1">
      <c r="O940" s="1003"/>
      <c r="P940" s="1003"/>
      <c r="Q940" s="1003"/>
    </row>
    <row r="941" spans="15:17" s="400" customFormat="1">
      <c r="O941" s="1003"/>
      <c r="P941" s="1003"/>
      <c r="Q941" s="1003"/>
    </row>
    <row r="942" spans="15:17" s="400" customFormat="1">
      <c r="O942" s="1003"/>
      <c r="P942" s="1003"/>
      <c r="Q942" s="1003"/>
    </row>
    <row r="943" spans="15:17" s="400" customFormat="1">
      <c r="O943" s="1003"/>
      <c r="P943" s="1003"/>
      <c r="Q943" s="1003"/>
    </row>
    <row r="944" spans="15:17" s="400" customFormat="1">
      <c r="O944" s="1003"/>
      <c r="P944" s="1003"/>
      <c r="Q944" s="1003"/>
    </row>
    <row r="945" spans="15:17" s="400" customFormat="1">
      <c r="O945" s="1003"/>
      <c r="P945" s="1003"/>
      <c r="Q945" s="1003"/>
    </row>
    <row r="946" spans="15:17" s="400" customFormat="1">
      <c r="O946" s="1003"/>
      <c r="P946" s="1003"/>
      <c r="Q946" s="1003"/>
    </row>
    <row r="947" spans="15:17" s="400" customFormat="1">
      <c r="O947" s="1003"/>
      <c r="P947" s="1003"/>
      <c r="Q947" s="1003"/>
    </row>
    <row r="948" spans="15:17" s="400" customFormat="1">
      <c r="O948" s="1003"/>
      <c r="P948" s="1003"/>
      <c r="Q948" s="1003"/>
    </row>
    <row r="949" spans="15:17" s="400" customFormat="1">
      <c r="O949" s="1003"/>
      <c r="P949" s="1003"/>
      <c r="Q949" s="1003"/>
    </row>
    <row r="950" spans="15:17" s="400" customFormat="1">
      <c r="O950" s="1003"/>
      <c r="P950" s="1003"/>
      <c r="Q950" s="1003"/>
    </row>
    <row r="951" spans="15:17" s="400" customFormat="1">
      <c r="O951" s="1003"/>
      <c r="P951" s="1003"/>
      <c r="Q951" s="1003"/>
    </row>
    <row r="952" spans="15:17" s="400" customFormat="1">
      <c r="O952" s="1003"/>
      <c r="P952" s="1003"/>
      <c r="Q952" s="1003"/>
    </row>
    <row r="953" spans="15:17" s="400" customFormat="1">
      <c r="O953" s="1003"/>
      <c r="P953" s="1003"/>
      <c r="Q953" s="1003"/>
    </row>
    <row r="954" spans="15:17" s="400" customFormat="1">
      <c r="O954" s="1003"/>
      <c r="P954" s="1003"/>
      <c r="Q954" s="1003"/>
    </row>
    <row r="955" spans="15:17" s="400" customFormat="1">
      <c r="O955" s="1003"/>
      <c r="P955" s="1003"/>
      <c r="Q955" s="1003"/>
    </row>
    <row r="956" spans="15:17" s="400" customFormat="1">
      <c r="O956" s="1003"/>
      <c r="P956" s="1003"/>
      <c r="Q956" s="1003"/>
    </row>
    <row r="957" spans="15:17" s="400" customFormat="1">
      <c r="O957" s="1003"/>
      <c r="P957" s="1003"/>
      <c r="Q957" s="1003"/>
    </row>
    <row r="958" spans="15:17" s="400" customFormat="1">
      <c r="O958" s="1003"/>
      <c r="P958" s="1003"/>
      <c r="Q958" s="1003"/>
    </row>
    <row r="959" spans="15:17" s="400" customFormat="1">
      <c r="O959" s="1003"/>
      <c r="P959" s="1003"/>
      <c r="Q959" s="1003"/>
    </row>
    <row r="960" spans="15:17" s="400" customFormat="1">
      <c r="O960" s="1003"/>
      <c r="P960" s="1003"/>
      <c r="Q960" s="1003"/>
    </row>
    <row r="961" spans="15:17" s="400" customFormat="1">
      <c r="O961" s="1003"/>
      <c r="P961" s="1003"/>
      <c r="Q961" s="1003"/>
    </row>
    <row r="962" spans="15:17" s="400" customFormat="1">
      <c r="O962" s="1003"/>
      <c r="P962" s="1003"/>
      <c r="Q962" s="1003"/>
    </row>
    <row r="963" spans="15:17" s="400" customFormat="1">
      <c r="O963" s="1003"/>
      <c r="P963" s="1003"/>
      <c r="Q963" s="1003"/>
    </row>
    <row r="964" spans="15:17" s="400" customFormat="1">
      <c r="O964" s="1003"/>
      <c r="P964" s="1003"/>
      <c r="Q964" s="1003"/>
    </row>
    <row r="965" spans="15:17" s="400" customFormat="1">
      <c r="O965" s="1003"/>
      <c r="P965" s="1003"/>
      <c r="Q965" s="1003"/>
    </row>
    <row r="966" spans="15:17" s="400" customFormat="1">
      <c r="O966" s="1003"/>
      <c r="P966" s="1003"/>
      <c r="Q966" s="1003"/>
    </row>
    <row r="967" spans="15:17" s="400" customFormat="1">
      <c r="O967" s="1003"/>
      <c r="P967" s="1003"/>
      <c r="Q967" s="1003"/>
    </row>
    <row r="968" spans="15:17" s="400" customFormat="1">
      <c r="O968" s="1003"/>
      <c r="P968" s="1003"/>
      <c r="Q968" s="1003"/>
    </row>
    <row r="969" spans="15:17" s="400" customFormat="1">
      <c r="O969" s="1003"/>
      <c r="P969" s="1003"/>
      <c r="Q969" s="1003"/>
    </row>
    <row r="970" spans="15:17" s="400" customFormat="1">
      <c r="O970" s="1003"/>
      <c r="P970" s="1003"/>
      <c r="Q970" s="1003"/>
    </row>
    <row r="971" spans="15:17" s="400" customFormat="1">
      <c r="O971" s="1003"/>
      <c r="P971" s="1003"/>
      <c r="Q971" s="1003"/>
    </row>
    <row r="972" spans="15:17" s="400" customFormat="1">
      <c r="O972" s="1003"/>
      <c r="P972" s="1003"/>
      <c r="Q972" s="1003"/>
    </row>
    <row r="973" spans="15:17" s="400" customFormat="1">
      <c r="O973" s="1003"/>
      <c r="P973" s="1003"/>
      <c r="Q973" s="1003"/>
    </row>
    <row r="974" spans="15:17" s="400" customFormat="1">
      <c r="O974" s="1003"/>
      <c r="P974" s="1003"/>
      <c r="Q974" s="1003"/>
    </row>
    <row r="975" spans="15:17" s="400" customFormat="1">
      <c r="O975" s="1003"/>
      <c r="P975" s="1003"/>
      <c r="Q975" s="1003"/>
    </row>
    <row r="976" spans="15:17" s="400" customFormat="1">
      <c r="O976" s="1003"/>
      <c r="P976" s="1003"/>
      <c r="Q976" s="1003"/>
    </row>
    <row r="977" spans="15:17" s="400" customFormat="1">
      <c r="O977" s="1003"/>
      <c r="P977" s="1003"/>
      <c r="Q977" s="1003"/>
    </row>
    <row r="978" spans="15:17" s="400" customFormat="1">
      <c r="O978" s="1003"/>
      <c r="P978" s="1003"/>
      <c r="Q978" s="1003"/>
    </row>
    <row r="979" spans="15:17" s="400" customFormat="1">
      <c r="O979" s="1003"/>
      <c r="P979" s="1003"/>
      <c r="Q979" s="1003"/>
    </row>
    <row r="980" spans="15:17" s="400" customFormat="1">
      <c r="O980" s="1003"/>
      <c r="P980" s="1003"/>
      <c r="Q980" s="1003"/>
    </row>
    <row r="981" spans="15:17" s="400" customFormat="1">
      <c r="O981" s="1003"/>
      <c r="P981" s="1003"/>
      <c r="Q981" s="1003"/>
    </row>
    <row r="982" spans="15:17" s="400" customFormat="1">
      <c r="O982" s="1003"/>
      <c r="P982" s="1003"/>
      <c r="Q982" s="1003"/>
    </row>
    <row r="983" spans="15:17" s="400" customFormat="1">
      <c r="O983" s="1003"/>
      <c r="P983" s="1003"/>
      <c r="Q983" s="1003"/>
    </row>
    <row r="984" spans="15:17" s="400" customFormat="1">
      <c r="O984" s="1003"/>
      <c r="P984" s="1003"/>
      <c r="Q984" s="1003"/>
    </row>
    <row r="985" spans="15:17" s="400" customFormat="1">
      <c r="O985" s="1003"/>
      <c r="P985" s="1003"/>
      <c r="Q985" s="1003"/>
    </row>
    <row r="986" spans="15:17" s="400" customFormat="1">
      <c r="O986" s="1003"/>
      <c r="P986" s="1003"/>
      <c r="Q986" s="1003"/>
    </row>
    <row r="987" spans="15:17" s="400" customFormat="1">
      <c r="O987" s="1003"/>
      <c r="P987" s="1003"/>
      <c r="Q987" s="1003"/>
    </row>
    <row r="988" spans="15:17" s="400" customFormat="1">
      <c r="O988" s="1003"/>
      <c r="P988" s="1003"/>
      <c r="Q988" s="1003"/>
    </row>
    <row r="989" spans="15:17" s="400" customFormat="1">
      <c r="O989" s="1003"/>
      <c r="P989" s="1003"/>
      <c r="Q989" s="1003"/>
    </row>
    <row r="990" spans="15:17" s="400" customFormat="1">
      <c r="O990" s="1003"/>
      <c r="P990" s="1003"/>
      <c r="Q990" s="1003"/>
    </row>
    <row r="991" spans="15:17" s="400" customFormat="1">
      <c r="O991" s="1003"/>
      <c r="P991" s="1003"/>
      <c r="Q991" s="1003"/>
    </row>
    <row r="992" spans="15:17" s="400" customFormat="1">
      <c r="O992" s="1003"/>
      <c r="P992" s="1003"/>
      <c r="Q992" s="1003"/>
    </row>
    <row r="993" spans="15:17" s="400" customFormat="1">
      <c r="O993" s="1003"/>
      <c r="P993" s="1003"/>
      <c r="Q993" s="1003"/>
    </row>
    <row r="994" spans="15:17" s="400" customFormat="1">
      <c r="O994" s="1003"/>
      <c r="P994" s="1003"/>
      <c r="Q994" s="1003"/>
    </row>
    <row r="995" spans="15:17" s="400" customFormat="1">
      <c r="O995" s="1003"/>
      <c r="P995" s="1003"/>
      <c r="Q995" s="1003"/>
    </row>
    <row r="996" spans="15:17" s="400" customFormat="1">
      <c r="O996" s="1003"/>
      <c r="P996" s="1003"/>
      <c r="Q996" s="1003"/>
    </row>
    <row r="997" spans="15:17" s="400" customFormat="1">
      <c r="O997" s="1003"/>
      <c r="P997" s="1003"/>
      <c r="Q997" s="1003"/>
    </row>
    <row r="998" spans="15:17" s="400" customFormat="1">
      <c r="O998" s="1003"/>
      <c r="P998" s="1003"/>
      <c r="Q998" s="1003"/>
    </row>
    <row r="999" spans="15:17" s="400" customFormat="1">
      <c r="O999" s="1003"/>
      <c r="P999" s="1003"/>
      <c r="Q999" s="1003"/>
    </row>
    <row r="1000" spans="15:17" s="400" customFormat="1">
      <c r="O1000" s="1003"/>
      <c r="P1000" s="1003"/>
      <c r="Q1000" s="1003"/>
    </row>
    <row r="1001" spans="15:17" s="400" customFormat="1">
      <c r="O1001" s="1003"/>
      <c r="P1001" s="1003"/>
      <c r="Q1001" s="1003"/>
    </row>
    <row r="1002" spans="15:17" s="400" customFormat="1">
      <c r="O1002" s="1003"/>
      <c r="P1002" s="1003"/>
      <c r="Q1002" s="1003"/>
    </row>
    <row r="1003" spans="15:17" s="400" customFormat="1">
      <c r="O1003" s="1003"/>
      <c r="P1003" s="1003"/>
      <c r="Q1003" s="1003"/>
    </row>
    <row r="1004" spans="15:17" s="400" customFormat="1">
      <c r="O1004" s="1003"/>
      <c r="P1004" s="1003"/>
      <c r="Q1004" s="1003"/>
    </row>
    <row r="1005" spans="15:17" s="400" customFormat="1">
      <c r="O1005" s="1003"/>
      <c r="P1005" s="1003"/>
      <c r="Q1005" s="1003"/>
    </row>
    <row r="1006" spans="15:17" s="400" customFormat="1">
      <c r="O1006" s="1003"/>
      <c r="P1006" s="1003"/>
      <c r="Q1006" s="1003"/>
    </row>
    <row r="1007" spans="15:17" s="400" customFormat="1">
      <c r="O1007" s="1003"/>
      <c r="P1007" s="1003"/>
      <c r="Q1007" s="1003"/>
    </row>
    <row r="1008" spans="15:17" s="400" customFormat="1">
      <c r="O1008" s="1003"/>
      <c r="P1008" s="1003"/>
      <c r="Q1008" s="1003"/>
    </row>
    <row r="1009" spans="15:17" s="400" customFormat="1">
      <c r="O1009" s="1003"/>
      <c r="P1009" s="1003"/>
      <c r="Q1009" s="1003"/>
    </row>
    <row r="1010" spans="15:17" s="400" customFormat="1">
      <c r="O1010" s="1003"/>
      <c r="P1010" s="1003"/>
      <c r="Q1010" s="1003"/>
    </row>
    <row r="1011" spans="15:17" s="400" customFormat="1">
      <c r="O1011" s="1003"/>
      <c r="P1011" s="1003"/>
      <c r="Q1011" s="1003"/>
    </row>
    <row r="1012" spans="15:17" s="400" customFormat="1">
      <c r="O1012" s="1003"/>
      <c r="P1012" s="1003"/>
      <c r="Q1012" s="1003"/>
    </row>
    <row r="1013" spans="15:17" s="400" customFormat="1">
      <c r="O1013" s="1003"/>
      <c r="P1013" s="1003"/>
      <c r="Q1013" s="1003"/>
    </row>
    <row r="1014" spans="15:17" s="400" customFormat="1">
      <c r="O1014" s="1003"/>
      <c r="P1014" s="1003"/>
      <c r="Q1014" s="1003"/>
    </row>
    <row r="1015" spans="15:17" s="400" customFormat="1">
      <c r="O1015" s="1003"/>
      <c r="P1015" s="1003"/>
      <c r="Q1015" s="1003"/>
    </row>
    <row r="1016" spans="15:17" s="400" customFormat="1">
      <c r="O1016" s="1003"/>
      <c r="P1016" s="1003"/>
      <c r="Q1016" s="1003"/>
    </row>
    <row r="1017" spans="15:17" s="400" customFormat="1">
      <c r="O1017" s="1003"/>
      <c r="P1017" s="1003"/>
      <c r="Q1017" s="1003"/>
    </row>
    <row r="1018" spans="15:17" s="400" customFormat="1">
      <c r="O1018" s="1003"/>
      <c r="P1018" s="1003"/>
      <c r="Q1018" s="1003"/>
    </row>
    <row r="1019" spans="15:17" s="400" customFormat="1">
      <c r="O1019" s="1003"/>
      <c r="P1019" s="1003"/>
      <c r="Q1019" s="1003"/>
    </row>
    <row r="1020" spans="15:17" s="400" customFormat="1">
      <c r="O1020" s="1003"/>
      <c r="P1020" s="1003"/>
      <c r="Q1020" s="1003"/>
    </row>
    <row r="1021" spans="15:17" s="400" customFormat="1">
      <c r="O1021" s="1003"/>
      <c r="P1021" s="1003"/>
      <c r="Q1021" s="1003"/>
    </row>
    <row r="1022" spans="15:17" s="400" customFormat="1">
      <c r="O1022" s="1003"/>
      <c r="P1022" s="1003"/>
      <c r="Q1022" s="1003"/>
    </row>
    <row r="1023" spans="15:17" s="400" customFormat="1">
      <c r="O1023" s="1003"/>
      <c r="P1023" s="1003"/>
      <c r="Q1023" s="1003"/>
    </row>
    <row r="1024" spans="15:17" s="400" customFormat="1">
      <c r="O1024" s="1003"/>
      <c r="P1024" s="1003"/>
      <c r="Q1024" s="1003"/>
    </row>
    <row r="1025" spans="15:17" s="400" customFormat="1">
      <c r="O1025" s="1003"/>
      <c r="P1025" s="1003"/>
      <c r="Q1025" s="1003"/>
    </row>
    <row r="1026" spans="15:17" s="400" customFormat="1">
      <c r="O1026" s="1003"/>
      <c r="P1026" s="1003"/>
      <c r="Q1026" s="1003"/>
    </row>
    <row r="1027" spans="15:17" s="400" customFormat="1">
      <c r="O1027" s="1003"/>
      <c r="P1027" s="1003"/>
      <c r="Q1027" s="1003"/>
    </row>
    <row r="1028" spans="15:17" s="400" customFormat="1">
      <c r="O1028" s="1003"/>
      <c r="P1028" s="1003"/>
      <c r="Q1028" s="1003"/>
    </row>
    <row r="1029" spans="15:17" s="400" customFormat="1">
      <c r="O1029" s="1003"/>
      <c r="P1029" s="1003"/>
      <c r="Q1029" s="1003"/>
    </row>
    <row r="1030" spans="15:17" s="400" customFormat="1">
      <c r="O1030" s="1003"/>
      <c r="P1030" s="1003"/>
      <c r="Q1030" s="1003"/>
    </row>
    <row r="1031" spans="15:17" s="400" customFormat="1">
      <c r="O1031" s="1003"/>
      <c r="P1031" s="1003"/>
      <c r="Q1031" s="1003"/>
    </row>
    <row r="1032" spans="15:17" s="400" customFormat="1">
      <c r="O1032" s="1003"/>
      <c r="P1032" s="1003"/>
      <c r="Q1032" s="1003"/>
    </row>
    <row r="1033" spans="15:17" s="400" customFormat="1">
      <c r="O1033" s="1003"/>
      <c r="P1033" s="1003"/>
      <c r="Q1033" s="1003"/>
    </row>
    <row r="1034" spans="15:17" s="400" customFormat="1">
      <c r="O1034" s="1003"/>
      <c r="P1034" s="1003"/>
      <c r="Q1034" s="1003"/>
    </row>
    <row r="1035" spans="15:17" s="400" customFormat="1">
      <c r="O1035" s="1003"/>
      <c r="P1035" s="1003"/>
      <c r="Q1035" s="1003"/>
    </row>
    <row r="1036" spans="15:17" s="400" customFormat="1">
      <c r="O1036" s="1003"/>
      <c r="P1036" s="1003"/>
      <c r="Q1036" s="1003"/>
    </row>
    <row r="1037" spans="15:17" s="400" customFormat="1">
      <c r="O1037" s="1003"/>
      <c r="P1037" s="1003"/>
      <c r="Q1037" s="1003"/>
    </row>
    <row r="1038" spans="15:17" s="400" customFormat="1">
      <c r="O1038" s="1003"/>
      <c r="P1038" s="1003"/>
      <c r="Q1038" s="1003"/>
    </row>
    <row r="1039" spans="15:17" s="400" customFormat="1">
      <c r="O1039" s="1003"/>
      <c r="P1039" s="1003"/>
      <c r="Q1039" s="1003"/>
    </row>
    <row r="1040" spans="15:17" s="400" customFormat="1">
      <c r="O1040" s="1003"/>
      <c r="P1040" s="1003"/>
      <c r="Q1040" s="1003"/>
    </row>
    <row r="1041" spans="15:17" s="400" customFormat="1">
      <c r="O1041" s="1003"/>
      <c r="P1041" s="1003"/>
      <c r="Q1041" s="1003"/>
    </row>
    <row r="1042" spans="15:17" s="400" customFormat="1">
      <c r="O1042" s="1003"/>
      <c r="P1042" s="1003"/>
      <c r="Q1042" s="1003"/>
    </row>
    <row r="1043" spans="15:17" s="400" customFormat="1">
      <c r="O1043" s="1003"/>
      <c r="P1043" s="1003"/>
      <c r="Q1043" s="1003"/>
    </row>
    <row r="1044" spans="15:17" s="400" customFormat="1">
      <c r="O1044" s="1003"/>
      <c r="P1044" s="1003"/>
      <c r="Q1044" s="1003"/>
    </row>
    <row r="1045" spans="15:17" s="400" customFormat="1">
      <c r="O1045" s="1003"/>
      <c r="P1045" s="1003"/>
      <c r="Q1045" s="1003"/>
    </row>
    <row r="1046" spans="15:17" s="400" customFormat="1">
      <c r="O1046" s="1003"/>
      <c r="P1046" s="1003"/>
      <c r="Q1046" s="1003"/>
    </row>
    <row r="1047" spans="15:17" s="400" customFormat="1">
      <c r="O1047" s="1003"/>
      <c r="P1047" s="1003"/>
      <c r="Q1047" s="1003"/>
    </row>
    <row r="1048" spans="15:17" s="400" customFormat="1">
      <c r="O1048" s="1003"/>
      <c r="P1048" s="1003"/>
      <c r="Q1048" s="1003"/>
    </row>
    <row r="1049" spans="15:17" s="400" customFormat="1">
      <c r="O1049" s="1003"/>
      <c r="P1049" s="1003"/>
      <c r="Q1049" s="1003"/>
    </row>
    <row r="1050" spans="15:17" s="400" customFormat="1">
      <c r="O1050" s="1003"/>
      <c r="P1050" s="1003"/>
      <c r="Q1050" s="1003"/>
    </row>
    <row r="1051" spans="15:17" s="400" customFormat="1">
      <c r="O1051" s="1003"/>
      <c r="P1051" s="1003"/>
      <c r="Q1051" s="1003"/>
    </row>
    <row r="1052" spans="15:17" s="400" customFormat="1">
      <c r="O1052" s="1003"/>
      <c r="P1052" s="1003"/>
      <c r="Q1052" s="1003"/>
    </row>
    <row r="1053" spans="15:17" s="400" customFormat="1">
      <c r="O1053" s="1003"/>
      <c r="P1053" s="1003"/>
      <c r="Q1053" s="1003"/>
    </row>
    <row r="1054" spans="15:17" s="400" customFormat="1">
      <c r="O1054" s="1003"/>
      <c r="P1054" s="1003"/>
      <c r="Q1054" s="1003"/>
    </row>
    <row r="1055" spans="15:17" s="400" customFormat="1">
      <c r="O1055" s="1003"/>
      <c r="P1055" s="1003"/>
      <c r="Q1055" s="1003"/>
    </row>
    <row r="1056" spans="15:17" s="400" customFormat="1">
      <c r="O1056" s="1003"/>
      <c r="P1056" s="1003"/>
      <c r="Q1056" s="1003"/>
    </row>
    <row r="1057" spans="15:17" s="400" customFormat="1">
      <c r="O1057" s="1003"/>
      <c r="P1057" s="1003"/>
      <c r="Q1057" s="1003"/>
    </row>
    <row r="1058" spans="15:17" s="400" customFormat="1">
      <c r="O1058" s="1003"/>
      <c r="P1058" s="1003"/>
      <c r="Q1058" s="1003"/>
    </row>
    <row r="1059" spans="15:17" s="400" customFormat="1">
      <c r="O1059" s="1003"/>
      <c r="P1059" s="1003"/>
      <c r="Q1059" s="1003"/>
    </row>
    <row r="1060" spans="15:17" s="400" customFormat="1">
      <c r="O1060" s="1003"/>
      <c r="P1060" s="1003"/>
      <c r="Q1060" s="1003"/>
    </row>
    <row r="1061" spans="15:17" s="400" customFormat="1">
      <c r="O1061" s="1003"/>
      <c r="P1061" s="1003"/>
      <c r="Q1061" s="1003"/>
    </row>
    <row r="1062" spans="15:17" s="400" customFormat="1">
      <c r="O1062" s="1003"/>
      <c r="P1062" s="1003"/>
      <c r="Q1062" s="1003"/>
    </row>
    <row r="1063" spans="15:17" s="400" customFormat="1">
      <c r="O1063" s="1003"/>
      <c r="P1063" s="1003"/>
      <c r="Q1063" s="1003"/>
    </row>
    <row r="1064" spans="15:17" s="400" customFormat="1">
      <c r="O1064" s="1003"/>
      <c r="P1064" s="1003"/>
      <c r="Q1064" s="1003"/>
    </row>
    <row r="1065" spans="15:17" s="400" customFormat="1">
      <c r="O1065" s="1003"/>
      <c r="P1065" s="1003"/>
      <c r="Q1065" s="1003"/>
    </row>
    <row r="1066" spans="15:17" s="400" customFormat="1">
      <c r="O1066" s="1003"/>
      <c r="P1066" s="1003"/>
      <c r="Q1066" s="1003"/>
    </row>
    <row r="1067" spans="15:17" s="400" customFormat="1">
      <c r="O1067" s="1003"/>
      <c r="P1067" s="1003"/>
      <c r="Q1067" s="1003"/>
    </row>
    <row r="1068" spans="15:17" s="400" customFormat="1">
      <c r="O1068" s="1003"/>
      <c r="P1068" s="1003"/>
      <c r="Q1068" s="1003"/>
    </row>
    <row r="1069" spans="15:17" s="400" customFormat="1">
      <c r="O1069" s="1003"/>
      <c r="P1069" s="1003"/>
      <c r="Q1069" s="1003"/>
    </row>
    <row r="1070" spans="15:17" s="400" customFormat="1">
      <c r="O1070" s="1003"/>
      <c r="P1070" s="1003"/>
      <c r="Q1070" s="1003"/>
    </row>
    <row r="1071" spans="15:17" s="400" customFormat="1">
      <c r="O1071" s="1003"/>
      <c r="P1071" s="1003"/>
      <c r="Q1071" s="1003"/>
    </row>
    <row r="1072" spans="15:17" s="400" customFormat="1">
      <c r="O1072" s="1003"/>
      <c r="P1072" s="1003"/>
      <c r="Q1072" s="1003"/>
    </row>
    <row r="1073" spans="15:17" s="400" customFormat="1">
      <c r="O1073" s="1003"/>
      <c r="P1073" s="1003"/>
      <c r="Q1073" s="1003"/>
    </row>
    <row r="1074" spans="15:17" s="400" customFormat="1">
      <c r="O1074" s="1003"/>
      <c r="P1074" s="1003"/>
      <c r="Q1074" s="1003"/>
    </row>
    <row r="1075" spans="15:17" s="400" customFormat="1">
      <c r="O1075" s="1003"/>
      <c r="P1075" s="1003"/>
      <c r="Q1075" s="1003"/>
    </row>
    <row r="1076" spans="15:17" s="400" customFormat="1">
      <c r="O1076" s="1003"/>
      <c r="P1076" s="1003"/>
      <c r="Q1076" s="1003"/>
    </row>
    <row r="1077" spans="15:17" s="400" customFormat="1">
      <c r="O1077" s="1003"/>
      <c r="P1077" s="1003"/>
      <c r="Q1077" s="1003"/>
    </row>
    <row r="1078" spans="15:17" s="400" customFormat="1">
      <c r="O1078" s="1003"/>
      <c r="P1078" s="1003"/>
      <c r="Q1078" s="1003"/>
    </row>
    <row r="1079" spans="15:17" s="400" customFormat="1">
      <c r="O1079" s="1003"/>
      <c r="P1079" s="1003"/>
      <c r="Q1079" s="1003"/>
    </row>
    <row r="1080" spans="15:17" s="400" customFormat="1">
      <c r="O1080" s="1003"/>
      <c r="P1080" s="1003"/>
      <c r="Q1080" s="1003"/>
    </row>
    <row r="1081" spans="15:17" s="400" customFormat="1">
      <c r="O1081" s="1003"/>
      <c r="P1081" s="1003"/>
      <c r="Q1081" s="1003"/>
    </row>
    <row r="1082" spans="15:17" s="400" customFormat="1">
      <c r="O1082" s="1003"/>
      <c r="P1082" s="1003"/>
      <c r="Q1082" s="1003"/>
    </row>
    <row r="1083" spans="15:17" s="400" customFormat="1">
      <c r="O1083" s="1003"/>
      <c r="P1083" s="1003"/>
      <c r="Q1083" s="1003"/>
    </row>
    <row r="1084" spans="15:17" s="400" customFormat="1">
      <c r="O1084" s="1003"/>
      <c r="P1084" s="1003"/>
      <c r="Q1084" s="1003"/>
    </row>
    <row r="1085" spans="15:17" s="400" customFormat="1">
      <c r="O1085" s="1003"/>
      <c r="P1085" s="1003"/>
      <c r="Q1085" s="1003"/>
    </row>
    <row r="1086" spans="15:17" s="400" customFormat="1">
      <c r="O1086" s="1003"/>
      <c r="P1086" s="1003"/>
      <c r="Q1086" s="1003"/>
    </row>
    <row r="1087" spans="15:17" s="400" customFormat="1">
      <c r="O1087" s="1003"/>
      <c r="P1087" s="1003"/>
      <c r="Q1087" s="1003"/>
    </row>
    <row r="1088" spans="15:17" s="400" customFormat="1">
      <c r="O1088" s="1003"/>
      <c r="P1088" s="1003"/>
      <c r="Q1088" s="1003"/>
    </row>
    <row r="1089" spans="15:17" s="400" customFormat="1">
      <c r="O1089" s="1003"/>
      <c r="P1089" s="1003"/>
      <c r="Q1089" s="1003"/>
    </row>
    <row r="1090" spans="15:17" s="400" customFormat="1">
      <c r="O1090" s="1003"/>
      <c r="P1090" s="1003"/>
      <c r="Q1090" s="1003"/>
    </row>
    <row r="1091" spans="15:17" s="400" customFormat="1">
      <c r="O1091" s="1003"/>
      <c r="P1091" s="1003"/>
      <c r="Q1091" s="1003"/>
    </row>
    <row r="1092" spans="15:17" s="400" customFormat="1">
      <c r="O1092" s="1003"/>
      <c r="P1092" s="1003"/>
      <c r="Q1092" s="1003"/>
    </row>
    <row r="1093" spans="15:17" s="400" customFormat="1">
      <c r="O1093" s="1003"/>
      <c r="P1093" s="1003"/>
      <c r="Q1093" s="1003"/>
    </row>
    <row r="1094" spans="15:17" s="400" customFormat="1">
      <c r="O1094" s="1003"/>
      <c r="P1094" s="1003"/>
      <c r="Q1094" s="1003"/>
    </row>
    <row r="1095" spans="15:17" s="400" customFormat="1">
      <c r="O1095" s="1003"/>
      <c r="P1095" s="1003"/>
      <c r="Q1095" s="1003"/>
    </row>
    <row r="1096" spans="15:17" s="400" customFormat="1">
      <c r="O1096" s="1003"/>
      <c r="P1096" s="1003"/>
      <c r="Q1096" s="1003"/>
    </row>
    <row r="1097" spans="15:17" s="400" customFormat="1">
      <c r="O1097" s="1003"/>
      <c r="P1097" s="1003"/>
      <c r="Q1097" s="1003"/>
    </row>
    <row r="1098" spans="15:17" s="400" customFormat="1">
      <c r="O1098" s="1003"/>
      <c r="P1098" s="1003"/>
      <c r="Q1098" s="1003"/>
    </row>
    <row r="1099" spans="15:17" s="400" customFormat="1">
      <c r="O1099" s="1003"/>
      <c r="P1099" s="1003"/>
      <c r="Q1099" s="1003"/>
    </row>
    <row r="1100" spans="15:17" s="400" customFormat="1">
      <c r="O1100" s="1003"/>
      <c r="P1100" s="1003"/>
      <c r="Q1100" s="1003"/>
    </row>
    <row r="1101" spans="15:17" s="400" customFormat="1">
      <c r="O1101" s="1003"/>
      <c r="P1101" s="1003"/>
      <c r="Q1101" s="1003"/>
    </row>
    <row r="1102" spans="15:17" s="400" customFormat="1">
      <c r="O1102" s="1003"/>
      <c r="P1102" s="1003"/>
      <c r="Q1102" s="1003"/>
    </row>
    <row r="1103" spans="15:17" s="400" customFormat="1">
      <c r="O1103" s="1003"/>
      <c r="P1103" s="1003"/>
      <c r="Q1103" s="1003"/>
    </row>
    <row r="1104" spans="15:17" s="400" customFormat="1">
      <c r="O1104" s="1003"/>
      <c r="P1104" s="1003"/>
      <c r="Q1104" s="1003"/>
    </row>
    <row r="1105" spans="15:17" s="400" customFormat="1">
      <c r="O1105" s="1003"/>
      <c r="P1105" s="1003"/>
      <c r="Q1105" s="1003"/>
    </row>
    <row r="1106" spans="15:17" s="400" customFormat="1">
      <c r="O1106" s="1003"/>
      <c r="P1106" s="1003"/>
      <c r="Q1106" s="1003"/>
    </row>
    <row r="1107" spans="15:17" s="400" customFormat="1">
      <c r="O1107" s="1003"/>
      <c r="P1107" s="1003"/>
      <c r="Q1107" s="1003"/>
    </row>
    <row r="1108" spans="15:17" s="400" customFormat="1">
      <c r="O1108" s="1003"/>
      <c r="P1108" s="1003"/>
      <c r="Q1108" s="1003"/>
    </row>
    <row r="1109" spans="15:17" s="400" customFormat="1">
      <c r="O1109" s="1003"/>
      <c r="P1109" s="1003"/>
      <c r="Q1109" s="1003"/>
    </row>
    <row r="1110" spans="15:17" s="400" customFormat="1">
      <c r="O1110" s="1003"/>
      <c r="P1110" s="1003"/>
      <c r="Q1110" s="1003"/>
    </row>
    <row r="1111" spans="15:17" s="400" customFormat="1">
      <c r="O1111" s="1003"/>
      <c r="P1111" s="1003"/>
      <c r="Q1111" s="1003"/>
    </row>
    <row r="1112" spans="15:17" s="400" customFormat="1">
      <c r="O1112" s="1003"/>
      <c r="P1112" s="1003"/>
      <c r="Q1112" s="1003"/>
    </row>
    <row r="1113" spans="15:17" s="400" customFormat="1">
      <c r="O1113" s="1003"/>
      <c r="P1113" s="1003"/>
      <c r="Q1113" s="1003"/>
    </row>
    <row r="1114" spans="15:17" s="400" customFormat="1">
      <c r="O1114" s="1003"/>
      <c r="P1114" s="1003"/>
      <c r="Q1114" s="1003"/>
    </row>
    <row r="1115" spans="15:17" s="400" customFormat="1">
      <c r="O1115" s="1003"/>
      <c r="P1115" s="1003"/>
      <c r="Q1115" s="1003"/>
    </row>
    <row r="1116" spans="15:17" s="400" customFormat="1">
      <c r="O1116" s="1003"/>
      <c r="P1116" s="1003"/>
      <c r="Q1116" s="1003"/>
    </row>
    <row r="1117" spans="15:17" s="400" customFormat="1">
      <c r="O1117" s="1003"/>
      <c r="P1117" s="1003"/>
      <c r="Q1117" s="1003"/>
    </row>
    <row r="1118" spans="15:17" s="400" customFormat="1">
      <c r="O1118" s="1003"/>
      <c r="P1118" s="1003"/>
      <c r="Q1118" s="1003"/>
    </row>
    <row r="1119" spans="15:17" s="400" customFormat="1">
      <c r="O1119" s="1003"/>
      <c r="P1119" s="1003"/>
      <c r="Q1119" s="1003"/>
    </row>
    <row r="1120" spans="15:17" s="400" customFormat="1">
      <c r="O1120" s="1003"/>
      <c r="P1120" s="1003"/>
      <c r="Q1120" s="1003"/>
    </row>
    <row r="1121" spans="15:17" s="400" customFormat="1">
      <c r="O1121" s="1003"/>
      <c r="P1121" s="1003"/>
      <c r="Q1121" s="1003"/>
    </row>
    <row r="1122" spans="15:17" s="400" customFormat="1">
      <c r="O1122" s="1003"/>
      <c r="P1122" s="1003"/>
      <c r="Q1122" s="1003"/>
    </row>
    <row r="1123" spans="15:17" s="400" customFormat="1">
      <c r="O1123" s="1003"/>
      <c r="P1123" s="1003"/>
      <c r="Q1123" s="1003"/>
    </row>
    <row r="1124" spans="15:17" s="400" customFormat="1">
      <c r="O1124" s="1003"/>
      <c r="P1124" s="1003"/>
      <c r="Q1124" s="1003"/>
    </row>
    <row r="1125" spans="15:17" s="400" customFormat="1">
      <c r="O1125" s="1003"/>
      <c r="P1125" s="1003"/>
      <c r="Q1125" s="1003"/>
    </row>
    <row r="1126" spans="15:17" s="400" customFormat="1">
      <c r="O1126" s="1003"/>
      <c r="P1126" s="1003"/>
      <c r="Q1126" s="1003"/>
    </row>
    <row r="1127" spans="15:17" s="400" customFormat="1">
      <c r="O1127" s="1003"/>
      <c r="P1127" s="1003"/>
      <c r="Q1127" s="1003"/>
    </row>
    <row r="1128" spans="15:17" s="400" customFormat="1">
      <c r="O1128" s="1003"/>
      <c r="P1128" s="1003"/>
      <c r="Q1128" s="1003"/>
    </row>
    <row r="1129" spans="15:17" s="400" customFormat="1">
      <c r="O1129" s="1003"/>
      <c r="P1129" s="1003"/>
      <c r="Q1129" s="1003"/>
    </row>
    <row r="1130" spans="15:17" s="400" customFormat="1">
      <c r="O1130" s="1003"/>
      <c r="P1130" s="1003"/>
      <c r="Q1130" s="1003"/>
    </row>
    <row r="1131" spans="15:17" s="400" customFormat="1">
      <c r="O1131" s="1003"/>
      <c r="P1131" s="1003"/>
      <c r="Q1131" s="1003"/>
    </row>
    <row r="1132" spans="15:17" s="400" customFormat="1">
      <c r="O1132" s="1003"/>
      <c r="P1132" s="1003"/>
      <c r="Q1132" s="1003"/>
    </row>
    <row r="1133" spans="15:17" s="400" customFormat="1">
      <c r="O1133" s="1003"/>
      <c r="P1133" s="1003"/>
      <c r="Q1133" s="1003"/>
    </row>
    <row r="1134" spans="15:17" s="400" customFormat="1">
      <c r="O1134" s="1003"/>
      <c r="P1134" s="1003"/>
      <c r="Q1134" s="1003"/>
    </row>
    <row r="1135" spans="15:17" s="400" customFormat="1">
      <c r="O1135" s="1003"/>
      <c r="P1135" s="1003"/>
      <c r="Q1135" s="1003"/>
    </row>
    <row r="1136" spans="15:17" s="400" customFormat="1">
      <c r="O1136" s="1003"/>
      <c r="P1136" s="1003"/>
      <c r="Q1136" s="1003"/>
    </row>
  </sheetData>
  <sheetProtection algorithmName="SHA-512" hashValue="rWgVDB9Snxx1dC8gTFlJ0YCuHTBgNYHFL9R7TLfUxcPy9ExOtGn30rhtjHe0nCSzWB3nEFtnsxtuKpZr5Ar0jg==" saltValue="qHxIX0jdac2yMDpKF8WIrg==" spinCount="100000" sheet="1" objects="1" scenarios="1"/>
  <mergeCells count="244">
    <mergeCell ref="A11:H11"/>
    <mergeCell ref="A2:R2"/>
    <mergeCell ref="M15:M17"/>
    <mergeCell ref="N15:N17"/>
    <mergeCell ref="O15:O17"/>
    <mergeCell ref="P15:P17"/>
    <mergeCell ref="Q15:Q17"/>
    <mergeCell ref="M20:M21"/>
    <mergeCell ref="N20:N21"/>
    <mergeCell ref="O20:O21"/>
    <mergeCell ref="K15:K19"/>
    <mergeCell ref="K20:K23"/>
    <mergeCell ref="P22:P23"/>
    <mergeCell ref="Q22:Q23"/>
    <mergeCell ref="M22:M23"/>
    <mergeCell ref="N22:N23"/>
    <mergeCell ref="O22:O23"/>
    <mergeCell ref="R15:R19"/>
    <mergeCell ref="R20:R23"/>
    <mergeCell ref="B12:B13"/>
    <mergeCell ref="B18:B19"/>
    <mergeCell ref="A20:A21"/>
    <mergeCell ref="B20:B21"/>
    <mergeCell ref="C20:C21"/>
    <mergeCell ref="R27:R28"/>
    <mergeCell ref="R29:R32"/>
    <mergeCell ref="R33:R35"/>
    <mergeCell ref="R44:R46"/>
    <mergeCell ref="R61:R62"/>
    <mergeCell ref="R80:R81"/>
    <mergeCell ref="R83:R84"/>
    <mergeCell ref="R54:R56"/>
    <mergeCell ref="R51:R53"/>
    <mergeCell ref="R57:R59"/>
    <mergeCell ref="R24:R26"/>
    <mergeCell ref="R38:R40"/>
    <mergeCell ref="R41:R43"/>
    <mergeCell ref="D12:D13"/>
    <mergeCell ref="E12:E13"/>
    <mergeCell ref="F12:F13"/>
    <mergeCell ref="G12:G13"/>
    <mergeCell ref="L15:L17"/>
    <mergeCell ref="O12:Q12"/>
    <mergeCell ref="R12:R13"/>
    <mergeCell ref="L12:L13"/>
    <mergeCell ref="M12:M13"/>
    <mergeCell ref="N12:N13"/>
    <mergeCell ref="Q18:Q19"/>
    <mergeCell ref="L20:L21"/>
    <mergeCell ref="L18:L19"/>
    <mergeCell ref="M18:M19"/>
    <mergeCell ref="N18:N19"/>
    <mergeCell ref="O18:O19"/>
    <mergeCell ref="P18:P19"/>
    <mergeCell ref="P20:P21"/>
    <mergeCell ref="Q20:Q21"/>
    <mergeCell ref="K12:K13"/>
    <mergeCell ref="J12:J13"/>
    <mergeCell ref="C18:C19"/>
    <mergeCell ref="E104:J104"/>
    <mergeCell ref="K24:K26"/>
    <mergeCell ref="K27:K28"/>
    <mergeCell ref="K29:K32"/>
    <mergeCell ref="K33:K35"/>
    <mergeCell ref="K38:K40"/>
    <mergeCell ref="K41:K43"/>
    <mergeCell ref="K44:K46"/>
    <mergeCell ref="K51:K53"/>
    <mergeCell ref="K54:K56"/>
    <mergeCell ref="K57:K59"/>
    <mergeCell ref="K61:K62"/>
    <mergeCell ref="K80:K81"/>
    <mergeCell ref="K83:K84"/>
    <mergeCell ref="K87:K89"/>
    <mergeCell ref="C27:C28"/>
    <mergeCell ref="L27:L28"/>
    <mergeCell ref="M24:M26"/>
    <mergeCell ref="N24:N26"/>
    <mergeCell ref="O24:O26"/>
    <mergeCell ref="P24:P26"/>
    <mergeCell ref="Q24:Q26"/>
    <mergeCell ref="M29:M32"/>
    <mergeCell ref="B29:B32"/>
    <mergeCell ref="C29:C32"/>
    <mergeCell ref="L29:L32"/>
    <mergeCell ref="P27:P28"/>
    <mergeCell ref="Q27:Q28"/>
    <mergeCell ref="M27:M28"/>
    <mergeCell ref="N27:N28"/>
    <mergeCell ref="O27:O28"/>
    <mergeCell ref="C24:C26"/>
    <mergeCell ref="L24:L26"/>
    <mergeCell ref="B24:B26"/>
    <mergeCell ref="M57:M59"/>
    <mergeCell ref="Q61:Q62"/>
    <mergeCell ref="L61:L62"/>
    <mergeCell ref="M61:M62"/>
    <mergeCell ref="N61:N62"/>
    <mergeCell ref="Q38:Q40"/>
    <mergeCell ref="A41:A43"/>
    <mergeCell ref="B41:B43"/>
    <mergeCell ref="C41:C43"/>
    <mergeCell ref="L41:L43"/>
    <mergeCell ref="M41:M43"/>
    <mergeCell ref="C38:C40"/>
    <mergeCell ref="L38:L40"/>
    <mergeCell ref="M38:M40"/>
    <mergeCell ref="N38:N40"/>
    <mergeCell ref="O38:O40"/>
    <mergeCell ref="P38:P40"/>
    <mergeCell ref="A38:A40"/>
    <mergeCell ref="B38:B40"/>
    <mergeCell ref="N41:N43"/>
    <mergeCell ref="O41:O43"/>
    <mergeCell ref="P41:P43"/>
    <mergeCell ref="Q41:Q43"/>
    <mergeCell ref="B51:B53"/>
    <mergeCell ref="R87:R89"/>
    <mergeCell ref="B102:D102"/>
    <mergeCell ref="Q87:Q89"/>
    <mergeCell ref="B101:D101"/>
    <mergeCell ref="B99:D99"/>
    <mergeCell ref="B100:D100"/>
    <mergeCell ref="C87:C89"/>
    <mergeCell ref="B92:D92"/>
    <mergeCell ref="B94:D94"/>
    <mergeCell ref="B91:D91"/>
    <mergeCell ref="B93:D93"/>
    <mergeCell ref="A90:D90"/>
    <mergeCell ref="B95:D95"/>
    <mergeCell ref="B96:D96"/>
    <mergeCell ref="B97:D97"/>
    <mergeCell ref="B98:D98"/>
    <mergeCell ref="A91:A102"/>
    <mergeCell ref="P87:P89"/>
    <mergeCell ref="L87:L89"/>
    <mergeCell ref="M87:M89"/>
    <mergeCell ref="N87:N89"/>
    <mergeCell ref="O87:O89"/>
    <mergeCell ref="A61:A62"/>
    <mergeCell ref="B61:B62"/>
    <mergeCell ref="C61:C62"/>
    <mergeCell ref="Q51:Q53"/>
    <mergeCell ref="Q54:Q56"/>
    <mergeCell ref="O61:O62"/>
    <mergeCell ref="P61:P62"/>
    <mergeCell ref="Q44:Q46"/>
    <mergeCell ref="A87:A89"/>
    <mergeCell ref="B87:B89"/>
    <mergeCell ref="C51:C53"/>
    <mergeCell ref="L51:L53"/>
    <mergeCell ref="M51:M53"/>
    <mergeCell ref="C44:C46"/>
    <mergeCell ref="A44:A46"/>
    <mergeCell ref="B44:B46"/>
    <mergeCell ref="N51:N53"/>
    <mergeCell ref="O51:O53"/>
    <mergeCell ref="P51:P53"/>
    <mergeCell ref="A51:A53"/>
    <mergeCell ref="B47:B48"/>
    <mergeCell ref="A49:A50"/>
    <mergeCell ref="B49:B50"/>
    <mergeCell ref="A54:A56"/>
    <mergeCell ref="P80:P81"/>
    <mergeCell ref="Q80:Q81"/>
    <mergeCell ref="A83:A84"/>
    <mergeCell ref="B83:B84"/>
    <mergeCell ref="C83:C84"/>
    <mergeCell ref="B80:B81"/>
    <mergeCell ref="C80:C81"/>
    <mergeCell ref="L80:L81"/>
    <mergeCell ref="M80:M81"/>
    <mergeCell ref="N80:N81"/>
    <mergeCell ref="O80:O81"/>
    <mergeCell ref="A80:A81"/>
    <mergeCell ref="P83:P84"/>
    <mergeCell ref="Q83:Q84"/>
    <mergeCell ref="N83:N84"/>
    <mergeCell ref="O83:O84"/>
    <mergeCell ref="L83:L84"/>
    <mergeCell ref="M83:M84"/>
    <mergeCell ref="A1:F1"/>
    <mergeCell ref="H1:L1"/>
    <mergeCell ref="A57:A59"/>
    <mergeCell ref="B57:B59"/>
    <mergeCell ref="C57:C59"/>
    <mergeCell ref="L57:L59"/>
    <mergeCell ref="L44:L46"/>
    <mergeCell ref="B54:B56"/>
    <mergeCell ref="C54:C56"/>
    <mergeCell ref="L54:L56"/>
    <mergeCell ref="A47:A48"/>
    <mergeCell ref="L36:L37"/>
    <mergeCell ref="A29:A32"/>
    <mergeCell ref="A27:A28"/>
    <mergeCell ref="A24:A26"/>
    <mergeCell ref="A18:A19"/>
    <mergeCell ref="A15:A17"/>
    <mergeCell ref="B15:B17"/>
    <mergeCell ref="C15:C17"/>
    <mergeCell ref="H12:H13"/>
    <mergeCell ref="I12:I13"/>
    <mergeCell ref="A36:A37"/>
    <mergeCell ref="B36:B37"/>
    <mergeCell ref="C36:C37"/>
    <mergeCell ref="M54:M56"/>
    <mergeCell ref="N54:N56"/>
    <mergeCell ref="O54:O56"/>
    <mergeCell ref="P54:P56"/>
    <mergeCell ref="M36:M37"/>
    <mergeCell ref="N36:N37"/>
    <mergeCell ref="O36:O37"/>
    <mergeCell ref="P36:P37"/>
    <mergeCell ref="N31:N32"/>
    <mergeCell ref="O31:O32"/>
    <mergeCell ref="P31:P32"/>
    <mergeCell ref="P33:P35"/>
    <mergeCell ref="M33:M35"/>
    <mergeCell ref="N33:N35"/>
    <mergeCell ref="O33:O35"/>
    <mergeCell ref="B4:R4"/>
    <mergeCell ref="B5:R5"/>
    <mergeCell ref="B6:R6"/>
    <mergeCell ref="B7:Q7"/>
    <mergeCell ref="B8:Q8"/>
    <mergeCell ref="A9:Q9"/>
    <mergeCell ref="M44:M46"/>
    <mergeCell ref="N44:N46"/>
    <mergeCell ref="O44:O46"/>
    <mergeCell ref="P44:P46"/>
    <mergeCell ref="C12:C13"/>
    <mergeCell ref="B22:B23"/>
    <mergeCell ref="C22:C23"/>
    <mergeCell ref="L22:L23"/>
    <mergeCell ref="A22:A23"/>
    <mergeCell ref="A12:A13"/>
    <mergeCell ref="Q36:Q37"/>
    <mergeCell ref="Q33:Q35"/>
    <mergeCell ref="B33:B35"/>
    <mergeCell ref="C33:C35"/>
    <mergeCell ref="L33:L35"/>
    <mergeCell ref="A33:A35"/>
    <mergeCell ref="Q31:Q32"/>
    <mergeCell ref="B27:B28"/>
  </mergeCells>
  <conditionalFormatting sqref="G13:J13 E12:L12">
    <cfRule type="dataBar" priority="2">
      <dataBar>
        <cfvo type="min"/>
        <cfvo type="max"/>
        <color rgb="FF638EC6"/>
      </dataBar>
      <extLst>
        <ext xmlns:x14="http://schemas.microsoft.com/office/spreadsheetml/2009/9/main" uri="{B025F937-C7B1-47D3-B67F-A62EFF666E3E}">
          <x14:id>{E5A32450-3EF7-4A95-BF8A-8AC7E1B58B86}</x14:id>
        </ext>
      </extLst>
    </cfRule>
  </conditionalFormatting>
  <pageMargins left="0.7" right="0.7" top="0.75" bottom="0.75" header="0.3" footer="0.3"/>
  <pageSetup paperSize="8" scale="67" fitToHeight="0" orientation="landscape" r:id="rId1"/>
  <extLst>
    <ext xmlns:x14="http://schemas.microsoft.com/office/spreadsheetml/2009/9/main" uri="{78C0D931-6437-407d-A8EE-F0AAD7539E65}">
      <x14:conditionalFormattings>
        <x14:conditionalFormatting xmlns:xm="http://schemas.microsoft.com/office/excel/2006/main">
          <x14:cfRule type="dataBar" id="{E5A32450-3EF7-4A95-BF8A-8AC7E1B58B86}">
            <x14:dataBar minLength="0" maxLength="100" border="1" negativeBarBorderColorSameAsPositive="0">
              <x14:cfvo type="autoMin"/>
              <x14:cfvo type="autoMax"/>
              <x14:borderColor rgb="FF638EC6"/>
              <x14:negativeFillColor rgb="FFFF0000"/>
              <x14:negativeBorderColor rgb="FFFF0000"/>
              <x14:axisColor rgb="FF000000"/>
            </x14:dataBar>
          </x14:cfRule>
          <xm:sqref>G13:J13 E12:L12</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6EF1A-E9CF-4D17-87A0-4DB135A69904}">
  <sheetPr>
    <pageSetUpPr fitToPage="1"/>
  </sheetPr>
  <dimension ref="A1:U1215"/>
  <sheetViews>
    <sheetView zoomScale="80" zoomScaleNormal="80" workbookViewId="0">
      <pane xSplit="8" ySplit="16" topLeftCell="I51" activePane="bottomRight" state="frozen"/>
      <selection pane="topRight" activeCell="M1" sqref="M1"/>
      <selection pane="bottomLeft" activeCell="A8" sqref="A8"/>
      <selection pane="bottomRight" activeCell="AG41" sqref="AG41:AG50"/>
    </sheetView>
  </sheetViews>
  <sheetFormatPr defaultColWidth="9.109375" defaultRowHeight="21" customHeight="1"/>
  <cols>
    <col min="1" max="1" width="16.21875" style="387" customWidth="1"/>
    <col min="2" max="2" width="33.44140625" style="387" customWidth="1"/>
    <col min="3" max="3" width="4.33203125" style="387" customWidth="1"/>
    <col min="4" max="4" width="5.5546875" style="387" customWidth="1"/>
    <col min="5" max="6" width="10.6640625" style="404" hidden="1" customWidth="1"/>
    <col min="7" max="7" width="10.6640625" style="387" hidden="1" customWidth="1"/>
    <col min="8" max="9" width="10.6640625" style="387" customWidth="1"/>
    <col min="10" max="10" width="11.33203125" style="387" customWidth="1"/>
    <col min="11" max="11" width="12.33203125" style="387" customWidth="1"/>
    <col min="12" max="12" width="61" style="387" customWidth="1"/>
    <col min="13" max="13" width="12.88671875" style="387" customWidth="1"/>
    <col min="14" max="14" width="30.5546875" style="387" customWidth="1"/>
    <col min="15" max="17" width="6.33203125" style="441" customWidth="1"/>
    <col min="18" max="18" width="13.109375" style="387" customWidth="1"/>
    <col min="19" max="19" width="21.109375" style="387" customWidth="1"/>
    <col min="20" max="20" width="23.109375" style="387" hidden="1" customWidth="1"/>
    <col min="21" max="21" width="8.88671875" style="387" hidden="1" customWidth="1"/>
    <col min="22" max="22" width="0" style="387" hidden="1" customWidth="1"/>
    <col min="23" max="16384" width="9.109375" style="387"/>
  </cols>
  <sheetData>
    <row r="1" spans="1:19" ht="21" customHeight="1">
      <c r="A1" s="1935" t="s">
        <v>2774</v>
      </c>
      <c r="B1" s="1935"/>
      <c r="C1" s="1935"/>
      <c r="D1" s="1935"/>
      <c r="E1" s="1935"/>
      <c r="F1" s="1935"/>
      <c r="G1" s="1935"/>
      <c r="H1" s="1935"/>
      <c r="I1" s="1935"/>
      <c r="J1" s="1935"/>
      <c r="K1" s="1935"/>
      <c r="L1" s="402"/>
      <c r="O1" s="1934"/>
      <c r="P1" s="1934"/>
      <c r="Q1" s="1934"/>
      <c r="R1" s="1934"/>
      <c r="S1" s="1934"/>
    </row>
    <row r="2" spans="1:19" ht="22.5" customHeight="1">
      <c r="A2" s="2276" t="s">
        <v>3681</v>
      </c>
      <c r="B2" s="2277"/>
      <c r="C2" s="2277"/>
      <c r="D2" s="2277"/>
      <c r="E2" s="2277"/>
      <c r="F2" s="2277"/>
      <c r="G2" s="2277"/>
      <c r="H2" s="2277"/>
      <c r="I2" s="2277"/>
      <c r="J2" s="2277"/>
      <c r="K2" s="2277"/>
      <c r="L2" s="2277"/>
      <c r="M2" s="2277"/>
      <c r="N2" s="2277"/>
      <c r="O2" s="2277"/>
      <c r="P2" s="2277"/>
      <c r="Q2" s="2277"/>
      <c r="R2" s="2277"/>
      <c r="S2" s="2277"/>
    </row>
    <row r="3" spans="1:19" ht="12.6" customHeight="1">
      <c r="A3" s="390" t="str">
        <f>A17</f>
        <v>09.01.01. (T)</v>
      </c>
      <c r="B3" s="390" t="str">
        <f>B17</f>
        <v>Sudaryti kuo palankesnes sąlygas pradėti ir plėtoti verslą, skatinti jaunimo verslumą bei didinti gyventojų užimtumą</v>
      </c>
      <c r="C3" s="390"/>
      <c r="D3" s="390"/>
      <c r="E3" s="390"/>
      <c r="F3" s="390"/>
      <c r="G3" s="390"/>
      <c r="H3" s="390"/>
      <c r="I3" s="390"/>
      <c r="J3" s="549"/>
      <c r="K3" s="549"/>
    </row>
    <row r="4" spans="1:19" ht="11.4" customHeight="1">
      <c r="A4" s="390" t="str">
        <f>A66</f>
        <v>09.02.01.(T)</v>
      </c>
      <c r="B4" s="390" t="str">
        <f>B66</f>
        <v>Pritraukti ES ir kitų fondų lėšas miesto plėtros projektams įgyvendinti</v>
      </c>
      <c r="C4" s="390"/>
      <c r="D4" s="390"/>
      <c r="E4" s="390"/>
      <c r="F4" s="390"/>
      <c r="G4" s="390"/>
      <c r="H4" s="390"/>
      <c r="I4" s="390"/>
      <c r="J4" s="549"/>
      <c r="K4" s="549"/>
    </row>
    <row r="5" spans="1:19" ht="11.4" customHeight="1">
      <c r="A5" s="390" t="str">
        <f>A73</f>
        <v>09.02.02. (T)</v>
      </c>
      <c r="B5" s="390" t="str">
        <f>B73</f>
        <v>Kurti aplinką, kuri sąlygotų investicijų 
pritraukimą</v>
      </c>
      <c r="C5" s="390"/>
      <c r="D5" s="390"/>
      <c r="E5" s="390"/>
      <c r="F5" s="390"/>
      <c r="G5" s="390"/>
      <c r="H5" s="390"/>
      <c r="I5" s="390"/>
      <c r="J5" s="549"/>
      <c r="K5" s="549"/>
    </row>
    <row r="6" spans="1:19" ht="12.6" customHeight="1">
      <c r="A6" s="390" t="str">
        <f>A84</f>
        <v>09.02.03. (T)</v>
      </c>
      <c r="B6" s="390" t="str">
        <f>B84</f>
        <v>Savivaldybės ekonominės plėtros gairių specializacijų vystymas</v>
      </c>
      <c r="C6" s="390"/>
      <c r="D6" s="390"/>
      <c r="E6" s="390"/>
      <c r="F6" s="390"/>
      <c r="G6" s="390"/>
      <c r="H6" s="390"/>
      <c r="I6" s="390"/>
      <c r="J6" s="549"/>
      <c r="K6" s="549"/>
    </row>
    <row r="7" spans="1:19" ht="16.8" customHeight="1">
      <c r="A7" s="390" t="str">
        <f>A95</f>
        <v>09.03.01. (PP,TP)</v>
      </c>
      <c r="B7" s="390" t="str">
        <f>B95</f>
        <v>Plėsti turizmo, rekreacijos, 
poilsio ir paslaugų infrastruktūrą</v>
      </c>
      <c r="C7" s="390"/>
      <c r="D7" s="390"/>
      <c r="E7" s="390"/>
      <c r="F7" s="390"/>
      <c r="G7" s="390"/>
      <c r="H7" s="390"/>
      <c r="I7" s="390"/>
      <c r="J7" s="549"/>
      <c r="K7" s="549"/>
    </row>
    <row r="8" spans="1:19" ht="12.6" customHeight="1">
      <c r="A8" s="390" t="str">
        <f>A147</f>
        <v>09.03.02. (T)</v>
      </c>
      <c r="B8" s="390" t="str">
        <f>B147</f>
        <v>Užtikrinti turizmo informacijos sklaidą, skatinti turizmo plėtrą savivaldybėje</v>
      </c>
      <c r="C8" s="390"/>
      <c r="D8" s="390"/>
      <c r="E8" s="390"/>
      <c r="F8" s="390"/>
      <c r="G8" s="390"/>
      <c r="H8" s="390"/>
      <c r="I8" s="390"/>
      <c r="J8" s="549"/>
      <c r="K8" s="549"/>
    </row>
    <row r="9" spans="1:19" ht="9" customHeight="1">
      <c r="A9" s="390" t="str">
        <f>A166</f>
        <v>09.04.01. (P)</v>
      </c>
      <c r="B9" s="390" t="str">
        <f>B166</f>
        <v>Įgyvendinti funkcinės
 zonos Visagino, Ignalinos ir Zarasų rajonų savivaldybių teritorijose strategiją</v>
      </c>
      <c r="C9" s="390"/>
      <c r="D9" s="390"/>
      <c r="E9" s="390"/>
      <c r="F9" s="390"/>
      <c r="G9" s="390"/>
      <c r="H9" s="390"/>
      <c r="I9" s="390"/>
      <c r="J9" s="549"/>
      <c r="K9" s="549"/>
    </row>
    <row r="10" spans="1:19" ht="7.95" customHeight="1">
      <c r="A10" s="390"/>
      <c r="B10" s="390"/>
      <c r="C10" s="390"/>
      <c r="D10" s="390"/>
      <c r="E10" s="390"/>
      <c r="F10" s="390"/>
      <c r="G10" s="390"/>
      <c r="H10" s="390"/>
      <c r="I10" s="390"/>
    </row>
    <row r="11" spans="1:19" ht="18" customHeight="1">
      <c r="A11" s="1936" t="s">
        <v>1463</v>
      </c>
      <c r="B11" s="1936"/>
      <c r="C11" s="1936"/>
      <c r="D11" s="1936"/>
      <c r="E11" s="1936"/>
      <c r="F11" s="419"/>
      <c r="G11" s="419"/>
      <c r="H11" s="401"/>
      <c r="I11" s="382"/>
      <c r="J11" s="382"/>
      <c r="K11" s="382"/>
      <c r="L11" s="382"/>
      <c r="O11" s="940"/>
      <c r="P11" s="940"/>
      <c r="Q11" s="940"/>
      <c r="R11" s="401"/>
      <c r="S11" s="401"/>
    </row>
    <row r="12" spans="1:19" ht="44.4" customHeight="1">
      <c r="A12" s="1936" t="s">
        <v>3867</v>
      </c>
      <c r="B12" s="1936"/>
      <c r="C12" s="1936"/>
      <c r="D12" s="1936"/>
      <c r="E12" s="1936"/>
      <c r="F12" s="1936"/>
      <c r="G12" s="1936"/>
      <c r="H12" s="1936"/>
      <c r="I12" s="1936"/>
      <c r="J12" s="1936"/>
      <c r="K12" s="1936"/>
      <c r="L12" s="1936"/>
      <c r="M12" s="1936"/>
      <c r="N12" s="1936"/>
      <c r="O12" s="1936"/>
      <c r="P12" s="1936"/>
      <c r="Q12" s="1936"/>
      <c r="R12" s="1936"/>
      <c r="S12" s="1936"/>
    </row>
    <row r="13" spans="1:19" ht="10.5" customHeight="1">
      <c r="E13" s="387"/>
      <c r="F13" s="387"/>
    </row>
    <row r="14" spans="1:19" ht="21" customHeight="1">
      <c r="A14" s="390" t="s">
        <v>3876</v>
      </c>
      <c r="B14" s="549"/>
      <c r="C14" s="549"/>
      <c r="D14" s="549"/>
      <c r="E14" s="549"/>
      <c r="F14" s="549"/>
      <c r="G14" s="549"/>
      <c r="H14" s="549"/>
      <c r="I14" s="549"/>
      <c r="J14" s="549"/>
    </row>
    <row r="15" spans="1:19" s="1553" customFormat="1" ht="24.6" customHeight="1">
      <c r="A15" s="1722" t="s">
        <v>999</v>
      </c>
      <c r="B15" s="1722" t="s">
        <v>2550</v>
      </c>
      <c r="C15" s="1927" t="s">
        <v>1368</v>
      </c>
      <c r="D15" s="1929" t="s">
        <v>1369</v>
      </c>
      <c r="E15" s="1931" t="s">
        <v>1388</v>
      </c>
      <c r="F15" s="1732" t="s">
        <v>1499</v>
      </c>
      <c r="G15" s="1968" t="s">
        <v>1385</v>
      </c>
      <c r="H15" s="1722" t="s">
        <v>2713</v>
      </c>
      <c r="I15" s="1722" t="s">
        <v>2736</v>
      </c>
      <c r="J15" s="1722" t="s">
        <v>2737</v>
      </c>
      <c r="K15" s="1722" t="s">
        <v>2596</v>
      </c>
      <c r="L15" s="1772" t="s">
        <v>3908</v>
      </c>
      <c r="M15" s="1722" t="s">
        <v>1000</v>
      </c>
      <c r="N15" s="1722" t="s">
        <v>1390</v>
      </c>
      <c r="O15" s="2273" t="s">
        <v>1001</v>
      </c>
      <c r="P15" s="2274"/>
      <c r="Q15" s="2275"/>
      <c r="R15" s="1770" t="s">
        <v>1002</v>
      </c>
      <c r="S15" s="1772"/>
    </row>
    <row r="16" spans="1:19" s="1553" customFormat="1" ht="47.25" customHeight="1">
      <c r="A16" s="1723"/>
      <c r="B16" s="1723"/>
      <c r="C16" s="1928"/>
      <c r="D16" s="1930"/>
      <c r="E16" s="1932"/>
      <c r="F16" s="1733"/>
      <c r="G16" s="2272"/>
      <c r="H16" s="1723"/>
      <c r="I16" s="1723"/>
      <c r="J16" s="1723"/>
      <c r="K16" s="1723"/>
      <c r="L16" s="1773"/>
      <c r="M16" s="1723"/>
      <c r="N16" s="1723"/>
      <c r="O16" s="851">
        <v>2024</v>
      </c>
      <c r="P16" s="851">
        <v>2025</v>
      </c>
      <c r="Q16" s="851">
        <v>2026</v>
      </c>
      <c r="R16" s="1771"/>
      <c r="S16" s="1773"/>
    </row>
    <row r="17" spans="1:20" ht="41.25" customHeight="1">
      <c r="A17" s="740" t="s">
        <v>2738</v>
      </c>
      <c r="B17" s="664" t="s">
        <v>3169</v>
      </c>
      <c r="C17" s="740"/>
      <c r="D17" s="740"/>
      <c r="E17" s="741">
        <f t="shared" ref="E17:J17" si="0">SUM(E21,E41,E45,E49,E51,E53,E55,E58,E60,E65)</f>
        <v>361.58799999999997</v>
      </c>
      <c r="F17" s="1074">
        <f>H17/E17-1</f>
        <v>-0.32226733188048273</v>
      </c>
      <c r="G17" s="741">
        <f t="shared" si="0"/>
        <v>119</v>
      </c>
      <c r="H17" s="741">
        <f t="shared" si="0"/>
        <v>245.06</v>
      </c>
      <c r="I17" s="741">
        <f t="shared" si="0"/>
        <v>2582.7793419999998</v>
      </c>
      <c r="J17" s="741">
        <f t="shared" si="0"/>
        <v>2639.4996739999997</v>
      </c>
      <c r="K17" s="871" t="s">
        <v>3170</v>
      </c>
      <c r="L17" s="740"/>
      <c r="M17" s="789" t="s">
        <v>2000</v>
      </c>
      <c r="N17" s="759" t="s">
        <v>1099</v>
      </c>
      <c r="O17" s="1146">
        <v>14.78</v>
      </c>
      <c r="P17" s="1146">
        <v>14.8</v>
      </c>
      <c r="Q17" s="1146">
        <v>15</v>
      </c>
      <c r="R17" s="2217" t="s">
        <v>1099</v>
      </c>
      <c r="S17" s="2218"/>
    </row>
    <row r="18" spans="1:20" s="453" customFormat="1" ht="39.6" customHeight="1">
      <c r="A18" s="2239" t="s">
        <v>3026</v>
      </c>
      <c r="B18" s="2241" t="s">
        <v>3683</v>
      </c>
      <c r="C18" s="2243">
        <v>188711925</v>
      </c>
      <c r="D18" s="1410" t="s">
        <v>341</v>
      </c>
      <c r="E18" s="1411">
        <f>E22+E26+E30+E34</f>
        <v>0</v>
      </c>
      <c r="F18" s="1153"/>
      <c r="G18" s="1411">
        <f t="shared" ref="G18:J18" si="1">G22+G26+G30+G34</f>
        <v>0</v>
      </c>
      <c r="H18" s="1411">
        <f t="shared" si="1"/>
        <v>0</v>
      </c>
      <c r="I18" s="1411">
        <f t="shared" si="1"/>
        <v>1664.6793389999998</v>
      </c>
      <c r="J18" s="1411">
        <f t="shared" si="1"/>
        <v>1719.3996710000001</v>
      </c>
      <c r="K18" s="2269" t="s">
        <v>3111</v>
      </c>
      <c r="L18" s="2245" t="s">
        <v>3171</v>
      </c>
      <c r="M18" s="2242" t="s">
        <v>3034</v>
      </c>
      <c r="N18" s="2248" t="s">
        <v>3002</v>
      </c>
      <c r="O18" s="2250">
        <v>58</v>
      </c>
      <c r="P18" s="2250">
        <v>59</v>
      </c>
      <c r="Q18" s="2250">
        <v>60</v>
      </c>
      <c r="R18" s="2278" t="s">
        <v>3002</v>
      </c>
      <c r="S18" s="2279"/>
    </row>
    <row r="19" spans="1:20" s="453" customFormat="1" ht="37.200000000000003" customHeight="1">
      <c r="A19" s="2239"/>
      <c r="B19" s="2241"/>
      <c r="C19" s="2243"/>
      <c r="D19" s="1410" t="s">
        <v>587</v>
      </c>
      <c r="E19" s="1411"/>
      <c r="F19" s="1153"/>
      <c r="G19" s="1411"/>
      <c r="H19" s="1411"/>
      <c r="I19" s="1411"/>
      <c r="J19" s="1411"/>
      <c r="K19" s="2270"/>
      <c r="L19" s="2246"/>
      <c r="M19" s="2242"/>
      <c r="N19" s="2248"/>
      <c r="O19" s="2250"/>
      <c r="P19" s="2250"/>
      <c r="Q19" s="2250"/>
      <c r="R19" s="2280"/>
      <c r="S19" s="2281"/>
      <c r="T19" s="535" t="s">
        <v>3682</v>
      </c>
    </row>
    <row r="20" spans="1:20" s="453" customFormat="1" ht="21" customHeight="1">
      <c r="A20" s="2239"/>
      <c r="B20" s="2241"/>
      <c r="C20" s="2243"/>
      <c r="D20" s="1410" t="s">
        <v>668</v>
      </c>
      <c r="E20" s="1411">
        <f>E24+E28+E32+E36</f>
        <v>0</v>
      </c>
      <c r="F20" s="1153"/>
      <c r="G20" s="1411">
        <f t="shared" ref="G20:J20" si="2">G24+G28+G32+G36</f>
        <v>0</v>
      </c>
      <c r="H20" s="1411">
        <f t="shared" si="2"/>
        <v>0</v>
      </c>
      <c r="I20" s="1411">
        <f t="shared" si="2"/>
        <v>705.040661</v>
      </c>
      <c r="J20" s="1411">
        <f t="shared" si="2"/>
        <v>728.21632899999997</v>
      </c>
      <c r="K20" s="2270"/>
      <c r="L20" s="2246"/>
      <c r="M20" s="2242"/>
      <c r="N20" s="2248"/>
      <c r="O20" s="2250"/>
      <c r="P20" s="2250"/>
      <c r="Q20" s="2250"/>
      <c r="R20" s="2280"/>
      <c r="S20" s="2281"/>
    </row>
    <row r="21" spans="1:20" s="453" customFormat="1" ht="39" customHeight="1">
      <c r="A21" s="2240"/>
      <c r="B21" s="2242"/>
      <c r="C21" s="2244"/>
      <c r="D21" s="1412" t="s">
        <v>1372</v>
      </c>
      <c r="E21" s="1412">
        <f>SUM(E18:E18)</f>
        <v>0</v>
      </c>
      <c r="F21" s="1152"/>
      <c r="G21" s="1412">
        <f t="shared" ref="G21:J21" si="3">SUM(G18:G18)</f>
        <v>0</v>
      </c>
      <c r="H21" s="1412">
        <f t="shared" si="3"/>
        <v>0</v>
      </c>
      <c r="I21" s="1412">
        <f t="shared" si="3"/>
        <v>1664.6793389999998</v>
      </c>
      <c r="J21" s="1412">
        <f t="shared" si="3"/>
        <v>1719.3996710000001</v>
      </c>
      <c r="K21" s="2271"/>
      <c r="L21" s="2247"/>
      <c r="M21" s="2242"/>
      <c r="N21" s="2249"/>
      <c r="O21" s="2251"/>
      <c r="P21" s="2251"/>
      <c r="Q21" s="2251"/>
      <c r="R21" s="2282"/>
      <c r="S21" s="2283"/>
    </row>
    <row r="22" spans="1:20" s="453" customFormat="1" ht="21" hidden="1" customHeight="1">
      <c r="A22" s="2222" t="s">
        <v>3007</v>
      </c>
      <c r="B22" s="2223" t="s">
        <v>2992</v>
      </c>
      <c r="C22" s="2225">
        <v>188711925</v>
      </c>
      <c r="D22" s="1427" t="s">
        <v>341</v>
      </c>
      <c r="E22" s="1428"/>
      <c r="F22" s="1429"/>
      <c r="G22" s="1428"/>
      <c r="H22" s="1428"/>
      <c r="I22" s="1428">
        <f>2623.85727/2</f>
        <v>1311.928635</v>
      </c>
      <c r="J22" s="1428">
        <f>2623.85727/2</f>
        <v>1311.928635</v>
      </c>
      <c r="K22" s="1428"/>
      <c r="L22" s="2227" t="s">
        <v>3024</v>
      </c>
      <c r="M22" s="2223" t="s">
        <v>3035</v>
      </c>
      <c r="N22" s="2223" t="s">
        <v>3044</v>
      </c>
      <c r="O22" s="2235"/>
      <c r="P22" s="2235"/>
      <c r="Q22" s="2252">
        <v>0.5</v>
      </c>
      <c r="R22" s="2219" t="s">
        <v>3042</v>
      </c>
      <c r="S22" s="2208" t="s">
        <v>3043</v>
      </c>
    </row>
    <row r="23" spans="1:20" s="453" customFormat="1" ht="21" hidden="1" customHeight="1">
      <c r="A23" s="2222"/>
      <c r="B23" s="2223"/>
      <c r="C23" s="2225"/>
      <c r="D23" s="1427" t="s">
        <v>587</v>
      </c>
      <c r="E23" s="1428"/>
      <c r="F23" s="1429"/>
      <c r="G23" s="1428"/>
      <c r="H23" s="1428"/>
      <c r="I23" s="1428"/>
      <c r="J23" s="1428"/>
      <c r="K23" s="1428"/>
      <c r="L23" s="2227"/>
      <c r="M23" s="2223"/>
      <c r="N23" s="2223"/>
      <c r="O23" s="2235"/>
      <c r="P23" s="2235"/>
      <c r="Q23" s="2252"/>
      <c r="R23" s="2220"/>
      <c r="S23" s="2208"/>
    </row>
    <row r="24" spans="1:20" s="453" customFormat="1" ht="21" hidden="1" customHeight="1">
      <c r="A24" s="2222"/>
      <c r="B24" s="2223"/>
      <c r="C24" s="2225"/>
      <c r="D24" s="1427" t="s">
        <v>668</v>
      </c>
      <c r="E24" s="1428"/>
      <c r="F24" s="1429"/>
      <c r="G24" s="1428"/>
      <c r="H24" s="1428"/>
      <c r="I24" s="1428">
        <f>1111.28073/2</f>
        <v>555.64036499999997</v>
      </c>
      <c r="J24" s="1428">
        <f>1111.28073/2</f>
        <v>555.64036499999997</v>
      </c>
      <c r="K24" s="1428"/>
      <c r="L24" s="2227"/>
      <c r="M24" s="2223"/>
      <c r="N24" s="2223"/>
      <c r="O24" s="2235"/>
      <c r="P24" s="2235"/>
      <c r="Q24" s="2252"/>
      <c r="R24" s="2220"/>
      <c r="S24" s="2208"/>
    </row>
    <row r="25" spans="1:20" s="453" customFormat="1" ht="56.25" hidden="1" customHeight="1">
      <c r="A25" s="2210"/>
      <c r="B25" s="2224"/>
      <c r="C25" s="2226"/>
      <c r="D25" s="1431"/>
      <c r="E25" s="1431">
        <f>SUM(E22:E24)</f>
        <v>0</v>
      </c>
      <c r="F25" s="1429"/>
      <c r="G25" s="1431">
        <f t="shared" ref="G25:J25" si="4">SUM(G22:G24)</f>
        <v>0</v>
      </c>
      <c r="H25" s="1431">
        <f t="shared" si="4"/>
        <v>0</v>
      </c>
      <c r="I25" s="1431">
        <f t="shared" si="4"/>
        <v>1867.569</v>
      </c>
      <c r="J25" s="1431">
        <f t="shared" si="4"/>
        <v>1867.569</v>
      </c>
      <c r="K25" s="1431"/>
      <c r="L25" s="2228"/>
      <c r="M25" s="2224"/>
      <c r="N25" s="2224"/>
      <c r="O25" s="2236"/>
      <c r="P25" s="2236"/>
      <c r="Q25" s="2253"/>
      <c r="R25" s="2221"/>
      <c r="S25" s="2209"/>
    </row>
    <row r="26" spans="1:20" s="453" customFormat="1" ht="21" hidden="1" customHeight="1">
      <c r="A26" s="2222" t="s">
        <v>3008</v>
      </c>
      <c r="B26" s="2223" t="s">
        <v>2993</v>
      </c>
      <c r="C26" s="2225">
        <v>188711925</v>
      </c>
      <c r="D26" s="1427" t="s">
        <v>341</v>
      </c>
      <c r="E26" s="1428"/>
      <c r="F26" s="1429"/>
      <c r="G26" s="1428"/>
      <c r="H26" s="1428"/>
      <c r="I26" s="1428">
        <f>136.80083*30%</f>
        <v>41.040248999999996</v>
      </c>
      <c r="J26" s="1428">
        <f>136.80083*70%</f>
        <v>95.760580999999988</v>
      </c>
      <c r="K26" s="1428"/>
      <c r="L26" s="2227" t="s">
        <v>2994</v>
      </c>
      <c r="M26" s="2223" t="s">
        <v>3036</v>
      </c>
      <c r="N26" s="2223" t="s">
        <v>3044</v>
      </c>
      <c r="O26" s="2235"/>
      <c r="P26" s="2235"/>
      <c r="Q26" s="2235">
        <v>0.05</v>
      </c>
      <c r="R26" s="1430" t="s">
        <v>3045</v>
      </c>
      <c r="S26" s="2208" t="s">
        <v>3046</v>
      </c>
    </row>
    <row r="27" spans="1:20" s="453" customFormat="1" ht="21" hidden="1" customHeight="1">
      <c r="A27" s="2222"/>
      <c r="B27" s="2223"/>
      <c r="C27" s="2225"/>
      <c r="D27" s="1427" t="s">
        <v>587</v>
      </c>
      <c r="E27" s="1428"/>
      <c r="F27" s="1429"/>
      <c r="G27" s="1428"/>
      <c r="H27" s="1428"/>
      <c r="I27" s="1428"/>
      <c r="J27" s="1428"/>
      <c r="K27" s="1428"/>
      <c r="L27" s="2227"/>
      <c r="M27" s="2223"/>
      <c r="N27" s="2223"/>
      <c r="O27" s="2235"/>
      <c r="P27" s="2235"/>
      <c r="Q27" s="2235"/>
      <c r="R27" s="1432"/>
      <c r="S27" s="2208"/>
    </row>
    <row r="28" spans="1:20" s="453" customFormat="1" ht="21" hidden="1" customHeight="1">
      <c r="A28" s="2222"/>
      <c r="B28" s="2223"/>
      <c r="C28" s="2225"/>
      <c r="D28" s="1427" t="s">
        <v>668</v>
      </c>
      <c r="E28" s="1428"/>
      <c r="F28" s="1429"/>
      <c r="G28" s="1428"/>
      <c r="H28" s="1428"/>
      <c r="I28" s="1428">
        <f>57.93917*30%</f>
        <v>17.381750999999998</v>
      </c>
      <c r="J28" s="1428">
        <f>57.93917*70%</f>
        <v>40.557418999999996</v>
      </c>
      <c r="K28" s="1428"/>
      <c r="L28" s="2227"/>
      <c r="M28" s="2223"/>
      <c r="N28" s="2223"/>
      <c r="O28" s="2235"/>
      <c r="P28" s="2235"/>
      <c r="Q28" s="2235"/>
      <c r="R28" s="1432"/>
      <c r="S28" s="2208"/>
    </row>
    <row r="29" spans="1:20" s="453" customFormat="1" ht="69.75" hidden="1" customHeight="1">
      <c r="A29" s="2210"/>
      <c r="B29" s="2224"/>
      <c r="C29" s="2226"/>
      <c r="D29" s="1431"/>
      <c r="E29" s="1431">
        <f>SUM(E26:E28)</f>
        <v>0</v>
      </c>
      <c r="F29" s="1429"/>
      <c r="G29" s="1431">
        <f t="shared" ref="G29" si="5">SUM(G26:G28)</f>
        <v>0</v>
      </c>
      <c r="H29" s="1431">
        <f t="shared" ref="H29" si="6">SUM(H26:H28)</f>
        <v>0</v>
      </c>
      <c r="I29" s="1431">
        <f t="shared" ref="I29" si="7">SUM(I26:I28)</f>
        <v>58.421999999999997</v>
      </c>
      <c r="J29" s="1431">
        <f t="shared" ref="J29" si="8">SUM(J26:J28)</f>
        <v>136.31799999999998</v>
      </c>
      <c r="K29" s="1431"/>
      <c r="L29" s="2228"/>
      <c r="M29" s="2224"/>
      <c r="N29" s="2224"/>
      <c r="O29" s="2236"/>
      <c r="P29" s="2236"/>
      <c r="Q29" s="2236"/>
      <c r="R29" s="1433"/>
      <c r="S29" s="2209"/>
    </row>
    <row r="30" spans="1:20" s="453" customFormat="1" ht="21" hidden="1" customHeight="1">
      <c r="A30" s="2222" t="s">
        <v>3027</v>
      </c>
      <c r="B30" s="2223" t="s">
        <v>2996</v>
      </c>
      <c r="C30" s="2225">
        <v>188711925</v>
      </c>
      <c r="D30" s="1427" t="s">
        <v>341</v>
      </c>
      <c r="E30" s="1434"/>
      <c r="F30" s="1429"/>
      <c r="G30" s="1434"/>
      <c r="H30" s="1434"/>
      <c r="I30" s="1428">
        <f>623.42091*50%</f>
        <v>311.71045500000002</v>
      </c>
      <c r="J30" s="1428">
        <f>623.42091*50%</f>
        <v>311.71045500000002</v>
      </c>
      <c r="K30" s="1434"/>
      <c r="L30" s="2227" t="s">
        <v>2997</v>
      </c>
      <c r="M30" s="2223" t="s">
        <v>3037</v>
      </c>
      <c r="N30" s="2223" t="s">
        <v>2995</v>
      </c>
      <c r="O30" s="2235"/>
      <c r="P30" s="2235"/>
      <c r="Q30" s="2221">
        <v>200</v>
      </c>
      <c r="R30" s="2233" t="s">
        <v>3001</v>
      </c>
      <c r="S30" s="2238" t="s">
        <v>3002</v>
      </c>
    </row>
    <row r="31" spans="1:20" s="453" customFormat="1" ht="21" hidden="1" customHeight="1">
      <c r="A31" s="2222"/>
      <c r="B31" s="2223"/>
      <c r="C31" s="2225"/>
      <c r="D31" s="1427" t="s">
        <v>587</v>
      </c>
      <c r="E31" s="1434"/>
      <c r="F31" s="1429"/>
      <c r="G31" s="1434"/>
      <c r="H31" s="1434"/>
      <c r="I31" s="1428"/>
      <c r="J31" s="1428"/>
      <c r="K31" s="1434"/>
      <c r="L31" s="2227"/>
      <c r="M31" s="2223"/>
      <c r="N31" s="2223"/>
      <c r="O31" s="2235"/>
      <c r="P31" s="2235"/>
      <c r="Q31" s="2221"/>
      <c r="R31" s="2234"/>
      <c r="S31" s="2208"/>
    </row>
    <row r="32" spans="1:20" s="453" customFormat="1" ht="21" hidden="1" customHeight="1">
      <c r="A32" s="2222"/>
      <c r="B32" s="2223"/>
      <c r="C32" s="2225"/>
      <c r="D32" s="1427" t="s">
        <v>668</v>
      </c>
      <c r="E32" s="1434"/>
      <c r="F32" s="1429"/>
      <c r="G32" s="1434"/>
      <c r="H32" s="1434"/>
      <c r="I32" s="1428">
        <f>264.03709*50%</f>
        <v>132.01854499999999</v>
      </c>
      <c r="J32" s="1428">
        <f>264.03709*50%</f>
        <v>132.01854499999999</v>
      </c>
      <c r="K32" s="1434"/>
      <c r="L32" s="2227"/>
      <c r="M32" s="2223"/>
      <c r="N32" s="2223"/>
      <c r="O32" s="2235"/>
      <c r="P32" s="2235"/>
      <c r="Q32" s="2221"/>
      <c r="R32" s="2234"/>
      <c r="S32" s="2208"/>
    </row>
    <row r="33" spans="1:20" s="453" customFormat="1" ht="50.25" hidden="1" customHeight="1">
      <c r="A33" s="2210"/>
      <c r="B33" s="2224"/>
      <c r="C33" s="2226"/>
      <c r="D33" s="1431"/>
      <c r="E33" s="1431">
        <f>SUM(E30:E32)</f>
        <v>0</v>
      </c>
      <c r="F33" s="1429"/>
      <c r="G33" s="1431">
        <f t="shared" ref="G33" si="9">SUM(G30:G32)</f>
        <v>0</v>
      </c>
      <c r="H33" s="1431">
        <f t="shared" ref="H33" si="10">SUM(H30:H32)</f>
        <v>0</v>
      </c>
      <c r="I33" s="1431">
        <f t="shared" ref="I33" si="11">SUM(I30:I32)</f>
        <v>443.72900000000004</v>
      </c>
      <c r="J33" s="1431">
        <f t="shared" ref="J33" si="12">SUM(J30:J32)</f>
        <v>443.72900000000004</v>
      </c>
      <c r="K33" s="1431"/>
      <c r="L33" s="2228"/>
      <c r="M33" s="2224"/>
      <c r="N33" s="2224"/>
      <c r="O33" s="2236"/>
      <c r="P33" s="2236"/>
      <c r="Q33" s="2237"/>
      <c r="R33" s="2229"/>
      <c r="S33" s="2209"/>
    </row>
    <row r="34" spans="1:20" s="453" customFormat="1" ht="21" hidden="1" customHeight="1">
      <c r="A34" s="2222" t="s">
        <v>3028</v>
      </c>
      <c r="B34" s="2223" t="s">
        <v>2998</v>
      </c>
      <c r="C34" s="2225">
        <v>188711925</v>
      </c>
      <c r="D34" s="1427" t="s">
        <v>341</v>
      </c>
      <c r="E34" s="1434"/>
      <c r="F34" s="1429"/>
      <c r="G34" s="1434"/>
      <c r="H34" s="1434"/>
      <c r="I34" s="1428"/>
      <c r="J34" s="1428"/>
      <c r="K34" s="1434"/>
      <c r="L34" s="2227" t="s">
        <v>3000</v>
      </c>
      <c r="M34" s="2223" t="s">
        <v>3038</v>
      </c>
      <c r="N34" s="2223" t="s">
        <v>2999</v>
      </c>
      <c r="O34" s="2235"/>
      <c r="P34" s="2235"/>
      <c r="Q34" s="2221">
        <v>1</v>
      </c>
      <c r="R34" s="2233" t="s">
        <v>3001</v>
      </c>
      <c r="S34" s="2238" t="s">
        <v>3002</v>
      </c>
    </row>
    <row r="35" spans="1:20" s="453" customFormat="1" ht="21" hidden="1" customHeight="1">
      <c r="A35" s="2222"/>
      <c r="B35" s="2223"/>
      <c r="C35" s="2225"/>
      <c r="D35" s="1427" t="s">
        <v>587</v>
      </c>
      <c r="E35" s="1434"/>
      <c r="F35" s="1429"/>
      <c r="G35" s="1434"/>
      <c r="H35" s="1434"/>
      <c r="I35" s="1428"/>
      <c r="J35" s="1428"/>
      <c r="K35" s="1434"/>
      <c r="L35" s="2227"/>
      <c r="M35" s="2223"/>
      <c r="N35" s="2223"/>
      <c r="O35" s="2235"/>
      <c r="P35" s="2235"/>
      <c r="Q35" s="2221"/>
      <c r="R35" s="2234"/>
      <c r="S35" s="2208"/>
    </row>
    <row r="36" spans="1:20" s="453" customFormat="1" ht="21" hidden="1" customHeight="1">
      <c r="A36" s="2222"/>
      <c r="B36" s="2223"/>
      <c r="C36" s="2225"/>
      <c r="D36" s="1427" t="s">
        <v>668</v>
      </c>
      <c r="E36" s="1434"/>
      <c r="F36" s="1429"/>
      <c r="G36" s="1434"/>
      <c r="H36" s="1434"/>
      <c r="I36" s="1428"/>
      <c r="J36" s="1428"/>
      <c r="K36" s="1434"/>
      <c r="L36" s="2227"/>
      <c r="M36" s="2223"/>
      <c r="N36" s="2223"/>
      <c r="O36" s="2235"/>
      <c r="P36" s="2235"/>
      <c r="Q36" s="2221"/>
      <c r="R36" s="2234"/>
      <c r="S36" s="2208"/>
    </row>
    <row r="37" spans="1:20" s="453" customFormat="1" ht="21" hidden="1" customHeight="1">
      <c r="A37" s="2210"/>
      <c r="B37" s="2224"/>
      <c r="C37" s="2226"/>
      <c r="D37" s="1431"/>
      <c r="E37" s="1431">
        <f>SUM(E34:E36)</f>
        <v>0</v>
      </c>
      <c r="F37" s="1429"/>
      <c r="G37" s="1431">
        <f t="shared" ref="G37" si="13">SUM(G34:G36)</f>
        <v>0</v>
      </c>
      <c r="H37" s="1431">
        <f t="shared" ref="H37" si="14">SUM(H34:H36)</f>
        <v>0</v>
      </c>
      <c r="I37" s="1431">
        <f t="shared" ref="I37" si="15">SUM(I34:I36)</f>
        <v>0</v>
      </c>
      <c r="J37" s="1431">
        <f t="shared" ref="J37" si="16">SUM(J34:J36)</f>
        <v>0</v>
      </c>
      <c r="K37" s="1431"/>
      <c r="L37" s="2228"/>
      <c r="M37" s="2224"/>
      <c r="N37" s="2224"/>
      <c r="O37" s="2236"/>
      <c r="P37" s="2236"/>
      <c r="Q37" s="2237"/>
      <c r="R37" s="2229"/>
      <c r="S37" s="2209"/>
    </row>
    <row r="38" spans="1:20" ht="21" customHeight="1">
      <c r="A38" s="2268" t="s">
        <v>3684</v>
      </c>
      <c r="B38" s="1890" t="s">
        <v>1617</v>
      </c>
      <c r="C38" s="1980" t="s">
        <v>1525</v>
      </c>
      <c r="D38" s="1410" t="s">
        <v>341</v>
      </c>
      <c r="E38" s="745">
        <f>E42+E46</f>
        <v>0</v>
      </c>
      <c r="F38" s="1153"/>
      <c r="G38" s="745">
        <v>10</v>
      </c>
      <c r="H38" s="745">
        <v>0</v>
      </c>
      <c r="I38" s="745">
        <f t="shared" ref="I38:J38" si="17">I42+I46</f>
        <v>241.6880165</v>
      </c>
      <c r="J38" s="745">
        <f t="shared" si="17"/>
        <v>241.6880165</v>
      </c>
      <c r="K38" s="1654" t="s">
        <v>3112</v>
      </c>
      <c r="L38" s="1898" t="s">
        <v>3029</v>
      </c>
      <c r="M38" s="1941" t="s">
        <v>2002</v>
      </c>
      <c r="N38" s="1941" t="s">
        <v>2001</v>
      </c>
      <c r="O38" s="1891" t="s">
        <v>612</v>
      </c>
      <c r="P38" s="1891" t="s">
        <v>612</v>
      </c>
      <c r="Q38" s="1891" t="s">
        <v>612</v>
      </c>
      <c r="R38" s="2284" t="s">
        <v>3172</v>
      </c>
      <c r="S38" s="2284"/>
      <c r="T38" s="535" t="s">
        <v>3646</v>
      </c>
    </row>
    <row r="39" spans="1:20" ht="18" customHeight="1">
      <c r="A39" s="1914"/>
      <c r="B39" s="1890"/>
      <c r="C39" s="1980"/>
      <c r="D39" s="1410" t="s">
        <v>587</v>
      </c>
      <c r="E39" s="745"/>
      <c r="F39" s="1153"/>
      <c r="G39" s="745"/>
      <c r="H39" s="745"/>
      <c r="I39" s="745"/>
      <c r="J39" s="745"/>
      <c r="K39" s="1886"/>
      <c r="L39" s="1898"/>
      <c r="M39" s="1941"/>
      <c r="N39" s="1941"/>
      <c r="O39" s="1916"/>
      <c r="P39" s="1916"/>
      <c r="Q39" s="1916"/>
      <c r="R39" s="2284"/>
      <c r="S39" s="2284"/>
    </row>
    <row r="40" spans="1:20" ht="21" customHeight="1">
      <c r="A40" s="1914"/>
      <c r="B40" s="1890"/>
      <c r="C40" s="1980"/>
      <c r="D40" s="1410" t="s">
        <v>668</v>
      </c>
      <c r="E40" s="745">
        <f>E44+E48</f>
        <v>0</v>
      </c>
      <c r="F40" s="1153"/>
      <c r="G40" s="745">
        <f t="shared" ref="G40:J40" si="18">G44+G48</f>
        <v>0</v>
      </c>
      <c r="H40" s="745">
        <v>10</v>
      </c>
      <c r="I40" s="745">
        <f t="shared" si="18"/>
        <v>91.861985000000004</v>
      </c>
      <c r="J40" s="745">
        <f t="shared" si="18"/>
        <v>91.861985000000004</v>
      </c>
      <c r="K40" s="1886"/>
      <c r="L40" s="1898"/>
      <c r="M40" s="1941"/>
      <c r="N40" s="1941"/>
      <c r="O40" s="1916"/>
      <c r="P40" s="1916"/>
      <c r="Q40" s="1916"/>
      <c r="R40" s="2170" t="s">
        <v>3173</v>
      </c>
      <c r="S40" s="2170"/>
    </row>
    <row r="41" spans="1:20" ht="28.8" customHeight="1">
      <c r="A41" s="1905"/>
      <c r="B41" s="1893"/>
      <c r="C41" s="1981"/>
      <c r="D41" s="1011" t="s">
        <v>1372</v>
      </c>
      <c r="E41" s="962">
        <f>SUM(E38:E40)</f>
        <v>0</v>
      </c>
      <c r="F41" s="1152"/>
      <c r="G41" s="962">
        <f t="shared" ref="G41:J41" si="19">SUM(G38:G40)</f>
        <v>10</v>
      </c>
      <c r="H41" s="962">
        <f t="shared" si="19"/>
        <v>10</v>
      </c>
      <c r="I41" s="962">
        <f t="shared" si="19"/>
        <v>333.55000150000001</v>
      </c>
      <c r="J41" s="962">
        <f t="shared" si="19"/>
        <v>333.55000150000001</v>
      </c>
      <c r="K41" s="1655"/>
      <c r="L41" s="1899"/>
      <c r="M41" s="1937"/>
      <c r="N41" s="1937"/>
      <c r="O41" s="1892"/>
      <c r="P41" s="1892"/>
      <c r="Q41" s="1892"/>
      <c r="R41" s="2170"/>
      <c r="S41" s="2170"/>
    </row>
    <row r="42" spans="1:20" s="453" customFormat="1" ht="21" hidden="1" customHeight="1">
      <c r="A42" s="2222" t="s">
        <v>3009</v>
      </c>
      <c r="B42" s="2223" t="s">
        <v>3003</v>
      </c>
      <c r="C42" s="2225">
        <v>188711925</v>
      </c>
      <c r="D42" s="1427" t="s">
        <v>341</v>
      </c>
      <c r="E42" s="1434"/>
      <c r="F42" s="1429" t="e">
        <f t="shared" ref="F42:F65" si="20">(H42-E42)/E42</f>
        <v>#DIV/0!</v>
      </c>
      <c r="G42" s="1434"/>
      <c r="H42" s="1434"/>
      <c r="I42" s="1428">
        <f>398.376033*50%</f>
        <v>199.1880165</v>
      </c>
      <c r="J42" s="1428">
        <f>398.376033*50%</f>
        <v>199.1880165</v>
      </c>
      <c r="K42" s="1434"/>
      <c r="L42" s="2227" t="s">
        <v>3004</v>
      </c>
      <c r="M42" s="2223" t="s">
        <v>3039</v>
      </c>
      <c r="N42" s="2223" t="s">
        <v>3031</v>
      </c>
      <c r="O42" s="2229"/>
      <c r="P42" s="2231">
        <v>5</v>
      </c>
      <c r="Q42" s="2231">
        <v>10</v>
      </c>
      <c r="R42" s="1430" t="s">
        <v>3030</v>
      </c>
      <c r="S42" s="2208" t="s">
        <v>3031</v>
      </c>
    </row>
    <row r="43" spans="1:20" s="453" customFormat="1" ht="21" hidden="1" customHeight="1">
      <c r="A43" s="2222"/>
      <c r="B43" s="2223"/>
      <c r="C43" s="2225"/>
      <c r="D43" s="1427" t="s">
        <v>587</v>
      </c>
      <c r="E43" s="1434"/>
      <c r="F43" s="1429" t="e">
        <f t="shared" si="20"/>
        <v>#DIV/0!</v>
      </c>
      <c r="G43" s="1434"/>
      <c r="H43" s="1434"/>
      <c r="I43" s="1428"/>
      <c r="J43" s="1428"/>
      <c r="K43" s="1434"/>
      <c r="L43" s="2227"/>
      <c r="M43" s="2223"/>
      <c r="N43" s="2223"/>
      <c r="O43" s="2229"/>
      <c r="P43" s="2231"/>
      <c r="Q43" s="2231"/>
      <c r="R43" s="1432"/>
      <c r="S43" s="2208"/>
    </row>
    <row r="44" spans="1:20" s="453" customFormat="1" ht="21" hidden="1" customHeight="1">
      <c r="A44" s="2222"/>
      <c r="B44" s="2223"/>
      <c r="C44" s="2225"/>
      <c r="D44" s="1427" t="s">
        <v>668</v>
      </c>
      <c r="E44" s="1434"/>
      <c r="F44" s="1429" t="e">
        <f t="shared" si="20"/>
        <v>#DIV/0!</v>
      </c>
      <c r="G44" s="1434"/>
      <c r="H44" s="1434"/>
      <c r="I44" s="1428">
        <f>168.72397*50%</f>
        <v>84.361985000000004</v>
      </c>
      <c r="J44" s="1428">
        <f>168.72397*50%</f>
        <v>84.361985000000004</v>
      </c>
      <c r="K44" s="1434"/>
      <c r="L44" s="2227"/>
      <c r="M44" s="2223"/>
      <c r="N44" s="2223"/>
      <c r="O44" s="2229"/>
      <c r="P44" s="2231"/>
      <c r="Q44" s="2231"/>
      <c r="R44" s="1432"/>
      <c r="S44" s="2208"/>
    </row>
    <row r="45" spans="1:20" s="453" customFormat="1" ht="21" hidden="1" customHeight="1">
      <c r="A45" s="2210"/>
      <c r="B45" s="2224"/>
      <c r="C45" s="2226"/>
      <c r="D45" s="1431"/>
      <c r="E45" s="1431">
        <f>SUM(E42:E44)</f>
        <v>0</v>
      </c>
      <c r="F45" s="1429" t="e">
        <f t="shared" si="20"/>
        <v>#DIV/0!</v>
      </c>
      <c r="G45" s="1431">
        <f t="shared" ref="G45" si="21">SUM(G42:G44)</f>
        <v>0</v>
      </c>
      <c r="H45" s="1431">
        <f t="shared" ref="H45" si="22">SUM(H42:H44)</f>
        <v>0</v>
      </c>
      <c r="I45" s="1431">
        <f t="shared" ref="I45" si="23">SUM(I42:I44)</f>
        <v>283.55000150000001</v>
      </c>
      <c r="J45" s="1431">
        <f t="shared" ref="J45" si="24">SUM(J42:J44)</f>
        <v>283.55000150000001</v>
      </c>
      <c r="K45" s="1431">
        <f t="shared" ref="K45" si="25">SUM(K42:K44)</f>
        <v>0</v>
      </c>
      <c r="L45" s="2228"/>
      <c r="M45" s="2224"/>
      <c r="N45" s="2224"/>
      <c r="O45" s="2230"/>
      <c r="P45" s="2232"/>
      <c r="Q45" s="2232"/>
      <c r="R45" s="1433"/>
      <c r="S45" s="2209"/>
    </row>
    <row r="46" spans="1:20" s="453" customFormat="1" ht="21" hidden="1" customHeight="1">
      <c r="A46" s="2222" t="s">
        <v>3010</v>
      </c>
      <c r="B46" s="2223" t="s">
        <v>3005</v>
      </c>
      <c r="C46" s="2225">
        <v>188711925</v>
      </c>
      <c r="D46" s="1427" t="s">
        <v>341</v>
      </c>
      <c r="E46" s="1434"/>
      <c r="F46" s="1429" t="e">
        <f t="shared" si="20"/>
        <v>#DIV/0!</v>
      </c>
      <c r="G46" s="1434"/>
      <c r="H46" s="1434"/>
      <c r="I46" s="1428">
        <f>85*50%</f>
        <v>42.5</v>
      </c>
      <c r="J46" s="1428">
        <f>85*50%</f>
        <v>42.5</v>
      </c>
      <c r="K46" s="1434"/>
      <c r="L46" s="2227" t="s">
        <v>3006</v>
      </c>
      <c r="M46" s="2223" t="s">
        <v>3040</v>
      </c>
      <c r="N46" s="2223" t="s">
        <v>2999</v>
      </c>
      <c r="O46" s="2235"/>
      <c r="P46" s="2235"/>
      <c r="Q46" s="2221">
        <v>1</v>
      </c>
      <c r="R46" s="1430" t="s">
        <v>3032</v>
      </c>
      <c r="S46" s="2208" t="s">
        <v>3033</v>
      </c>
    </row>
    <row r="47" spans="1:20" s="453" customFormat="1" ht="21" hidden="1" customHeight="1">
      <c r="A47" s="2222"/>
      <c r="B47" s="2223"/>
      <c r="C47" s="2225"/>
      <c r="D47" s="1427" t="s">
        <v>587</v>
      </c>
      <c r="E47" s="1434"/>
      <c r="F47" s="1429" t="e">
        <f t="shared" si="20"/>
        <v>#DIV/0!</v>
      </c>
      <c r="G47" s="1434"/>
      <c r="H47" s="1434"/>
      <c r="I47" s="1428"/>
      <c r="J47" s="1428"/>
      <c r="K47" s="1434"/>
      <c r="L47" s="2227"/>
      <c r="M47" s="2223"/>
      <c r="N47" s="2223"/>
      <c r="O47" s="2235"/>
      <c r="P47" s="2235"/>
      <c r="Q47" s="2221"/>
      <c r="R47" s="1432"/>
      <c r="S47" s="2208"/>
    </row>
    <row r="48" spans="1:20" s="453" customFormat="1" ht="21" hidden="1" customHeight="1">
      <c r="A48" s="2222"/>
      <c r="B48" s="2223"/>
      <c r="C48" s="2225"/>
      <c r="D48" s="1427" t="s">
        <v>668</v>
      </c>
      <c r="E48" s="1434"/>
      <c r="F48" s="1429" t="e">
        <f t="shared" si="20"/>
        <v>#DIV/0!</v>
      </c>
      <c r="G48" s="1434"/>
      <c r="H48" s="1434"/>
      <c r="I48" s="1428">
        <f>15*50%</f>
        <v>7.5</v>
      </c>
      <c r="J48" s="1428">
        <f>15*50%</f>
        <v>7.5</v>
      </c>
      <c r="K48" s="1434"/>
      <c r="L48" s="2227"/>
      <c r="M48" s="2223"/>
      <c r="N48" s="2223"/>
      <c r="O48" s="2235"/>
      <c r="P48" s="2235"/>
      <c r="Q48" s="2221"/>
      <c r="R48" s="1432"/>
      <c r="S48" s="2208"/>
    </row>
    <row r="49" spans="1:21" s="453" customFormat="1" ht="38.25" hidden="1" customHeight="1">
      <c r="A49" s="2210"/>
      <c r="B49" s="2224"/>
      <c r="C49" s="2226"/>
      <c r="D49" s="1431"/>
      <c r="E49" s="1431">
        <f>SUM(E46:E48)</f>
        <v>0</v>
      </c>
      <c r="F49" s="1429" t="e">
        <f t="shared" si="20"/>
        <v>#DIV/0!</v>
      </c>
      <c r="G49" s="1431">
        <f t="shared" ref="G49" si="26">SUM(G46:G48)</f>
        <v>0</v>
      </c>
      <c r="H49" s="1431">
        <f t="shared" ref="H49" si="27">SUM(H46:H48)</f>
        <v>0</v>
      </c>
      <c r="I49" s="1431">
        <f t="shared" ref="I49" si="28">SUM(I46:I48)</f>
        <v>50</v>
      </c>
      <c r="J49" s="1431">
        <f t="shared" ref="J49" si="29">SUM(J46:J48)</f>
        <v>50</v>
      </c>
      <c r="K49" s="1431">
        <f t="shared" ref="K49" si="30">SUM(K46:K48)</f>
        <v>0</v>
      </c>
      <c r="L49" s="2228"/>
      <c r="M49" s="2224"/>
      <c r="N49" s="2224"/>
      <c r="O49" s="2236"/>
      <c r="P49" s="2236"/>
      <c r="Q49" s="2237"/>
      <c r="R49" s="1433"/>
      <c r="S49" s="2209"/>
    </row>
    <row r="50" spans="1:21" ht="30.75" customHeight="1">
      <c r="A50" s="1905" t="s">
        <v>2739</v>
      </c>
      <c r="B50" s="2156" t="s">
        <v>1618</v>
      </c>
      <c r="C50" s="1896">
        <v>188711925</v>
      </c>
      <c r="D50" s="956" t="s">
        <v>668</v>
      </c>
      <c r="E50" s="947">
        <v>20</v>
      </c>
      <c r="F50" s="1153">
        <f>H50/E50-1</f>
        <v>0.10000000000000009</v>
      </c>
      <c r="G50" s="947">
        <v>20</v>
      </c>
      <c r="H50" s="947">
        <v>22</v>
      </c>
      <c r="I50" s="958">
        <v>30</v>
      </c>
      <c r="J50" s="959">
        <v>30</v>
      </c>
      <c r="K50" s="1887" t="s">
        <v>3174</v>
      </c>
      <c r="L50" s="1902" t="s">
        <v>3349</v>
      </c>
      <c r="M50" s="1890" t="s">
        <v>2004</v>
      </c>
      <c r="N50" s="1941" t="s">
        <v>2003</v>
      </c>
      <c r="O50" s="1892" t="s">
        <v>469</v>
      </c>
      <c r="P50" s="1892" t="s">
        <v>613</v>
      </c>
      <c r="Q50" s="1892" t="s">
        <v>613</v>
      </c>
      <c r="R50" s="2285" t="s">
        <v>3175</v>
      </c>
      <c r="S50" s="2286"/>
    </row>
    <row r="51" spans="1:21" ht="72" customHeight="1">
      <c r="A51" s="1905"/>
      <c r="B51" s="2156"/>
      <c r="C51" s="1896"/>
      <c r="D51" s="961" t="s">
        <v>1372</v>
      </c>
      <c r="E51" s="962">
        <f>E50</f>
        <v>20</v>
      </c>
      <c r="F51" s="1152">
        <f>H51/E51-1</f>
        <v>0.10000000000000009</v>
      </c>
      <c r="G51" s="962">
        <f t="shared" ref="G51:J51" si="31">G50</f>
        <v>20</v>
      </c>
      <c r="H51" s="962">
        <f t="shared" si="31"/>
        <v>22</v>
      </c>
      <c r="I51" s="962">
        <f t="shared" si="31"/>
        <v>30</v>
      </c>
      <c r="J51" s="964">
        <f t="shared" si="31"/>
        <v>30</v>
      </c>
      <c r="K51" s="1888"/>
      <c r="L51" s="1956"/>
      <c r="M51" s="1893"/>
      <c r="N51" s="1937"/>
      <c r="O51" s="1938"/>
      <c r="P51" s="1938"/>
      <c r="Q51" s="1938"/>
      <c r="R51" s="2287"/>
      <c r="S51" s="2288"/>
    </row>
    <row r="52" spans="1:21" ht="32.25" customHeight="1">
      <c r="A52" s="1905" t="s">
        <v>2740</v>
      </c>
      <c r="B52" s="1900" t="s">
        <v>644</v>
      </c>
      <c r="C52" s="1896">
        <v>188711925</v>
      </c>
      <c r="D52" s="956" t="s">
        <v>668</v>
      </c>
      <c r="E52" s="947">
        <v>21</v>
      </c>
      <c r="F52" s="1153">
        <f>H52/E52-1</f>
        <v>0</v>
      </c>
      <c r="G52" s="947">
        <v>21</v>
      </c>
      <c r="H52" s="947">
        <v>21</v>
      </c>
      <c r="I52" s="958">
        <v>31</v>
      </c>
      <c r="J52" s="959">
        <v>31</v>
      </c>
      <c r="K52" s="1887" t="s">
        <v>3111</v>
      </c>
      <c r="L52" s="1902" t="s">
        <v>3686</v>
      </c>
      <c r="M52" s="1890" t="s">
        <v>2005</v>
      </c>
      <c r="N52" s="1890" t="s">
        <v>608</v>
      </c>
      <c r="O52" s="1891" t="s">
        <v>209</v>
      </c>
      <c r="P52" s="1891" t="s">
        <v>209</v>
      </c>
      <c r="Q52" s="1891" t="s">
        <v>209</v>
      </c>
      <c r="R52" s="2300" t="s">
        <v>3002</v>
      </c>
      <c r="S52" s="2301"/>
    </row>
    <row r="53" spans="1:21" ht="177.75" customHeight="1">
      <c r="A53" s="1905"/>
      <c r="B53" s="1901"/>
      <c r="C53" s="1897"/>
      <c r="D53" s="966" t="s">
        <v>1372</v>
      </c>
      <c r="E53" s="949">
        <f>E52</f>
        <v>21</v>
      </c>
      <c r="F53" s="1152">
        <f t="shared" si="20"/>
        <v>0</v>
      </c>
      <c r="G53" s="949">
        <f t="shared" ref="G53:J53" si="32">G52</f>
        <v>21</v>
      </c>
      <c r="H53" s="949">
        <f t="shared" si="32"/>
        <v>21</v>
      </c>
      <c r="I53" s="949">
        <f t="shared" si="32"/>
        <v>31</v>
      </c>
      <c r="J53" s="949">
        <f t="shared" si="32"/>
        <v>31</v>
      </c>
      <c r="K53" s="1888"/>
      <c r="L53" s="1956"/>
      <c r="M53" s="1893"/>
      <c r="N53" s="1893"/>
      <c r="O53" s="1892"/>
      <c r="P53" s="1892"/>
      <c r="Q53" s="1892"/>
      <c r="R53" s="2302"/>
      <c r="S53" s="2303"/>
    </row>
    <row r="54" spans="1:21" ht="68.400000000000006" customHeight="1">
      <c r="A54" s="1905" t="s">
        <v>2741</v>
      </c>
      <c r="B54" s="1900" t="s">
        <v>3699</v>
      </c>
      <c r="C54" s="1896">
        <v>188711925</v>
      </c>
      <c r="D54" s="956" t="s">
        <v>668</v>
      </c>
      <c r="E54" s="947">
        <v>53</v>
      </c>
      <c r="F54" s="1153">
        <f t="shared" ref="F54:F60" si="33">H54/E54-1</f>
        <v>-3.7735849056603765E-2</v>
      </c>
      <c r="G54" s="947">
        <v>53</v>
      </c>
      <c r="H54" s="947">
        <v>51</v>
      </c>
      <c r="I54" s="958">
        <v>53</v>
      </c>
      <c r="J54" s="947">
        <v>53</v>
      </c>
      <c r="K54" s="1887" t="s">
        <v>3111</v>
      </c>
      <c r="L54" s="1898" t="s">
        <v>3047</v>
      </c>
      <c r="M54" s="1890" t="s">
        <v>2007</v>
      </c>
      <c r="N54" s="1890" t="s">
        <v>2006</v>
      </c>
      <c r="O54" s="1891" t="s">
        <v>449</v>
      </c>
      <c r="P54" s="1891" t="s">
        <v>449</v>
      </c>
      <c r="Q54" s="1891" t="s">
        <v>449</v>
      </c>
      <c r="R54" s="2302"/>
      <c r="S54" s="2303"/>
      <c r="T54" s="535" t="s">
        <v>3685</v>
      </c>
      <c r="U54" s="535"/>
    </row>
    <row r="55" spans="1:21" ht="99.75" customHeight="1">
      <c r="A55" s="1905"/>
      <c r="B55" s="1901"/>
      <c r="C55" s="1897"/>
      <c r="D55" s="966" t="s">
        <v>1372</v>
      </c>
      <c r="E55" s="949">
        <f>E54</f>
        <v>53</v>
      </c>
      <c r="F55" s="1152">
        <f t="shared" si="33"/>
        <v>-3.7735849056603765E-2</v>
      </c>
      <c r="G55" s="949">
        <f t="shared" ref="G55:J55" si="34">G54</f>
        <v>53</v>
      </c>
      <c r="H55" s="949">
        <f t="shared" si="34"/>
        <v>51</v>
      </c>
      <c r="I55" s="949">
        <f t="shared" si="34"/>
        <v>53</v>
      </c>
      <c r="J55" s="962">
        <f t="shared" si="34"/>
        <v>53</v>
      </c>
      <c r="K55" s="1888"/>
      <c r="L55" s="1899"/>
      <c r="M55" s="1893"/>
      <c r="N55" s="1893"/>
      <c r="O55" s="1892"/>
      <c r="P55" s="1892"/>
      <c r="Q55" s="1892"/>
      <c r="R55" s="2302"/>
      <c r="S55" s="2303"/>
    </row>
    <row r="56" spans="1:21" ht="39" customHeight="1">
      <c r="A56" s="1905" t="s">
        <v>2742</v>
      </c>
      <c r="B56" s="1900" t="s">
        <v>1619</v>
      </c>
      <c r="C56" s="1896">
        <v>188711925</v>
      </c>
      <c r="D56" s="956" t="s">
        <v>668</v>
      </c>
      <c r="E56" s="947">
        <v>40</v>
      </c>
      <c r="F56" s="1153">
        <f t="shared" si="33"/>
        <v>-0.25</v>
      </c>
      <c r="G56" s="947"/>
      <c r="H56" s="947">
        <v>30</v>
      </c>
      <c r="I56" s="958">
        <v>30</v>
      </c>
      <c r="J56" s="947">
        <v>30</v>
      </c>
      <c r="K56" s="1887" t="s">
        <v>3111</v>
      </c>
      <c r="L56" s="1898" t="s">
        <v>3176</v>
      </c>
      <c r="M56" s="1890" t="s">
        <v>2008</v>
      </c>
      <c r="N56" s="1890" t="s">
        <v>2009</v>
      </c>
      <c r="O56" s="1891" t="s">
        <v>566</v>
      </c>
      <c r="P56" s="1891" t="s">
        <v>209</v>
      </c>
      <c r="Q56" s="1891" t="s">
        <v>11</v>
      </c>
      <c r="R56" s="2302"/>
      <c r="S56" s="2303"/>
    </row>
    <row r="57" spans="1:21" ht="21" customHeight="1">
      <c r="A57" s="1905"/>
      <c r="B57" s="1901"/>
      <c r="C57" s="1897"/>
      <c r="D57" s="1087" t="s">
        <v>1817</v>
      </c>
      <c r="E57" s="960">
        <v>81.349999999999994</v>
      </c>
      <c r="F57" s="1153">
        <f t="shared" si="33"/>
        <v>5.7897971727105313E-2</v>
      </c>
      <c r="G57" s="960"/>
      <c r="H57" s="960">
        <v>86.06</v>
      </c>
      <c r="I57" s="1075">
        <v>87</v>
      </c>
      <c r="J57" s="947">
        <v>87</v>
      </c>
      <c r="K57" s="2012"/>
      <c r="L57" s="1899"/>
      <c r="M57" s="1890"/>
      <c r="N57" s="1890"/>
      <c r="O57" s="1916"/>
      <c r="P57" s="1916"/>
      <c r="Q57" s="1916"/>
      <c r="R57" s="2302"/>
      <c r="S57" s="2303"/>
    </row>
    <row r="58" spans="1:21" ht="30" customHeight="1">
      <c r="A58" s="1905"/>
      <c r="B58" s="1901"/>
      <c r="C58" s="1897"/>
      <c r="D58" s="966" t="s">
        <v>1372</v>
      </c>
      <c r="E58" s="949">
        <f>SUM(E56:E57,)</f>
        <v>121.35</v>
      </c>
      <c r="F58" s="1152">
        <f t="shared" si="33"/>
        <v>-4.3592913061392569E-2</v>
      </c>
      <c r="G58" s="949">
        <f t="shared" ref="G58" si="35">G56</f>
        <v>0</v>
      </c>
      <c r="H58" s="949">
        <f>H56+H57</f>
        <v>116.06</v>
      </c>
      <c r="I58" s="949">
        <f t="shared" ref="I58:J58" si="36">I56+I57</f>
        <v>117</v>
      </c>
      <c r="J58" s="949">
        <f t="shared" si="36"/>
        <v>117</v>
      </c>
      <c r="K58" s="1888"/>
      <c r="L58" s="1899"/>
      <c r="M58" s="1893"/>
      <c r="N58" s="1893"/>
      <c r="O58" s="1892"/>
      <c r="P58" s="1892"/>
      <c r="Q58" s="1892"/>
      <c r="R58" s="2302"/>
      <c r="S58" s="2303"/>
    </row>
    <row r="59" spans="1:21" ht="76.8" customHeight="1">
      <c r="A59" s="1905" t="s">
        <v>2743</v>
      </c>
      <c r="B59" s="1900" t="s">
        <v>1620</v>
      </c>
      <c r="C59" s="1896">
        <v>188711925</v>
      </c>
      <c r="D59" s="956" t="s">
        <v>668</v>
      </c>
      <c r="E59" s="947">
        <v>6</v>
      </c>
      <c r="F59" s="1153">
        <f t="shared" si="33"/>
        <v>3.166666666666667</v>
      </c>
      <c r="G59" s="947">
        <v>15</v>
      </c>
      <c r="H59" s="947">
        <v>25</v>
      </c>
      <c r="I59" s="958">
        <v>20</v>
      </c>
      <c r="J59" s="947">
        <v>22</v>
      </c>
      <c r="K59" s="1887" t="s">
        <v>3111</v>
      </c>
      <c r="L59" s="1898" t="s">
        <v>3687</v>
      </c>
      <c r="M59" s="1890" t="s">
        <v>2011</v>
      </c>
      <c r="N59" s="1890" t="s">
        <v>2010</v>
      </c>
      <c r="O59" s="1891" t="s">
        <v>469</v>
      </c>
      <c r="P59" s="1891" t="s">
        <v>612</v>
      </c>
      <c r="Q59" s="1891" t="s">
        <v>1776</v>
      </c>
      <c r="R59" s="2302"/>
      <c r="S59" s="2303"/>
    </row>
    <row r="60" spans="1:21" ht="71.25" customHeight="1">
      <c r="A60" s="1905"/>
      <c r="B60" s="1901"/>
      <c r="C60" s="1897"/>
      <c r="D60" s="966" t="s">
        <v>1372</v>
      </c>
      <c r="E60" s="949">
        <f>E59</f>
        <v>6</v>
      </c>
      <c r="F60" s="1152">
        <f t="shared" si="33"/>
        <v>3.166666666666667</v>
      </c>
      <c r="G60" s="949">
        <f t="shared" ref="G60:J60" si="37">G59</f>
        <v>15</v>
      </c>
      <c r="H60" s="949">
        <f t="shared" si="37"/>
        <v>25</v>
      </c>
      <c r="I60" s="949">
        <f t="shared" si="37"/>
        <v>20</v>
      </c>
      <c r="J60" s="962">
        <f t="shared" si="37"/>
        <v>22</v>
      </c>
      <c r="K60" s="1888"/>
      <c r="L60" s="1899"/>
      <c r="M60" s="1893"/>
      <c r="N60" s="1893"/>
      <c r="O60" s="1892"/>
      <c r="P60" s="1892"/>
      <c r="Q60" s="1892"/>
      <c r="R60" s="2304"/>
      <c r="S60" s="2305"/>
    </row>
    <row r="61" spans="1:21" ht="21" customHeight="1">
      <c r="A61" s="1905" t="s">
        <v>2744</v>
      </c>
      <c r="B61" s="2266" t="s">
        <v>3902</v>
      </c>
      <c r="C61" s="1896">
        <v>188711925</v>
      </c>
      <c r="D61" s="956" t="s">
        <v>668</v>
      </c>
      <c r="E61" s="947">
        <v>46.13</v>
      </c>
      <c r="F61" s="1153"/>
      <c r="G61" s="947"/>
      <c r="H61" s="947"/>
      <c r="I61" s="1413"/>
      <c r="J61" s="959"/>
      <c r="K61" s="1887" t="s">
        <v>3177</v>
      </c>
      <c r="L61" s="1902" t="s">
        <v>3328</v>
      </c>
      <c r="M61" s="1890" t="s">
        <v>2012</v>
      </c>
      <c r="N61" s="1941" t="s">
        <v>2250</v>
      </c>
      <c r="O61" s="1892" t="s">
        <v>3688</v>
      </c>
      <c r="P61" s="1892" t="s">
        <v>613</v>
      </c>
      <c r="Q61" s="1892" t="s">
        <v>613</v>
      </c>
      <c r="R61" s="2170" t="s">
        <v>3048</v>
      </c>
      <c r="S61" s="2170"/>
    </row>
    <row r="62" spans="1:21" ht="21" customHeight="1">
      <c r="A62" s="1905"/>
      <c r="B62" s="2266"/>
      <c r="C62" s="1896"/>
      <c r="D62" s="956" t="s">
        <v>341</v>
      </c>
      <c r="E62" s="947">
        <v>89.578000000000003</v>
      </c>
      <c r="F62" s="1153"/>
      <c r="G62" s="947"/>
      <c r="H62" s="947"/>
      <c r="I62" s="947"/>
      <c r="J62" s="959"/>
      <c r="K62" s="2012"/>
      <c r="L62" s="2264"/>
      <c r="M62" s="1890"/>
      <c r="N62" s="1941"/>
      <c r="O62" s="1892"/>
      <c r="P62" s="1892"/>
      <c r="Q62" s="1892"/>
      <c r="R62" s="2170"/>
      <c r="S62" s="2170"/>
    </row>
    <row r="63" spans="1:21" ht="21" customHeight="1">
      <c r="A63" s="1905"/>
      <c r="B63" s="2266"/>
      <c r="C63" s="1896"/>
      <c r="D63" s="956" t="s">
        <v>1422</v>
      </c>
      <c r="E63" s="947">
        <v>4.53</v>
      </c>
      <c r="F63" s="1153"/>
      <c r="G63" s="947"/>
      <c r="H63" s="947"/>
      <c r="I63" s="947"/>
      <c r="J63" s="959"/>
      <c r="K63" s="2012"/>
      <c r="L63" s="2264"/>
      <c r="M63" s="1890"/>
      <c r="N63" s="1941"/>
      <c r="O63" s="1892"/>
      <c r="P63" s="1892"/>
      <c r="Q63" s="1892"/>
      <c r="R63" s="2170"/>
      <c r="S63" s="2170"/>
    </row>
    <row r="64" spans="1:21" ht="21" customHeight="1">
      <c r="A64" s="1905"/>
      <c r="B64" s="2266"/>
      <c r="C64" s="1896"/>
      <c r="D64" s="956" t="s">
        <v>587</v>
      </c>
      <c r="E64" s="947">
        <v>0</v>
      </c>
      <c r="F64" s="1153"/>
      <c r="G64" s="947"/>
      <c r="H64" s="947"/>
      <c r="I64" s="947"/>
      <c r="J64" s="959"/>
      <c r="K64" s="2012"/>
      <c r="L64" s="2264"/>
      <c r="M64" s="1890"/>
      <c r="N64" s="1941"/>
      <c r="O64" s="1892"/>
      <c r="P64" s="1892"/>
      <c r="Q64" s="1892"/>
      <c r="R64" s="2170"/>
      <c r="S64" s="2170"/>
    </row>
    <row r="65" spans="1:20" ht="21" customHeight="1">
      <c r="A65" s="1915"/>
      <c r="B65" s="2267"/>
      <c r="C65" s="1897"/>
      <c r="D65" s="966" t="s">
        <v>1372</v>
      </c>
      <c r="E65" s="949">
        <f>SUM(E61:E64,)</f>
        <v>140.238</v>
      </c>
      <c r="F65" s="875">
        <f t="shared" si="20"/>
        <v>-1</v>
      </c>
      <c r="G65" s="949">
        <f t="shared" ref="G65:J65" si="38">G61</f>
        <v>0</v>
      </c>
      <c r="H65" s="949">
        <f t="shared" si="38"/>
        <v>0</v>
      </c>
      <c r="I65" s="949">
        <f t="shared" si="38"/>
        <v>0</v>
      </c>
      <c r="J65" s="1414">
        <f t="shared" si="38"/>
        <v>0</v>
      </c>
      <c r="K65" s="2012"/>
      <c r="L65" s="2265"/>
      <c r="M65" s="1889"/>
      <c r="N65" s="1997"/>
      <c r="O65" s="1891"/>
      <c r="P65" s="1891"/>
      <c r="Q65" s="1891"/>
      <c r="R65" s="2140"/>
      <c r="S65" s="2140"/>
    </row>
    <row r="66" spans="1:20" ht="27" customHeight="1">
      <c r="A66" s="740" t="s">
        <v>2765</v>
      </c>
      <c r="B66" s="664" t="s">
        <v>1621</v>
      </c>
      <c r="C66" s="740"/>
      <c r="D66" s="740"/>
      <c r="E66" s="741">
        <f>SUM(E68,E70,E72,)</f>
        <v>27</v>
      </c>
      <c r="F66" s="1074">
        <f t="shared" ref="F66:F73" si="39">H66/E66-1</f>
        <v>7.4074074074074181E-2</v>
      </c>
      <c r="G66" s="741">
        <f t="shared" ref="G66:J66" si="40">SUM(G68,G70,G72,)</f>
        <v>25</v>
      </c>
      <c r="H66" s="741">
        <f t="shared" si="40"/>
        <v>29</v>
      </c>
      <c r="I66" s="741">
        <f t="shared" si="40"/>
        <v>15</v>
      </c>
      <c r="J66" s="741">
        <f t="shared" si="40"/>
        <v>15</v>
      </c>
      <c r="K66" s="871" t="s">
        <v>1112</v>
      </c>
      <c r="L66" s="740"/>
      <c r="M66" s="789" t="s">
        <v>2013</v>
      </c>
      <c r="N66" s="664" t="s">
        <v>1093</v>
      </c>
      <c r="O66" s="762">
        <v>889</v>
      </c>
      <c r="P66" s="762">
        <v>890</v>
      </c>
      <c r="Q66" s="762">
        <v>891</v>
      </c>
      <c r="R66" s="2310" t="s">
        <v>2848</v>
      </c>
      <c r="S66" s="2311"/>
    </row>
    <row r="67" spans="1:20" ht="39" customHeight="1">
      <c r="A67" s="1914" t="s">
        <v>2745</v>
      </c>
      <c r="B67" s="1912" t="s">
        <v>1622</v>
      </c>
      <c r="C67" s="1906">
        <v>188711925</v>
      </c>
      <c r="D67" s="1082" t="s">
        <v>668</v>
      </c>
      <c r="E67" s="965">
        <v>7</v>
      </c>
      <c r="F67" s="1153">
        <f t="shared" si="39"/>
        <v>1.7142857142857144</v>
      </c>
      <c r="G67" s="965">
        <v>15</v>
      </c>
      <c r="H67" s="965">
        <v>19</v>
      </c>
      <c r="I67" s="1120">
        <v>5</v>
      </c>
      <c r="J67" s="1121">
        <v>5</v>
      </c>
      <c r="K67" s="1887" t="s">
        <v>2847</v>
      </c>
      <c r="L67" s="1960" t="s">
        <v>2251</v>
      </c>
      <c r="M67" s="1890" t="s">
        <v>2014</v>
      </c>
      <c r="N67" s="1941" t="s">
        <v>938</v>
      </c>
      <c r="O67" s="1892" t="s">
        <v>1707</v>
      </c>
      <c r="P67" s="1892" t="s">
        <v>1776</v>
      </c>
      <c r="Q67" s="1892" t="s">
        <v>612</v>
      </c>
      <c r="R67" s="2312"/>
      <c r="S67" s="2313"/>
    </row>
    <row r="68" spans="1:20" ht="21" customHeight="1">
      <c r="A68" s="1905"/>
      <c r="B68" s="1900"/>
      <c r="C68" s="1896"/>
      <c r="D68" s="961" t="s">
        <v>1372</v>
      </c>
      <c r="E68" s="962">
        <f>E67</f>
        <v>7</v>
      </c>
      <c r="F68" s="1152">
        <f t="shared" si="39"/>
        <v>1.7142857142857144</v>
      </c>
      <c r="G68" s="962">
        <f t="shared" ref="G68:J68" si="41">G67</f>
        <v>15</v>
      </c>
      <c r="H68" s="962">
        <f t="shared" si="41"/>
        <v>19</v>
      </c>
      <c r="I68" s="962">
        <f t="shared" si="41"/>
        <v>5</v>
      </c>
      <c r="J68" s="964">
        <f t="shared" si="41"/>
        <v>5</v>
      </c>
      <c r="K68" s="1888"/>
      <c r="L68" s="1956"/>
      <c r="M68" s="1893"/>
      <c r="N68" s="1937"/>
      <c r="O68" s="1938"/>
      <c r="P68" s="1938"/>
      <c r="Q68" s="1938"/>
      <c r="R68" s="2312"/>
      <c r="S68" s="2313"/>
    </row>
    <row r="69" spans="1:20" ht="48.6" customHeight="1">
      <c r="A69" s="1905" t="s">
        <v>2746</v>
      </c>
      <c r="B69" s="1900" t="s">
        <v>1623</v>
      </c>
      <c r="C69" s="1896">
        <v>188711925</v>
      </c>
      <c r="D69" s="956" t="s">
        <v>668</v>
      </c>
      <c r="E69" s="947">
        <v>10</v>
      </c>
      <c r="F69" s="1153">
        <f t="shared" si="39"/>
        <v>0</v>
      </c>
      <c r="G69" s="947">
        <v>10</v>
      </c>
      <c r="H69" s="947">
        <v>10</v>
      </c>
      <c r="I69" s="958">
        <v>10</v>
      </c>
      <c r="J69" s="959">
        <v>10</v>
      </c>
      <c r="K69" s="1887" t="s">
        <v>2847</v>
      </c>
      <c r="L69" s="1902" t="s">
        <v>2056</v>
      </c>
      <c r="M69" s="1890" t="s">
        <v>2015</v>
      </c>
      <c r="N69" s="1941" t="s">
        <v>3194</v>
      </c>
      <c r="O69" s="1892" t="s">
        <v>845</v>
      </c>
      <c r="P69" s="1892" t="s">
        <v>845</v>
      </c>
      <c r="Q69" s="1892" t="s">
        <v>845</v>
      </c>
      <c r="R69" s="2312"/>
      <c r="S69" s="2313"/>
    </row>
    <row r="70" spans="1:20" ht="104.25" customHeight="1">
      <c r="A70" s="1905"/>
      <c r="B70" s="1900"/>
      <c r="C70" s="1896"/>
      <c r="D70" s="961" t="s">
        <v>1372</v>
      </c>
      <c r="E70" s="962">
        <f>E69</f>
        <v>10</v>
      </c>
      <c r="F70" s="1152">
        <f t="shared" si="39"/>
        <v>0</v>
      </c>
      <c r="G70" s="962">
        <f t="shared" ref="G70:J70" si="42">G69</f>
        <v>10</v>
      </c>
      <c r="H70" s="962">
        <f t="shared" si="42"/>
        <v>10</v>
      </c>
      <c r="I70" s="962">
        <f t="shared" si="42"/>
        <v>10</v>
      </c>
      <c r="J70" s="964">
        <f t="shared" si="42"/>
        <v>10</v>
      </c>
      <c r="K70" s="1888"/>
      <c r="L70" s="1956"/>
      <c r="M70" s="1893"/>
      <c r="N70" s="1937"/>
      <c r="O70" s="1938"/>
      <c r="P70" s="1938"/>
      <c r="Q70" s="1938"/>
      <c r="R70" s="2312"/>
      <c r="S70" s="2313"/>
    </row>
    <row r="71" spans="1:20" ht="42" customHeight="1">
      <c r="A71" s="1905" t="s">
        <v>2747</v>
      </c>
      <c r="B71" s="1900" t="s">
        <v>3903</v>
      </c>
      <c r="C71" s="1896">
        <v>188711925</v>
      </c>
      <c r="D71" s="956" t="s">
        <v>668</v>
      </c>
      <c r="E71" s="947">
        <v>10</v>
      </c>
      <c r="F71" s="1153">
        <f t="shared" si="39"/>
        <v>-1</v>
      </c>
      <c r="G71" s="947">
        <v>0</v>
      </c>
      <c r="H71" s="947">
        <v>0</v>
      </c>
      <c r="I71" s="958"/>
      <c r="J71" s="959"/>
      <c r="K71" s="1887" t="s">
        <v>2847</v>
      </c>
      <c r="L71" s="1902" t="s">
        <v>3689</v>
      </c>
      <c r="M71" s="1890" t="s">
        <v>2016</v>
      </c>
      <c r="N71" s="1941" t="s">
        <v>2017</v>
      </c>
      <c r="O71" s="1892" t="s">
        <v>613</v>
      </c>
      <c r="P71" s="1892" t="s">
        <v>613</v>
      </c>
      <c r="Q71" s="1892" t="s">
        <v>613</v>
      </c>
      <c r="R71" s="2312"/>
      <c r="S71" s="2313"/>
    </row>
    <row r="72" spans="1:20" ht="49.5" customHeight="1">
      <c r="A72" s="1905"/>
      <c r="B72" s="1900"/>
      <c r="C72" s="1896"/>
      <c r="D72" s="961" t="s">
        <v>1372</v>
      </c>
      <c r="E72" s="962">
        <f>E71</f>
        <v>10</v>
      </c>
      <c r="F72" s="1152">
        <f t="shared" si="39"/>
        <v>-1</v>
      </c>
      <c r="G72" s="962">
        <f t="shared" ref="G72:J72" si="43">G71</f>
        <v>0</v>
      </c>
      <c r="H72" s="962">
        <f t="shared" si="43"/>
        <v>0</v>
      </c>
      <c r="I72" s="962">
        <f t="shared" si="43"/>
        <v>0</v>
      </c>
      <c r="J72" s="964">
        <f t="shared" si="43"/>
        <v>0</v>
      </c>
      <c r="K72" s="1888"/>
      <c r="L72" s="1956"/>
      <c r="M72" s="1893"/>
      <c r="N72" s="1937"/>
      <c r="O72" s="1938"/>
      <c r="P72" s="1938"/>
      <c r="Q72" s="1938"/>
      <c r="R72" s="2314"/>
      <c r="S72" s="2315"/>
    </row>
    <row r="73" spans="1:20" ht="27.75" customHeight="1">
      <c r="A73" s="740" t="s">
        <v>2766</v>
      </c>
      <c r="B73" s="664" t="s">
        <v>2767</v>
      </c>
      <c r="C73" s="740"/>
      <c r="D73" s="740"/>
      <c r="E73" s="741">
        <f>SUM(E75,E77,E81,E83)</f>
        <v>58</v>
      </c>
      <c r="F73" s="1074">
        <f t="shared" si="39"/>
        <v>0.30172413793103448</v>
      </c>
      <c r="G73" s="741">
        <f t="shared" ref="G73:J73" si="44">SUM(G75,G77,G81,G83)</f>
        <v>49</v>
      </c>
      <c r="H73" s="741">
        <f t="shared" si="44"/>
        <v>75.5</v>
      </c>
      <c r="I73" s="741">
        <f t="shared" si="44"/>
        <v>35</v>
      </c>
      <c r="J73" s="741">
        <f t="shared" si="44"/>
        <v>35</v>
      </c>
      <c r="K73" s="740" t="s">
        <v>1112</v>
      </c>
      <c r="L73" s="740"/>
      <c r="M73" s="789" t="s">
        <v>2018</v>
      </c>
      <c r="N73" s="664" t="s">
        <v>1094</v>
      </c>
      <c r="O73" s="762">
        <v>739</v>
      </c>
      <c r="P73" s="762">
        <v>740</v>
      </c>
      <c r="Q73" s="762">
        <v>741</v>
      </c>
      <c r="R73" s="2185" t="s">
        <v>2848</v>
      </c>
      <c r="S73" s="2186"/>
    </row>
    <row r="74" spans="1:20" ht="91.8" customHeight="1">
      <c r="A74" s="1914" t="s">
        <v>2748</v>
      </c>
      <c r="B74" s="1890" t="s">
        <v>1624</v>
      </c>
      <c r="C74" s="1980">
        <v>188711925</v>
      </c>
      <c r="D74" s="943" t="s">
        <v>668</v>
      </c>
      <c r="E74" s="745">
        <v>0</v>
      </c>
      <c r="F74" s="1153"/>
      <c r="G74" s="745"/>
      <c r="H74" s="745"/>
      <c r="I74" s="745"/>
      <c r="J74" s="745"/>
      <c r="K74" s="1654" t="s">
        <v>2847</v>
      </c>
      <c r="L74" s="1982" t="s">
        <v>3049</v>
      </c>
      <c r="M74" s="1890" t="s">
        <v>2019</v>
      </c>
      <c r="N74" s="1941" t="s">
        <v>1025</v>
      </c>
      <c r="O74" s="1892" t="s">
        <v>613</v>
      </c>
      <c r="P74" s="1892" t="s">
        <v>469</v>
      </c>
      <c r="Q74" s="1892" t="s">
        <v>469</v>
      </c>
      <c r="R74" s="2187"/>
      <c r="S74" s="2188"/>
    </row>
    <row r="75" spans="1:20" ht="179.25" customHeight="1">
      <c r="A75" s="1905"/>
      <c r="B75" s="1893"/>
      <c r="C75" s="1981"/>
      <c r="D75" s="1011" t="s">
        <v>1372</v>
      </c>
      <c r="E75" s="962">
        <f>SUM(E74:E74)</f>
        <v>0</v>
      </c>
      <c r="F75" s="1152"/>
      <c r="G75" s="962">
        <f>G74</f>
        <v>0</v>
      </c>
      <c r="H75" s="962">
        <f>H74</f>
        <v>0</v>
      </c>
      <c r="I75" s="962">
        <f>I74</f>
        <v>0</v>
      </c>
      <c r="J75" s="962">
        <f>J74</f>
        <v>0</v>
      </c>
      <c r="K75" s="1655"/>
      <c r="L75" s="1944"/>
      <c r="M75" s="1893"/>
      <c r="N75" s="1937"/>
      <c r="O75" s="1938"/>
      <c r="P75" s="1938"/>
      <c r="Q75" s="1938"/>
      <c r="R75" s="2189"/>
      <c r="S75" s="2190"/>
    </row>
    <row r="76" spans="1:20" ht="86.4" customHeight="1">
      <c r="A76" s="1914" t="s">
        <v>2749</v>
      </c>
      <c r="B76" s="1890" t="s">
        <v>3693</v>
      </c>
      <c r="C76" s="1980" t="s">
        <v>1525</v>
      </c>
      <c r="D76" s="943" t="s">
        <v>668</v>
      </c>
      <c r="E76" s="745">
        <v>0</v>
      </c>
      <c r="F76" s="1153"/>
      <c r="G76" s="745">
        <v>0</v>
      </c>
      <c r="H76" s="745">
        <v>34.5</v>
      </c>
      <c r="I76" s="745">
        <v>0</v>
      </c>
      <c r="J76" s="745">
        <v>0</v>
      </c>
      <c r="K76" s="1654" t="s">
        <v>1116</v>
      </c>
      <c r="L76" s="1943" t="s">
        <v>3691</v>
      </c>
      <c r="M76" s="1890" t="s">
        <v>2020</v>
      </c>
      <c r="N76" s="1941" t="s">
        <v>3692</v>
      </c>
      <c r="O76" s="1892" t="s">
        <v>469</v>
      </c>
      <c r="P76" s="1892" t="s">
        <v>613</v>
      </c>
      <c r="Q76" s="1892" t="s">
        <v>613</v>
      </c>
      <c r="R76" s="2191" t="s">
        <v>1111</v>
      </c>
      <c r="S76" s="2192"/>
      <c r="T76" s="535" t="s">
        <v>3690</v>
      </c>
    </row>
    <row r="77" spans="1:20" ht="91.5" customHeight="1">
      <c r="A77" s="1905"/>
      <c r="B77" s="1893"/>
      <c r="C77" s="1981"/>
      <c r="D77" s="1011" t="s">
        <v>1372</v>
      </c>
      <c r="E77" s="962">
        <f>SUM(E76:E76)</f>
        <v>0</v>
      </c>
      <c r="F77" s="1152"/>
      <c r="G77" s="962">
        <f>G76</f>
        <v>0</v>
      </c>
      <c r="H77" s="962">
        <f>H76</f>
        <v>34.5</v>
      </c>
      <c r="I77" s="962">
        <f>I76</f>
        <v>0</v>
      </c>
      <c r="J77" s="962">
        <f>J76</f>
        <v>0</v>
      </c>
      <c r="K77" s="1655"/>
      <c r="L77" s="1944"/>
      <c r="M77" s="1893"/>
      <c r="N77" s="1937"/>
      <c r="O77" s="1938"/>
      <c r="P77" s="1938"/>
      <c r="Q77" s="1938"/>
      <c r="R77" s="2193"/>
      <c r="S77" s="2194"/>
    </row>
    <row r="78" spans="1:20" ht="21" hidden="1" customHeight="1">
      <c r="A78" s="989"/>
      <c r="B78" s="1435" t="s">
        <v>3531</v>
      </c>
      <c r="C78" s="1419"/>
      <c r="D78" s="992"/>
      <c r="E78" s="993"/>
      <c r="F78" s="1436"/>
      <c r="G78" s="993"/>
      <c r="H78" s="1023">
        <v>31.5</v>
      </c>
      <c r="I78" s="993"/>
      <c r="J78" s="993"/>
      <c r="K78" s="993"/>
      <c r="L78" s="1437"/>
      <c r="M78" s="1396"/>
      <c r="N78" s="990"/>
      <c r="O78" s="1405"/>
      <c r="P78" s="1405"/>
      <c r="Q78" s="1405"/>
      <c r="R78" s="1401"/>
      <c r="S78" s="1401"/>
    </row>
    <row r="79" spans="1:20" ht="29.25" hidden="1" customHeight="1">
      <c r="A79" s="989"/>
      <c r="B79" s="1435" t="s">
        <v>3532</v>
      </c>
      <c r="C79" s="1419"/>
      <c r="D79" s="992"/>
      <c r="E79" s="993"/>
      <c r="F79" s="1436"/>
      <c r="G79" s="993"/>
      <c r="H79" s="1023">
        <v>3</v>
      </c>
      <c r="I79" s="993"/>
      <c r="J79" s="993"/>
      <c r="K79" s="993"/>
      <c r="L79" s="1437"/>
      <c r="M79" s="1396"/>
      <c r="N79" s="990"/>
      <c r="O79" s="1405"/>
      <c r="P79" s="1405"/>
      <c r="Q79" s="1405"/>
      <c r="R79" s="1401"/>
      <c r="S79" s="1401"/>
    </row>
    <row r="80" spans="1:20" ht="78" customHeight="1">
      <c r="A80" s="1905" t="s">
        <v>2750</v>
      </c>
      <c r="B80" s="1900" t="s">
        <v>1625</v>
      </c>
      <c r="C80" s="1896">
        <v>188711925</v>
      </c>
      <c r="D80" s="956" t="s">
        <v>668</v>
      </c>
      <c r="E80" s="947">
        <v>52</v>
      </c>
      <c r="F80" s="1153">
        <f>H80/E80-1</f>
        <v>-0.32692307692307687</v>
      </c>
      <c r="G80" s="947">
        <v>43</v>
      </c>
      <c r="H80" s="947">
        <v>35</v>
      </c>
      <c r="I80" s="958">
        <v>30</v>
      </c>
      <c r="J80" s="959">
        <v>30</v>
      </c>
      <c r="K80" s="1887" t="s">
        <v>3112</v>
      </c>
      <c r="L80" s="1902" t="s">
        <v>2057</v>
      </c>
      <c r="M80" s="1890" t="s">
        <v>2021</v>
      </c>
      <c r="N80" s="1941" t="s">
        <v>2023</v>
      </c>
      <c r="O80" s="1892" t="s">
        <v>1691</v>
      </c>
      <c r="P80" s="1892" t="s">
        <v>551</v>
      </c>
      <c r="Q80" s="1892" t="s">
        <v>1707</v>
      </c>
      <c r="R80" s="2300" t="s">
        <v>3041</v>
      </c>
      <c r="S80" s="2301"/>
    </row>
    <row r="81" spans="1:19" ht="102.75" customHeight="1">
      <c r="A81" s="1905"/>
      <c r="B81" s="1900"/>
      <c r="C81" s="1896"/>
      <c r="D81" s="961" t="s">
        <v>1372</v>
      </c>
      <c r="E81" s="962">
        <f>E80</f>
        <v>52</v>
      </c>
      <c r="F81" s="1152">
        <f>H81/E81-1</f>
        <v>-0.32692307692307687</v>
      </c>
      <c r="G81" s="962">
        <f t="shared" ref="G81:J81" si="45">G80</f>
        <v>43</v>
      </c>
      <c r="H81" s="962">
        <f t="shared" si="45"/>
        <v>35</v>
      </c>
      <c r="I81" s="962">
        <f t="shared" si="45"/>
        <v>30</v>
      </c>
      <c r="J81" s="964">
        <f t="shared" si="45"/>
        <v>30</v>
      </c>
      <c r="K81" s="1888"/>
      <c r="L81" s="1956"/>
      <c r="M81" s="1893"/>
      <c r="N81" s="1937"/>
      <c r="O81" s="1938"/>
      <c r="P81" s="1938"/>
      <c r="Q81" s="1938"/>
      <c r="R81" s="2304"/>
      <c r="S81" s="2305"/>
    </row>
    <row r="82" spans="1:19" ht="21" customHeight="1">
      <c r="A82" s="1905" t="s">
        <v>2751</v>
      </c>
      <c r="B82" s="1900" t="s">
        <v>1626</v>
      </c>
      <c r="C82" s="1896">
        <v>188711925</v>
      </c>
      <c r="D82" s="956" t="s">
        <v>668</v>
      </c>
      <c r="E82" s="947">
        <v>6</v>
      </c>
      <c r="F82" s="1153">
        <f>H82/E82-1</f>
        <v>0</v>
      </c>
      <c r="G82" s="947">
        <v>6</v>
      </c>
      <c r="H82" s="947">
        <v>6</v>
      </c>
      <c r="I82" s="947">
        <v>5</v>
      </c>
      <c r="J82" s="947">
        <v>5</v>
      </c>
      <c r="K82" s="1887" t="s">
        <v>3112</v>
      </c>
      <c r="L82" s="1902" t="s">
        <v>2058</v>
      </c>
      <c r="M82" s="1890" t="s">
        <v>2022</v>
      </c>
      <c r="N82" s="1890" t="s">
        <v>2024</v>
      </c>
      <c r="O82" s="1891" t="s">
        <v>566</v>
      </c>
      <c r="P82" s="1891" t="s">
        <v>209</v>
      </c>
      <c r="Q82" s="1891" t="s">
        <v>11</v>
      </c>
      <c r="R82" s="2185" t="s">
        <v>3041</v>
      </c>
      <c r="S82" s="2186"/>
    </row>
    <row r="83" spans="1:19" ht="21" customHeight="1">
      <c r="A83" s="1905"/>
      <c r="B83" s="1901"/>
      <c r="C83" s="1897"/>
      <c r="D83" s="966" t="s">
        <v>1372</v>
      </c>
      <c r="E83" s="949">
        <f>E82</f>
        <v>6</v>
      </c>
      <c r="F83" s="1152">
        <f>H83/E83-1</f>
        <v>0</v>
      </c>
      <c r="G83" s="949">
        <f>G82</f>
        <v>6</v>
      </c>
      <c r="H83" s="949">
        <f>H82</f>
        <v>6</v>
      </c>
      <c r="I83" s="949">
        <f>I82</f>
        <v>5</v>
      </c>
      <c r="J83" s="949">
        <f>J82</f>
        <v>5</v>
      </c>
      <c r="K83" s="1888"/>
      <c r="L83" s="1956"/>
      <c r="M83" s="1893"/>
      <c r="N83" s="1893"/>
      <c r="O83" s="1892"/>
      <c r="P83" s="1892"/>
      <c r="Q83" s="1892"/>
      <c r="R83" s="2189"/>
      <c r="S83" s="2190"/>
    </row>
    <row r="84" spans="1:19" ht="52.95" customHeight="1">
      <c r="A84" s="740" t="s">
        <v>2768</v>
      </c>
      <c r="B84" s="664" t="s">
        <v>3347</v>
      </c>
      <c r="C84" s="738"/>
      <c r="D84" s="738"/>
      <c r="E84" s="741">
        <f>SUM(E86,E88,E90,E92,E94)</f>
        <v>51.494</v>
      </c>
      <c r="F84" s="1074">
        <f>H84/E84-1</f>
        <v>4.8836951877888684</v>
      </c>
      <c r="G84" s="741">
        <f t="shared" ref="G84:J84" si="46">SUM(G86,G88,G90,G92,G94)</f>
        <v>0</v>
      </c>
      <c r="H84" s="741">
        <f t="shared" si="46"/>
        <v>302.97499999999997</v>
      </c>
      <c r="I84" s="741">
        <f t="shared" si="46"/>
        <v>0</v>
      </c>
      <c r="J84" s="741">
        <f t="shared" si="46"/>
        <v>0</v>
      </c>
      <c r="K84" s="738" t="s">
        <v>3178</v>
      </c>
      <c r="L84" s="738"/>
      <c r="M84" s="789" t="s">
        <v>2025</v>
      </c>
      <c r="N84" s="806" t="s">
        <v>3179</v>
      </c>
      <c r="O84" s="1461">
        <v>19.5</v>
      </c>
      <c r="P84" s="1461">
        <v>20</v>
      </c>
      <c r="Q84" s="1461">
        <v>20</v>
      </c>
      <c r="R84" s="2289"/>
      <c r="S84" s="2290"/>
    </row>
    <row r="85" spans="1:19" ht="21" customHeight="1">
      <c r="A85" s="1914" t="s">
        <v>2752</v>
      </c>
      <c r="B85" s="1890" t="s">
        <v>1627</v>
      </c>
      <c r="C85" s="1980">
        <v>188711925</v>
      </c>
      <c r="D85" s="943" t="s">
        <v>668</v>
      </c>
      <c r="E85" s="745">
        <v>0</v>
      </c>
      <c r="F85" s="1153"/>
      <c r="G85" s="745">
        <v>0</v>
      </c>
      <c r="H85" s="745">
        <v>46.67</v>
      </c>
      <c r="I85" s="745">
        <v>0</v>
      </c>
      <c r="J85" s="745">
        <v>0</v>
      </c>
      <c r="K85" s="1654" t="s">
        <v>3112</v>
      </c>
      <c r="L85" s="1982" t="s">
        <v>3051</v>
      </c>
      <c r="M85" s="1890" t="s">
        <v>2026</v>
      </c>
      <c r="N85" s="1941" t="s">
        <v>3052</v>
      </c>
      <c r="O85" s="1892" t="s">
        <v>613</v>
      </c>
      <c r="P85" s="1892" t="s">
        <v>469</v>
      </c>
      <c r="Q85" s="1892" t="s">
        <v>613</v>
      </c>
      <c r="R85" s="2185" t="s">
        <v>3031</v>
      </c>
      <c r="S85" s="2186"/>
    </row>
    <row r="86" spans="1:19" ht="38.25" customHeight="1">
      <c r="A86" s="1905"/>
      <c r="B86" s="1893"/>
      <c r="C86" s="1981"/>
      <c r="D86" s="1011" t="s">
        <v>1372</v>
      </c>
      <c r="E86" s="962">
        <f>SUM(E85:E85)</f>
        <v>0</v>
      </c>
      <c r="F86" s="1152"/>
      <c r="G86" s="962">
        <f t="shared" ref="G86:J86" si="47">SUM(G85:G85)</f>
        <v>0</v>
      </c>
      <c r="H86" s="962">
        <f t="shared" si="47"/>
        <v>46.67</v>
      </c>
      <c r="I86" s="962">
        <f t="shared" si="47"/>
        <v>0</v>
      </c>
      <c r="J86" s="962">
        <f t="shared" si="47"/>
        <v>0</v>
      </c>
      <c r="K86" s="1655"/>
      <c r="L86" s="1944"/>
      <c r="M86" s="1893"/>
      <c r="N86" s="1937"/>
      <c r="O86" s="1938"/>
      <c r="P86" s="1938"/>
      <c r="Q86" s="1938"/>
      <c r="R86" s="2189"/>
      <c r="S86" s="2190"/>
    </row>
    <row r="87" spans="1:19" s="453" customFormat="1" ht="40.799999999999997" customHeight="1">
      <c r="A87" s="1914" t="s">
        <v>2753</v>
      </c>
      <c r="B87" s="1890" t="s">
        <v>1628</v>
      </c>
      <c r="C87" s="1980" t="s">
        <v>1525</v>
      </c>
      <c r="D87" s="943" t="s">
        <v>668</v>
      </c>
      <c r="E87" s="745">
        <v>0</v>
      </c>
      <c r="F87" s="1153"/>
      <c r="G87" s="745">
        <v>0</v>
      </c>
      <c r="H87" s="745">
        <v>0</v>
      </c>
      <c r="I87" s="745">
        <v>0</v>
      </c>
      <c r="J87" s="745">
        <v>0</v>
      </c>
      <c r="K87" s="1654" t="s">
        <v>3177</v>
      </c>
      <c r="L87" s="1943" t="s">
        <v>2059</v>
      </c>
      <c r="M87" s="1890" t="s">
        <v>2027</v>
      </c>
      <c r="N87" s="1941" t="s">
        <v>2032</v>
      </c>
      <c r="O87" s="1892" t="s">
        <v>613</v>
      </c>
      <c r="P87" s="1892" t="s">
        <v>613</v>
      </c>
      <c r="Q87" s="1892" t="s">
        <v>469</v>
      </c>
      <c r="R87" s="1770" t="s">
        <v>2032</v>
      </c>
      <c r="S87" s="1772"/>
    </row>
    <row r="88" spans="1:19" s="453" customFormat="1" ht="31.5" customHeight="1">
      <c r="A88" s="1905"/>
      <c r="B88" s="1893"/>
      <c r="C88" s="1981"/>
      <c r="D88" s="1011" t="s">
        <v>1372</v>
      </c>
      <c r="E88" s="962">
        <f>SUM(E87:E87)</f>
        <v>0</v>
      </c>
      <c r="F88" s="1152"/>
      <c r="G88" s="962">
        <f t="shared" ref="G88:J88" si="48">SUM(G87:G87)</f>
        <v>0</v>
      </c>
      <c r="H88" s="962">
        <f t="shared" si="48"/>
        <v>0</v>
      </c>
      <c r="I88" s="962">
        <f t="shared" si="48"/>
        <v>0</v>
      </c>
      <c r="J88" s="962">
        <f t="shared" si="48"/>
        <v>0</v>
      </c>
      <c r="K88" s="1655"/>
      <c r="L88" s="1944"/>
      <c r="M88" s="1893"/>
      <c r="N88" s="1937"/>
      <c r="O88" s="1938"/>
      <c r="P88" s="1938"/>
      <c r="Q88" s="1938"/>
      <c r="R88" s="1995"/>
      <c r="S88" s="1970"/>
    </row>
    <row r="89" spans="1:19" s="453" customFormat="1" ht="55.2" customHeight="1">
      <c r="A89" s="1905" t="s">
        <v>2754</v>
      </c>
      <c r="B89" s="1900" t="s">
        <v>1629</v>
      </c>
      <c r="C89" s="1896">
        <v>188711925</v>
      </c>
      <c r="D89" s="956" t="s">
        <v>668</v>
      </c>
      <c r="E89" s="947">
        <v>0</v>
      </c>
      <c r="F89" s="1153"/>
      <c r="G89" s="947"/>
      <c r="H89" s="947"/>
      <c r="I89" s="958"/>
      <c r="J89" s="959"/>
      <c r="K89" s="1887" t="s">
        <v>3177</v>
      </c>
      <c r="L89" s="1902" t="s">
        <v>2060</v>
      </c>
      <c r="M89" s="1890" t="s">
        <v>2028</v>
      </c>
      <c r="N89" s="1941" t="s">
        <v>2033</v>
      </c>
      <c r="O89" s="1892" t="s">
        <v>613</v>
      </c>
      <c r="P89" s="1892" t="s">
        <v>613</v>
      </c>
      <c r="Q89" s="1892" t="s">
        <v>469</v>
      </c>
      <c r="R89" s="1995"/>
      <c r="S89" s="1970"/>
    </row>
    <row r="90" spans="1:19" s="453" customFormat="1" ht="36" customHeight="1">
      <c r="A90" s="1905"/>
      <c r="B90" s="1900"/>
      <c r="C90" s="1896"/>
      <c r="D90" s="961" t="s">
        <v>1372</v>
      </c>
      <c r="E90" s="962">
        <f>E89</f>
        <v>0</v>
      </c>
      <c r="F90" s="1152"/>
      <c r="G90" s="962">
        <f t="shared" ref="G90:J90" si="49">G89</f>
        <v>0</v>
      </c>
      <c r="H90" s="962">
        <f t="shared" si="49"/>
        <v>0</v>
      </c>
      <c r="I90" s="962">
        <f t="shared" si="49"/>
        <v>0</v>
      </c>
      <c r="J90" s="964">
        <f t="shared" si="49"/>
        <v>0</v>
      </c>
      <c r="K90" s="1888"/>
      <c r="L90" s="1956"/>
      <c r="M90" s="1893"/>
      <c r="N90" s="1937"/>
      <c r="O90" s="1938"/>
      <c r="P90" s="1938"/>
      <c r="Q90" s="1938"/>
      <c r="R90" s="1995"/>
      <c r="S90" s="1970"/>
    </row>
    <row r="91" spans="1:19" ht="38.4" customHeight="1">
      <c r="A91" s="1905" t="s">
        <v>2755</v>
      </c>
      <c r="B91" s="1900" t="s">
        <v>1630</v>
      </c>
      <c r="C91" s="1896">
        <v>188711925</v>
      </c>
      <c r="D91" s="956" t="s">
        <v>341</v>
      </c>
      <c r="E91" s="947">
        <v>51.494</v>
      </c>
      <c r="F91" s="1153">
        <f>H91/E91-1</f>
        <v>-0.83716549500912729</v>
      </c>
      <c r="G91" s="947"/>
      <c r="H91" s="947">
        <v>8.3849999999999998</v>
      </c>
      <c r="I91" s="958"/>
      <c r="J91" s="959"/>
      <c r="K91" s="1887" t="s">
        <v>3177</v>
      </c>
      <c r="L91" s="1902" t="s">
        <v>3694</v>
      </c>
      <c r="M91" s="1890" t="s">
        <v>2030</v>
      </c>
      <c r="N91" s="1941" t="s">
        <v>3695</v>
      </c>
      <c r="O91" s="1892" t="s">
        <v>469</v>
      </c>
      <c r="P91" s="1892" t="s">
        <v>613</v>
      </c>
      <c r="Q91" s="1892" t="s">
        <v>613</v>
      </c>
      <c r="R91" s="1995"/>
      <c r="S91" s="1970"/>
    </row>
    <row r="92" spans="1:19" ht="42" customHeight="1">
      <c r="A92" s="1905"/>
      <c r="B92" s="1900"/>
      <c r="C92" s="1896"/>
      <c r="D92" s="961" t="s">
        <v>1372</v>
      </c>
      <c r="E92" s="962">
        <f>E91</f>
        <v>51.494</v>
      </c>
      <c r="F92" s="1152">
        <f>H92/E92-1</f>
        <v>-0.83716549500912729</v>
      </c>
      <c r="G92" s="962">
        <f t="shared" ref="G92:J92" si="50">G91</f>
        <v>0</v>
      </c>
      <c r="H92" s="962">
        <f t="shared" si="50"/>
        <v>8.3849999999999998</v>
      </c>
      <c r="I92" s="962">
        <f t="shared" si="50"/>
        <v>0</v>
      </c>
      <c r="J92" s="964">
        <f t="shared" si="50"/>
        <v>0</v>
      </c>
      <c r="K92" s="1888"/>
      <c r="L92" s="1956"/>
      <c r="M92" s="1893"/>
      <c r="N92" s="1937"/>
      <c r="O92" s="1938"/>
      <c r="P92" s="1938"/>
      <c r="Q92" s="1938"/>
      <c r="R92" s="1771"/>
      <c r="S92" s="1773"/>
    </row>
    <row r="93" spans="1:19" ht="21" customHeight="1">
      <c r="A93" s="1905" t="s">
        <v>2756</v>
      </c>
      <c r="B93" s="1900" t="s">
        <v>1631</v>
      </c>
      <c r="C93" s="1896">
        <v>188711925</v>
      </c>
      <c r="D93" s="956" t="s">
        <v>668</v>
      </c>
      <c r="E93" s="1415"/>
      <c r="F93" s="1153"/>
      <c r="G93" s="947"/>
      <c r="H93" s="947">
        <v>247.92</v>
      </c>
      <c r="I93" s="958"/>
      <c r="J93" s="959"/>
      <c r="K93" s="1887" t="s">
        <v>1116</v>
      </c>
      <c r="L93" s="1902"/>
      <c r="M93" s="1890" t="s">
        <v>2031</v>
      </c>
      <c r="N93" s="1941" t="s">
        <v>3055</v>
      </c>
      <c r="O93" s="1891" t="s">
        <v>613</v>
      </c>
      <c r="P93" s="1891" t="s">
        <v>1691</v>
      </c>
      <c r="Q93" s="1891" t="s">
        <v>1707</v>
      </c>
      <c r="R93" s="2185" t="s">
        <v>3050</v>
      </c>
      <c r="S93" s="2186"/>
    </row>
    <row r="94" spans="1:19" ht="27" customHeight="1">
      <c r="A94" s="1905"/>
      <c r="B94" s="1901"/>
      <c r="C94" s="1897"/>
      <c r="D94" s="966" t="s">
        <v>1372</v>
      </c>
      <c r="E94" s="949">
        <f>E93</f>
        <v>0</v>
      </c>
      <c r="F94" s="1152"/>
      <c r="G94" s="949"/>
      <c r="H94" s="949">
        <f>H93</f>
        <v>247.92</v>
      </c>
      <c r="I94" s="949">
        <f t="shared" ref="I94:J94" si="51">I93</f>
        <v>0</v>
      </c>
      <c r="J94" s="949">
        <f t="shared" si="51"/>
        <v>0</v>
      </c>
      <c r="K94" s="1888"/>
      <c r="L94" s="1956"/>
      <c r="M94" s="1893"/>
      <c r="N94" s="1893"/>
      <c r="O94" s="1892"/>
      <c r="P94" s="1892"/>
      <c r="Q94" s="1892"/>
      <c r="R94" s="2189"/>
      <c r="S94" s="2190"/>
    </row>
    <row r="95" spans="1:19" ht="39" customHeight="1">
      <c r="A95" s="879" t="s">
        <v>3072</v>
      </c>
      <c r="B95" s="984" t="s">
        <v>2769</v>
      </c>
      <c r="C95" s="879"/>
      <c r="D95" s="879"/>
      <c r="E95" s="1116">
        <f t="shared" ref="E95:J95" si="52">SUM(E99,E109,E113,E121,E127,E130,E132,E142)</f>
        <v>152.828</v>
      </c>
      <c r="F95" s="1232">
        <f>H95/E95-1</f>
        <v>2.8082026853717905</v>
      </c>
      <c r="G95" s="1116">
        <f t="shared" si="52"/>
        <v>108</v>
      </c>
      <c r="H95" s="1116">
        <f t="shared" si="52"/>
        <v>582</v>
      </c>
      <c r="I95" s="1116">
        <f t="shared" si="52"/>
        <v>4607.0604000000003</v>
      </c>
      <c r="J95" s="1116">
        <f t="shared" si="52"/>
        <v>6041.9698000000008</v>
      </c>
      <c r="K95" s="871" t="s">
        <v>1123</v>
      </c>
      <c r="L95" s="879"/>
      <c r="M95" s="879" t="s">
        <v>2034</v>
      </c>
      <c r="N95" s="984" t="s">
        <v>3180</v>
      </c>
      <c r="O95" s="871">
        <v>72</v>
      </c>
      <c r="P95" s="871">
        <v>72</v>
      </c>
      <c r="Q95" s="871">
        <v>72</v>
      </c>
      <c r="R95" s="2308" t="s">
        <v>3180</v>
      </c>
      <c r="S95" s="2309"/>
    </row>
    <row r="96" spans="1:19" ht="21" customHeight="1">
      <c r="A96" s="1914" t="s">
        <v>3056</v>
      </c>
      <c r="B96" s="1890" t="s">
        <v>3060</v>
      </c>
      <c r="C96" s="1980" t="s">
        <v>1525</v>
      </c>
      <c r="D96" s="943" t="s">
        <v>341</v>
      </c>
      <c r="E96" s="745">
        <f>SUM(E100,E104)</f>
        <v>0</v>
      </c>
      <c r="F96" s="1153"/>
      <c r="G96" s="745">
        <f t="shared" ref="G96:J96" si="53">SUM(G100,G104)</f>
        <v>86.4</v>
      </c>
      <c r="H96" s="745">
        <f t="shared" si="53"/>
        <v>86.4</v>
      </c>
      <c r="I96" s="745">
        <f t="shared" si="53"/>
        <v>1102.5833200000002</v>
      </c>
      <c r="J96" s="745">
        <f t="shared" si="53"/>
        <v>2329.1258000000003</v>
      </c>
      <c r="K96" s="1654" t="s">
        <v>3181</v>
      </c>
      <c r="L96" s="1903" t="s">
        <v>2061</v>
      </c>
      <c r="M96" s="1890" t="s">
        <v>2035</v>
      </c>
      <c r="N96" s="1941" t="s">
        <v>3063</v>
      </c>
      <c r="O96" s="1892"/>
      <c r="P96" s="1892"/>
      <c r="Q96" s="1892"/>
      <c r="R96" s="2185" t="s">
        <v>3064</v>
      </c>
      <c r="S96" s="2186"/>
    </row>
    <row r="97" spans="1:19" ht="21" customHeight="1">
      <c r="A97" s="1914"/>
      <c r="B97" s="1890"/>
      <c r="C97" s="1980"/>
      <c r="D97" s="943" t="s">
        <v>587</v>
      </c>
      <c r="E97" s="745"/>
      <c r="F97" s="1153"/>
      <c r="G97" s="745"/>
      <c r="H97" s="745"/>
      <c r="I97" s="745"/>
      <c r="J97" s="745"/>
      <c r="K97" s="1886"/>
      <c r="L97" s="1903"/>
      <c r="M97" s="1890"/>
      <c r="N97" s="1941"/>
      <c r="O97" s="1892"/>
      <c r="P97" s="1892"/>
      <c r="Q97" s="1892"/>
      <c r="R97" s="2187"/>
      <c r="S97" s="2188"/>
    </row>
    <row r="98" spans="1:19" ht="21" customHeight="1">
      <c r="A98" s="1914"/>
      <c r="B98" s="1890"/>
      <c r="C98" s="1980"/>
      <c r="D98" s="943" t="s">
        <v>668</v>
      </c>
      <c r="E98" s="745">
        <v>32</v>
      </c>
      <c r="F98" s="1153">
        <f>H98/E98-1</f>
        <v>-0.32499999999999996</v>
      </c>
      <c r="G98" s="745">
        <f t="shared" ref="G98:J98" si="54">SUM(G102,G106)</f>
        <v>21.6</v>
      </c>
      <c r="H98" s="745">
        <f t="shared" si="54"/>
        <v>21.6</v>
      </c>
      <c r="I98" s="745">
        <f t="shared" si="54"/>
        <v>256.25208000000003</v>
      </c>
      <c r="J98" s="745">
        <f t="shared" si="54"/>
        <v>459.61900000000003</v>
      </c>
      <c r="K98" s="1886"/>
      <c r="L98" s="1903"/>
      <c r="M98" s="1890"/>
      <c r="N98" s="1941"/>
      <c r="O98" s="1892"/>
      <c r="P98" s="1892"/>
      <c r="Q98" s="1892"/>
      <c r="R98" s="2187"/>
      <c r="S98" s="2188"/>
    </row>
    <row r="99" spans="1:19" ht="21" customHeight="1">
      <c r="A99" s="1905"/>
      <c r="B99" s="1893"/>
      <c r="C99" s="1981"/>
      <c r="D99" s="1011" t="s">
        <v>1372</v>
      </c>
      <c r="E99" s="962">
        <f>SUM(E96:E98)</f>
        <v>32</v>
      </c>
      <c r="F99" s="1152">
        <f>H99/E99-1</f>
        <v>2.375</v>
      </c>
      <c r="G99" s="962">
        <f t="shared" ref="G99:J99" si="55">SUM(G96:G98)</f>
        <v>108</v>
      </c>
      <c r="H99" s="962">
        <f t="shared" si="55"/>
        <v>108</v>
      </c>
      <c r="I99" s="962">
        <f t="shared" si="55"/>
        <v>1358.8354000000002</v>
      </c>
      <c r="J99" s="962">
        <f t="shared" si="55"/>
        <v>2788.7448000000004</v>
      </c>
      <c r="K99" s="1655"/>
      <c r="L99" s="1899"/>
      <c r="M99" s="1893"/>
      <c r="N99" s="1937"/>
      <c r="O99" s="1938"/>
      <c r="P99" s="1938"/>
      <c r="Q99" s="1938"/>
      <c r="R99" s="2189"/>
      <c r="S99" s="2190"/>
    </row>
    <row r="100" spans="1:19" s="453" customFormat="1" ht="21" hidden="1" customHeight="1">
      <c r="A100" s="2196" t="s">
        <v>3057</v>
      </c>
      <c r="B100" s="2197" t="s">
        <v>3059</v>
      </c>
      <c r="C100" s="2198">
        <v>188711925</v>
      </c>
      <c r="D100" s="1438" t="s">
        <v>341</v>
      </c>
      <c r="E100" s="994">
        <v>0</v>
      </c>
      <c r="F100" s="1436" t="e">
        <f t="shared" ref="F100:F150" si="56">(H100-E100)/E100</f>
        <v>#DIV/0!</v>
      </c>
      <c r="G100" s="994">
        <f>108*80%</f>
        <v>86.4</v>
      </c>
      <c r="H100" s="994">
        <f>108*80%</f>
        <v>86.4</v>
      </c>
      <c r="I100" s="994">
        <f>1048.5354*80%</f>
        <v>838.82832000000008</v>
      </c>
      <c r="J100" s="994">
        <v>2065.3708000000001</v>
      </c>
      <c r="K100" s="993"/>
      <c r="L100" s="2200" t="s">
        <v>3066</v>
      </c>
      <c r="M100" s="2203" t="s">
        <v>3061</v>
      </c>
      <c r="N100" s="2203" t="s">
        <v>3064</v>
      </c>
      <c r="O100" s="2205"/>
      <c r="P100" s="2205"/>
      <c r="Q100" s="2205"/>
      <c r="R100" s="1440" t="s">
        <v>3065</v>
      </c>
      <c r="S100" s="1037" t="s">
        <v>3064</v>
      </c>
    </row>
    <row r="101" spans="1:19" s="453" customFormat="1" ht="21" hidden="1" customHeight="1">
      <c r="A101" s="2196"/>
      <c r="B101" s="2197"/>
      <c r="C101" s="2198"/>
      <c r="D101" s="1438" t="s">
        <v>587</v>
      </c>
      <c r="E101" s="994"/>
      <c r="F101" s="1436" t="e">
        <f t="shared" si="56"/>
        <v>#DIV/0!</v>
      </c>
      <c r="G101" s="1441"/>
      <c r="H101" s="1441"/>
      <c r="I101" s="1441"/>
      <c r="J101" s="1441"/>
      <c r="K101" s="993"/>
      <c r="L101" s="2201"/>
      <c r="M101" s="2203"/>
      <c r="N101" s="2203"/>
      <c r="O101" s="2205"/>
      <c r="P101" s="2205"/>
      <c r="Q101" s="2205"/>
      <c r="R101" s="1036"/>
      <c r="S101" s="1442"/>
    </row>
    <row r="102" spans="1:19" s="453" customFormat="1" ht="21" hidden="1" customHeight="1">
      <c r="A102" s="2196"/>
      <c r="B102" s="2197"/>
      <c r="C102" s="2198"/>
      <c r="D102" s="1438" t="s">
        <v>668</v>
      </c>
      <c r="E102" s="994"/>
      <c r="F102" s="1436" t="e">
        <f t="shared" si="56"/>
        <v>#DIV/0!</v>
      </c>
      <c r="G102" s="994">
        <f>108*20%</f>
        <v>21.6</v>
      </c>
      <c r="H102" s="994">
        <f>108*20%</f>
        <v>21.6</v>
      </c>
      <c r="I102" s="994">
        <f>1048.5354*20%</f>
        <v>209.70708000000002</v>
      </c>
      <c r="J102" s="994">
        <f>2065.37*20%</f>
        <v>413.07400000000001</v>
      </c>
      <c r="K102" s="993"/>
      <c r="L102" s="2201"/>
      <c r="M102" s="2203"/>
      <c r="N102" s="2203"/>
      <c r="O102" s="2205"/>
      <c r="P102" s="2205"/>
      <c r="Q102" s="2205"/>
      <c r="R102" s="1036"/>
      <c r="S102" s="1442"/>
    </row>
    <row r="103" spans="1:19" s="453" customFormat="1" ht="21" hidden="1" customHeight="1">
      <c r="A103" s="2196"/>
      <c r="B103" s="2197"/>
      <c r="C103" s="2199"/>
      <c r="D103" s="1443" t="s">
        <v>1372</v>
      </c>
      <c r="E103" s="1033">
        <f>SUM(E100:E102)</f>
        <v>0</v>
      </c>
      <c r="F103" s="1436" t="e">
        <f t="shared" si="56"/>
        <v>#DIV/0!</v>
      </c>
      <c r="G103" s="1033">
        <f t="shared" ref="G103" si="57">SUM(G100:G102)</f>
        <v>108</v>
      </c>
      <c r="H103" s="1033">
        <f t="shared" ref="H103" si="58">SUM(H100:H102)</f>
        <v>108</v>
      </c>
      <c r="I103" s="1033">
        <f t="shared" ref="I103" si="59">SUM(I100:I102)</f>
        <v>1048.5354000000002</v>
      </c>
      <c r="J103" s="1033">
        <f t="shared" ref="J103" si="60">SUM(J100:J102)</f>
        <v>2478.4448000000002</v>
      </c>
      <c r="K103" s="1444"/>
      <c r="L103" s="2202"/>
      <c r="M103" s="2204"/>
      <c r="N103" s="2204"/>
      <c r="O103" s="2195"/>
      <c r="P103" s="2195"/>
      <c r="Q103" s="2195"/>
      <c r="R103" s="1396"/>
      <c r="S103" s="1442"/>
    </row>
    <row r="104" spans="1:19" s="453" customFormat="1" ht="21" hidden="1" customHeight="1">
      <c r="A104" s="2196" t="s">
        <v>3058</v>
      </c>
      <c r="B104" s="2197" t="s">
        <v>3017</v>
      </c>
      <c r="C104" s="2198" t="s">
        <v>1376</v>
      </c>
      <c r="D104" s="1438" t="s">
        <v>341</v>
      </c>
      <c r="E104" s="994">
        <v>0</v>
      </c>
      <c r="F104" s="1436" t="e">
        <f t="shared" si="56"/>
        <v>#DIV/0!</v>
      </c>
      <c r="G104" s="994"/>
      <c r="H104" s="994"/>
      <c r="I104" s="994">
        <f>(620.6*85%)*50%</f>
        <v>263.755</v>
      </c>
      <c r="J104" s="994">
        <f>(620.6*85%)*50%</f>
        <v>263.755</v>
      </c>
      <c r="K104" s="993"/>
      <c r="L104" s="2200" t="s">
        <v>3018</v>
      </c>
      <c r="M104" s="2203" t="s">
        <v>3062</v>
      </c>
      <c r="N104" s="2203" t="s">
        <v>3063</v>
      </c>
      <c r="O104" s="2205"/>
      <c r="P104" s="2205"/>
      <c r="Q104" s="2205" t="s">
        <v>469</v>
      </c>
      <c r="R104" s="1440" t="s">
        <v>3065</v>
      </c>
      <c r="S104" s="1037" t="s">
        <v>3064</v>
      </c>
    </row>
    <row r="105" spans="1:19" s="453" customFormat="1" ht="21" hidden="1" customHeight="1">
      <c r="A105" s="2196"/>
      <c r="B105" s="2197"/>
      <c r="C105" s="2198"/>
      <c r="D105" s="1438" t="s">
        <v>587</v>
      </c>
      <c r="E105" s="994"/>
      <c r="F105" s="1436" t="e">
        <f t="shared" si="56"/>
        <v>#DIV/0!</v>
      </c>
      <c r="G105" s="994"/>
      <c r="H105" s="1441"/>
      <c r="I105" s="1441"/>
      <c r="J105" s="1441"/>
      <c r="K105" s="993"/>
      <c r="L105" s="2201"/>
      <c r="M105" s="2203"/>
      <c r="N105" s="2203"/>
      <c r="O105" s="2205"/>
      <c r="P105" s="2205"/>
      <c r="Q105" s="2205"/>
      <c r="R105" s="1036"/>
      <c r="S105" s="1442"/>
    </row>
    <row r="106" spans="1:19" s="453" customFormat="1" ht="21" hidden="1" customHeight="1">
      <c r="A106" s="2196"/>
      <c r="B106" s="2197"/>
      <c r="C106" s="2198"/>
      <c r="D106" s="1438" t="s">
        <v>668</v>
      </c>
      <c r="E106" s="994"/>
      <c r="F106" s="1436" t="e">
        <f t="shared" si="56"/>
        <v>#DIV/0!</v>
      </c>
      <c r="G106" s="994"/>
      <c r="H106" s="994"/>
      <c r="I106" s="994">
        <f>(620.6*15%)*50%</f>
        <v>46.545000000000002</v>
      </c>
      <c r="J106" s="994">
        <f>(620.6*15%)*50%</f>
        <v>46.545000000000002</v>
      </c>
      <c r="K106" s="993"/>
      <c r="L106" s="2201"/>
      <c r="M106" s="2203"/>
      <c r="N106" s="2203"/>
      <c r="O106" s="2205"/>
      <c r="P106" s="2205"/>
      <c r="Q106" s="2205"/>
      <c r="R106" s="1036"/>
      <c r="S106" s="1442"/>
    </row>
    <row r="107" spans="1:19" s="453" customFormat="1" ht="21" hidden="1" customHeight="1">
      <c r="A107" s="2196"/>
      <c r="B107" s="2197"/>
      <c r="C107" s="2199"/>
      <c r="D107" s="1443" t="s">
        <v>1372</v>
      </c>
      <c r="E107" s="1033">
        <f>SUM(E104:E106)</f>
        <v>0</v>
      </c>
      <c r="F107" s="1436" t="e">
        <f t="shared" si="56"/>
        <v>#DIV/0!</v>
      </c>
      <c r="G107" s="1033">
        <f t="shared" ref="G107" si="61">SUM(G104:G106)</f>
        <v>0</v>
      </c>
      <c r="H107" s="1033">
        <f t="shared" ref="H107" si="62">SUM(H104:H106)</f>
        <v>0</v>
      </c>
      <c r="I107" s="1033">
        <f t="shared" ref="I107" si="63">SUM(I104:I106)</f>
        <v>310.3</v>
      </c>
      <c r="J107" s="1033">
        <f t="shared" ref="J107" si="64">SUM(J104:J106)</f>
        <v>310.3</v>
      </c>
      <c r="K107" s="1444"/>
      <c r="L107" s="2202"/>
      <c r="M107" s="2204"/>
      <c r="N107" s="2204"/>
      <c r="O107" s="2195"/>
      <c r="P107" s="2195"/>
      <c r="Q107" s="2195"/>
      <c r="R107" s="1396"/>
      <c r="S107" s="1442"/>
    </row>
    <row r="108" spans="1:19" ht="50.4" customHeight="1">
      <c r="A108" s="1914" t="s">
        <v>3696</v>
      </c>
      <c r="B108" s="1890" t="s">
        <v>1632</v>
      </c>
      <c r="C108" s="1980" t="s">
        <v>1525</v>
      </c>
      <c r="D108" s="943" t="s">
        <v>668</v>
      </c>
      <c r="E108" s="745">
        <v>49.338999999999999</v>
      </c>
      <c r="F108" s="1153">
        <f>H108/E108-1</f>
        <v>5.0803826587486576</v>
      </c>
      <c r="G108" s="745">
        <v>0</v>
      </c>
      <c r="H108" s="745">
        <v>300</v>
      </c>
      <c r="I108" s="745">
        <v>0</v>
      </c>
      <c r="J108" s="745">
        <v>0</v>
      </c>
      <c r="K108" s="1654" t="s">
        <v>2971</v>
      </c>
      <c r="L108" s="1943" t="s">
        <v>3697</v>
      </c>
      <c r="M108" s="1890" t="s">
        <v>2036</v>
      </c>
      <c r="N108" s="1941" t="s">
        <v>3068</v>
      </c>
      <c r="O108" s="1892" t="s">
        <v>613</v>
      </c>
      <c r="P108" s="1892" t="s">
        <v>613</v>
      </c>
      <c r="Q108" s="1892" t="s">
        <v>469</v>
      </c>
      <c r="R108" s="2185" t="s">
        <v>3067</v>
      </c>
      <c r="S108" s="2186"/>
    </row>
    <row r="109" spans="1:19" ht="49.5" customHeight="1">
      <c r="A109" s="1905"/>
      <c r="B109" s="1893"/>
      <c r="C109" s="1981"/>
      <c r="D109" s="1011" t="s">
        <v>1372</v>
      </c>
      <c r="E109" s="962">
        <f>SUM(E108:E108)</f>
        <v>49.338999999999999</v>
      </c>
      <c r="F109" s="1152">
        <f t="shared" si="56"/>
        <v>5.0803826587486576</v>
      </c>
      <c r="G109" s="962">
        <f t="shared" ref="G109:J109" si="65">SUM(G108:G108)</f>
        <v>0</v>
      </c>
      <c r="H109" s="962">
        <f t="shared" si="65"/>
        <v>300</v>
      </c>
      <c r="I109" s="962">
        <f t="shared" si="65"/>
        <v>0</v>
      </c>
      <c r="J109" s="962">
        <f t="shared" si="65"/>
        <v>0</v>
      </c>
      <c r="K109" s="1655"/>
      <c r="L109" s="1944"/>
      <c r="M109" s="1893"/>
      <c r="N109" s="1937"/>
      <c r="O109" s="1938"/>
      <c r="P109" s="1938"/>
      <c r="Q109" s="1938"/>
      <c r="R109" s="2189"/>
      <c r="S109" s="2190"/>
    </row>
    <row r="110" spans="1:19" ht="50.4" customHeight="1">
      <c r="A110" s="1905" t="s">
        <v>3012</v>
      </c>
      <c r="B110" s="1900" t="s">
        <v>1633</v>
      </c>
      <c r="C110" s="1896">
        <v>188711925</v>
      </c>
      <c r="D110" s="1416" t="s">
        <v>341</v>
      </c>
      <c r="E110" s="947">
        <f>E114</f>
        <v>0</v>
      </c>
      <c r="F110" s="1153"/>
      <c r="G110" s="947">
        <f t="shared" ref="G110:J110" si="66">G114</f>
        <v>0</v>
      </c>
      <c r="H110" s="947">
        <f t="shared" si="66"/>
        <v>0</v>
      </c>
      <c r="I110" s="947">
        <f t="shared" si="66"/>
        <v>545.69999999999993</v>
      </c>
      <c r="J110" s="947">
        <f t="shared" si="66"/>
        <v>545.69999999999993</v>
      </c>
      <c r="K110" s="1887" t="s">
        <v>3182</v>
      </c>
      <c r="L110" s="1902" t="s">
        <v>2062</v>
      </c>
      <c r="M110" s="1890" t="s">
        <v>2037</v>
      </c>
      <c r="N110" s="1941" t="s">
        <v>2043</v>
      </c>
      <c r="O110" s="1892"/>
      <c r="P110" s="1892" t="s">
        <v>612</v>
      </c>
      <c r="Q110" s="1892" t="s">
        <v>612</v>
      </c>
      <c r="R110" s="2185" t="s">
        <v>3070</v>
      </c>
      <c r="S110" s="2186"/>
    </row>
    <row r="111" spans="1:19" ht="42.6" customHeight="1">
      <c r="A111" s="1905"/>
      <c r="B111" s="1900"/>
      <c r="C111" s="1896"/>
      <c r="D111" s="1417" t="s">
        <v>587</v>
      </c>
      <c r="E111" s="947"/>
      <c r="F111" s="1153"/>
      <c r="G111" s="947"/>
      <c r="H111" s="947"/>
      <c r="I111" s="947"/>
      <c r="J111" s="947"/>
      <c r="K111" s="2012"/>
      <c r="L111" s="1960"/>
      <c r="M111" s="1890"/>
      <c r="N111" s="1941"/>
      <c r="O111" s="1892"/>
      <c r="P111" s="1892"/>
      <c r="Q111" s="1892"/>
      <c r="R111" s="2187"/>
      <c r="S111" s="2188"/>
    </row>
    <row r="112" spans="1:19" ht="90.6" customHeight="1">
      <c r="A112" s="1905"/>
      <c r="B112" s="1900"/>
      <c r="C112" s="1896"/>
      <c r="D112" s="1417" t="s">
        <v>668</v>
      </c>
      <c r="E112" s="947">
        <f>E116</f>
        <v>0</v>
      </c>
      <c r="F112" s="1153"/>
      <c r="G112" s="947">
        <f t="shared" ref="G112:J112" si="67">G116</f>
        <v>0</v>
      </c>
      <c r="H112" s="947">
        <f t="shared" si="67"/>
        <v>0</v>
      </c>
      <c r="I112" s="947">
        <f t="shared" si="67"/>
        <v>96.3</v>
      </c>
      <c r="J112" s="947">
        <f t="shared" si="67"/>
        <v>96.3</v>
      </c>
      <c r="K112" s="2012"/>
      <c r="L112" s="1960"/>
      <c r="M112" s="1890"/>
      <c r="N112" s="1941"/>
      <c r="O112" s="1892"/>
      <c r="P112" s="1892"/>
      <c r="Q112" s="1892"/>
      <c r="R112" s="2187"/>
      <c r="S112" s="2188"/>
    </row>
    <row r="113" spans="1:19" ht="234" customHeight="1">
      <c r="A113" s="1905"/>
      <c r="B113" s="1900"/>
      <c r="C113" s="1896"/>
      <c r="D113" s="966" t="s">
        <v>1372</v>
      </c>
      <c r="E113" s="1125">
        <f>SUM(E110:E112)</f>
        <v>0</v>
      </c>
      <c r="F113" s="1152"/>
      <c r="G113" s="1125">
        <f t="shared" ref="G113:J113" si="68">SUM(G110:G112)</f>
        <v>0</v>
      </c>
      <c r="H113" s="1125">
        <f t="shared" si="68"/>
        <v>0</v>
      </c>
      <c r="I113" s="1125">
        <f t="shared" si="68"/>
        <v>641.99999999999989</v>
      </c>
      <c r="J113" s="1125">
        <f t="shared" si="68"/>
        <v>641.99999999999989</v>
      </c>
      <c r="K113" s="1888"/>
      <c r="L113" s="1956"/>
      <c r="M113" s="1893"/>
      <c r="N113" s="1937"/>
      <c r="O113" s="1938"/>
      <c r="P113" s="1938"/>
      <c r="Q113" s="1938"/>
      <c r="R113" s="2189"/>
      <c r="S113" s="2190"/>
    </row>
    <row r="114" spans="1:19" s="453" customFormat="1" ht="21" hidden="1" customHeight="1">
      <c r="A114" s="2210" t="s">
        <v>3011</v>
      </c>
      <c r="B114" s="2211" t="s">
        <v>3013</v>
      </c>
      <c r="C114" s="2212">
        <v>188711925</v>
      </c>
      <c r="D114" s="1081" t="s">
        <v>341</v>
      </c>
      <c r="E114" s="1023">
        <v>0</v>
      </c>
      <c r="F114" s="1429" t="e">
        <f t="shared" si="56"/>
        <v>#DIV/0!</v>
      </c>
      <c r="G114" s="1023"/>
      <c r="H114" s="1023"/>
      <c r="I114" s="1023">
        <f>(1284*85%)*50%</f>
        <v>545.69999999999993</v>
      </c>
      <c r="J114" s="1101">
        <f>(1284*85%)*50%</f>
        <v>545.69999999999993</v>
      </c>
      <c r="K114" s="1062"/>
      <c r="L114" s="2214" t="s">
        <v>3014</v>
      </c>
      <c r="M114" s="1973" t="s">
        <v>2037</v>
      </c>
      <c r="N114" s="1975" t="s">
        <v>2043</v>
      </c>
      <c r="O114" s="1947"/>
      <c r="P114" s="1947" t="s">
        <v>612</v>
      </c>
      <c r="Q114" s="1947" t="s">
        <v>612</v>
      </c>
      <c r="R114" s="1445" t="s">
        <v>3069</v>
      </c>
      <c r="S114" s="1446" t="s">
        <v>3070</v>
      </c>
    </row>
    <row r="115" spans="1:19" s="453" customFormat="1" ht="21" hidden="1" customHeight="1">
      <c r="A115" s="2210"/>
      <c r="B115" s="2211"/>
      <c r="C115" s="2212"/>
      <c r="D115" s="1081" t="s">
        <v>587</v>
      </c>
      <c r="E115" s="1023"/>
      <c r="F115" s="1429" t="e">
        <f t="shared" si="56"/>
        <v>#DIV/0!</v>
      </c>
      <c r="G115" s="1023"/>
      <c r="H115" s="450"/>
      <c r="I115" s="450"/>
      <c r="J115" s="1447"/>
      <c r="K115" s="1123"/>
      <c r="L115" s="2215"/>
      <c r="M115" s="1973"/>
      <c r="N115" s="1975"/>
      <c r="O115" s="1947"/>
      <c r="P115" s="1947"/>
      <c r="Q115" s="1947"/>
      <c r="R115" s="1017"/>
      <c r="S115" s="782"/>
    </row>
    <row r="116" spans="1:19" s="453" customFormat="1" ht="21" hidden="1" customHeight="1">
      <c r="A116" s="2210"/>
      <c r="B116" s="2211"/>
      <c r="C116" s="2212"/>
      <c r="D116" s="1081" t="s">
        <v>668</v>
      </c>
      <c r="E116" s="1023"/>
      <c r="F116" s="1429" t="e">
        <f t="shared" si="56"/>
        <v>#DIV/0!</v>
      </c>
      <c r="G116" s="1023"/>
      <c r="H116" s="1023"/>
      <c r="I116" s="1023">
        <f>(1284*15%)*50%</f>
        <v>96.3</v>
      </c>
      <c r="J116" s="1101">
        <f>(1284*15%)*50%</f>
        <v>96.3</v>
      </c>
      <c r="K116" s="1448"/>
      <c r="L116" s="2215"/>
      <c r="M116" s="1973"/>
      <c r="N116" s="1975"/>
      <c r="O116" s="1947"/>
      <c r="P116" s="1947"/>
      <c r="Q116" s="1947"/>
      <c r="R116" s="1017"/>
      <c r="S116" s="782"/>
    </row>
    <row r="117" spans="1:19" s="453" customFormat="1" ht="21" hidden="1" customHeight="1">
      <c r="A117" s="2210"/>
      <c r="B117" s="2211"/>
      <c r="C117" s="2213"/>
      <c r="D117" s="1449" t="s">
        <v>1372</v>
      </c>
      <c r="E117" s="1448">
        <f>SUM(E114:E116)</f>
        <v>0</v>
      </c>
      <c r="F117" s="1429" t="e">
        <f t="shared" si="56"/>
        <v>#DIV/0!</v>
      </c>
      <c r="G117" s="1448">
        <f t="shared" ref="G117:J117" si="69">SUM(G114:G116)</f>
        <v>0</v>
      </c>
      <c r="H117" s="1448">
        <f t="shared" si="69"/>
        <v>0</v>
      </c>
      <c r="I117" s="1448">
        <f t="shared" si="69"/>
        <v>641.99999999999989</v>
      </c>
      <c r="J117" s="1448">
        <f t="shared" si="69"/>
        <v>641.99999999999989</v>
      </c>
      <c r="K117" s="1450"/>
      <c r="L117" s="2216"/>
      <c r="M117" s="1974"/>
      <c r="N117" s="1976"/>
      <c r="O117" s="1948"/>
      <c r="P117" s="1948"/>
      <c r="Q117" s="1948"/>
      <c r="R117" s="1020"/>
      <c r="S117" s="782"/>
    </row>
    <row r="118" spans="1:19" ht="45.6" customHeight="1">
      <c r="A118" s="1905" t="s">
        <v>3071</v>
      </c>
      <c r="B118" s="1900" t="s">
        <v>1997</v>
      </c>
      <c r="C118" s="1896">
        <v>188711925</v>
      </c>
      <c r="D118" s="1416" t="s">
        <v>341</v>
      </c>
      <c r="E118" s="947">
        <f t="shared" ref="E118:J118" si="70">SUM(E122,E104)</f>
        <v>0</v>
      </c>
      <c r="F118" s="1153"/>
      <c r="G118" s="947">
        <f t="shared" si="70"/>
        <v>0</v>
      </c>
      <c r="H118" s="947">
        <f t="shared" si="70"/>
        <v>0</v>
      </c>
      <c r="I118" s="947">
        <f t="shared" si="70"/>
        <v>2062.2912500000002</v>
      </c>
      <c r="J118" s="947">
        <f t="shared" si="70"/>
        <v>2062.2912500000002</v>
      </c>
      <c r="K118" s="1887" t="s">
        <v>3182</v>
      </c>
      <c r="L118" s="1902" t="s">
        <v>2063</v>
      </c>
      <c r="M118" s="1890" t="s">
        <v>2038</v>
      </c>
      <c r="N118" s="1941" t="s">
        <v>3077</v>
      </c>
      <c r="O118" s="1892" t="s">
        <v>613</v>
      </c>
      <c r="P118" s="1892" t="s">
        <v>613</v>
      </c>
      <c r="Q118" s="1892" t="s">
        <v>3076</v>
      </c>
      <c r="R118" s="2185" t="s">
        <v>3070</v>
      </c>
      <c r="S118" s="2186"/>
    </row>
    <row r="119" spans="1:19" ht="45" customHeight="1">
      <c r="A119" s="1905"/>
      <c r="B119" s="1900"/>
      <c r="C119" s="1896"/>
      <c r="D119" s="1416" t="s">
        <v>587</v>
      </c>
      <c r="E119" s="947"/>
      <c r="F119" s="1153"/>
      <c r="G119" s="947"/>
      <c r="H119" s="947"/>
      <c r="I119" s="947"/>
      <c r="J119" s="947"/>
      <c r="K119" s="2012"/>
      <c r="L119" s="1960"/>
      <c r="M119" s="1890"/>
      <c r="N119" s="1941"/>
      <c r="O119" s="1892"/>
      <c r="P119" s="1892"/>
      <c r="Q119" s="1892"/>
      <c r="R119" s="2187"/>
      <c r="S119" s="2188"/>
    </row>
    <row r="120" spans="1:19" ht="45.6" customHeight="1">
      <c r="A120" s="1905"/>
      <c r="B120" s="1900"/>
      <c r="C120" s="1896"/>
      <c r="D120" s="1416" t="s">
        <v>668</v>
      </c>
      <c r="E120" s="947">
        <f t="shared" ref="E120:J120" si="71">SUM(E124,E106)</f>
        <v>0</v>
      </c>
      <c r="F120" s="1153"/>
      <c r="G120" s="947">
        <f t="shared" si="71"/>
        <v>0</v>
      </c>
      <c r="H120" s="947">
        <f t="shared" si="71"/>
        <v>0</v>
      </c>
      <c r="I120" s="947">
        <f t="shared" si="71"/>
        <v>363.93375000000003</v>
      </c>
      <c r="J120" s="947">
        <f t="shared" si="71"/>
        <v>363.93375000000003</v>
      </c>
      <c r="K120" s="2012"/>
      <c r="L120" s="1960"/>
      <c r="M120" s="1890"/>
      <c r="N120" s="1941"/>
      <c r="O120" s="1892"/>
      <c r="P120" s="1892"/>
      <c r="Q120" s="1892"/>
      <c r="R120" s="2187"/>
      <c r="S120" s="2188"/>
    </row>
    <row r="121" spans="1:19" ht="92.25" customHeight="1">
      <c r="A121" s="1905"/>
      <c r="B121" s="1900"/>
      <c r="C121" s="1896"/>
      <c r="D121" s="961" t="s">
        <v>1372</v>
      </c>
      <c r="E121" s="962">
        <f>SUM(E118:E120)</f>
        <v>0</v>
      </c>
      <c r="F121" s="1152"/>
      <c r="G121" s="962">
        <f t="shared" ref="G121:J121" si="72">SUM(G118:G120)</f>
        <v>0</v>
      </c>
      <c r="H121" s="962">
        <f t="shared" si="72"/>
        <v>0</v>
      </c>
      <c r="I121" s="962">
        <f t="shared" si="72"/>
        <v>2426.2250000000004</v>
      </c>
      <c r="J121" s="962">
        <f t="shared" si="72"/>
        <v>2426.2250000000004</v>
      </c>
      <c r="K121" s="1888"/>
      <c r="L121" s="1956"/>
      <c r="M121" s="1893"/>
      <c r="N121" s="1997"/>
      <c r="O121" s="1891"/>
      <c r="P121" s="1891"/>
      <c r="Q121" s="1891"/>
      <c r="R121" s="2189"/>
      <c r="S121" s="2190"/>
    </row>
    <row r="122" spans="1:19" s="453" customFormat="1" ht="21" hidden="1" customHeight="1">
      <c r="A122" s="2210" t="s">
        <v>3016</v>
      </c>
      <c r="B122" s="2211" t="s">
        <v>3015</v>
      </c>
      <c r="C122" s="2212">
        <v>188711925</v>
      </c>
      <c r="D122" s="1081" t="s">
        <v>341</v>
      </c>
      <c r="E122" s="1023">
        <v>0</v>
      </c>
      <c r="F122" s="1429" t="e">
        <f t="shared" si="56"/>
        <v>#DIV/0!</v>
      </c>
      <c r="G122" s="1023"/>
      <c r="H122" s="1023"/>
      <c r="I122" s="1023">
        <f>(4231.85*85%)*50%</f>
        <v>1798.5362500000001</v>
      </c>
      <c r="J122" s="1023">
        <f>(4231.85*85%)*50%</f>
        <v>1798.5362500000001</v>
      </c>
      <c r="K122" s="1024"/>
      <c r="L122" s="2258" t="s">
        <v>3073</v>
      </c>
      <c r="M122" s="2260" t="s">
        <v>2037</v>
      </c>
      <c r="N122" s="1451" t="s">
        <v>3077</v>
      </c>
      <c r="O122" s="1463"/>
      <c r="P122" s="1463"/>
      <c r="Q122" s="1464" t="s">
        <v>3076</v>
      </c>
      <c r="R122" s="1445" t="s">
        <v>3069</v>
      </c>
      <c r="S122" s="1446" t="s">
        <v>3070</v>
      </c>
    </row>
    <row r="123" spans="1:19" s="453" customFormat="1" ht="21" hidden="1" customHeight="1">
      <c r="A123" s="2210"/>
      <c r="B123" s="2211"/>
      <c r="C123" s="2212"/>
      <c r="D123" s="1081" t="s">
        <v>587</v>
      </c>
      <c r="E123" s="1023"/>
      <c r="F123" s="1429" t="e">
        <f t="shared" si="56"/>
        <v>#DIV/0!</v>
      </c>
      <c r="G123" s="1023"/>
      <c r="H123" s="450"/>
      <c r="I123" s="450"/>
      <c r="J123" s="450"/>
      <c r="K123" s="1024"/>
      <c r="L123" s="2259"/>
      <c r="M123" s="2260"/>
      <c r="N123" s="1452" t="s">
        <v>3074</v>
      </c>
      <c r="O123" s="1465"/>
      <c r="P123" s="1465" t="s">
        <v>612</v>
      </c>
      <c r="Q123" s="1466" t="s">
        <v>612</v>
      </c>
      <c r="R123" s="1453"/>
      <c r="S123" s="782"/>
    </row>
    <row r="124" spans="1:19" s="453" customFormat="1" ht="21" hidden="1" customHeight="1">
      <c r="A124" s="2210"/>
      <c r="B124" s="2211"/>
      <c r="C124" s="2212"/>
      <c r="D124" s="1081" t="s">
        <v>668</v>
      </c>
      <c r="E124" s="1023"/>
      <c r="F124" s="1429" t="e">
        <f t="shared" si="56"/>
        <v>#DIV/0!</v>
      </c>
      <c r="G124" s="1023"/>
      <c r="H124" s="1023"/>
      <c r="I124" s="1023">
        <f>(4231.85*15%)*50%</f>
        <v>317.38875000000002</v>
      </c>
      <c r="J124" s="1023">
        <f>(4231.85*15%)*50%</f>
        <v>317.38875000000002</v>
      </c>
      <c r="K124" s="1024"/>
      <c r="L124" s="2259"/>
      <c r="M124" s="2260"/>
      <c r="N124" s="1452" t="s">
        <v>3075</v>
      </c>
      <c r="O124" s="1465"/>
      <c r="P124" s="1465" t="s">
        <v>469</v>
      </c>
      <c r="Q124" s="1466" t="s">
        <v>469</v>
      </c>
      <c r="R124" s="1453"/>
      <c r="S124" s="782"/>
    </row>
    <row r="125" spans="1:19" s="453" customFormat="1" ht="21" hidden="1" customHeight="1">
      <c r="A125" s="2210"/>
      <c r="B125" s="2211"/>
      <c r="C125" s="2213"/>
      <c r="D125" s="1449" t="s">
        <v>1372</v>
      </c>
      <c r="E125" s="1448">
        <f>SUM(E122:E124)</f>
        <v>0</v>
      </c>
      <c r="F125" s="1429" t="e">
        <f t="shared" si="56"/>
        <v>#DIV/0!</v>
      </c>
      <c r="G125" s="1448">
        <f t="shared" ref="G125" si="73">SUM(G122:G124)</f>
        <v>0</v>
      </c>
      <c r="H125" s="1448">
        <f t="shared" ref="H125" si="74">SUM(H122:H124)</f>
        <v>0</v>
      </c>
      <c r="I125" s="1448">
        <f t="shared" ref="I125" si="75">SUM(I122:I124)</f>
        <v>2115.9250000000002</v>
      </c>
      <c r="J125" s="1448">
        <f t="shared" ref="J125" si="76">SUM(J122:J124)</f>
        <v>2115.9250000000002</v>
      </c>
      <c r="K125" s="1450"/>
      <c r="L125" s="2216"/>
      <c r="M125" s="2261"/>
      <c r="N125" s="1454"/>
      <c r="O125" s="1445"/>
      <c r="P125" s="1445"/>
      <c r="Q125" s="1467"/>
      <c r="R125" s="1455"/>
      <c r="S125" s="782"/>
    </row>
    <row r="126" spans="1:19" ht="61.2" customHeight="1">
      <c r="A126" s="1905" t="s">
        <v>2757</v>
      </c>
      <c r="B126" s="1900" t="s">
        <v>1634</v>
      </c>
      <c r="C126" s="1896">
        <v>188711925</v>
      </c>
      <c r="D126" s="956" t="s">
        <v>668</v>
      </c>
      <c r="E126" s="947">
        <v>0</v>
      </c>
      <c r="F126" s="1153"/>
      <c r="G126" s="947">
        <v>0</v>
      </c>
      <c r="H126" s="947">
        <v>0</v>
      </c>
      <c r="I126" s="958">
        <v>0</v>
      </c>
      <c r="J126" s="959">
        <v>0</v>
      </c>
      <c r="K126" s="1887" t="s">
        <v>3183</v>
      </c>
      <c r="L126" s="1902" t="s">
        <v>2064</v>
      </c>
      <c r="M126" s="1890" t="s">
        <v>2039</v>
      </c>
      <c r="N126" s="1941" t="s">
        <v>3078</v>
      </c>
      <c r="O126" s="1916"/>
      <c r="P126" s="1916" t="s">
        <v>612</v>
      </c>
      <c r="Q126" s="1916" t="s">
        <v>612</v>
      </c>
      <c r="R126" s="2191" t="s">
        <v>3184</v>
      </c>
      <c r="S126" s="2192"/>
    </row>
    <row r="127" spans="1:19" ht="40.5" customHeight="1">
      <c r="A127" s="1905"/>
      <c r="B127" s="1901"/>
      <c r="C127" s="1897"/>
      <c r="D127" s="966" t="s">
        <v>1372</v>
      </c>
      <c r="E127" s="949">
        <f>E126</f>
        <v>0</v>
      </c>
      <c r="F127" s="1152"/>
      <c r="G127" s="949"/>
      <c r="H127" s="949"/>
      <c r="I127" s="1418"/>
      <c r="J127" s="1414"/>
      <c r="K127" s="1888"/>
      <c r="L127" s="1956"/>
      <c r="M127" s="1893"/>
      <c r="N127" s="1937"/>
      <c r="O127" s="1892"/>
      <c r="P127" s="1892"/>
      <c r="Q127" s="1892"/>
      <c r="R127" s="2193"/>
      <c r="S127" s="2194"/>
    </row>
    <row r="128" spans="1:19" ht="21" customHeight="1">
      <c r="A128" s="1905" t="s">
        <v>2758</v>
      </c>
      <c r="B128" s="2156" t="s">
        <v>1635</v>
      </c>
      <c r="C128" s="2256">
        <v>188711925</v>
      </c>
      <c r="D128" s="956" t="s">
        <v>668</v>
      </c>
      <c r="E128" s="947">
        <v>0</v>
      </c>
      <c r="F128" s="1153"/>
      <c r="G128" s="947"/>
      <c r="H128" s="947"/>
      <c r="I128" s="958"/>
      <c r="J128" s="959"/>
      <c r="K128" s="1887"/>
      <c r="L128" s="1902" t="s">
        <v>3328</v>
      </c>
      <c r="M128" s="1890" t="s">
        <v>2040</v>
      </c>
      <c r="N128" s="1941"/>
      <c r="O128" s="1892"/>
      <c r="P128" s="1892"/>
      <c r="Q128" s="1892"/>
      <c r="R128" s="2191"/>
      <c r="S128" s="2192"/>
    </row>
    <row r="129" spans="1:20" ht="21" customHeight="1">
      <c r="A129" s="1905"/>
      <c r="B129" s="2156"/>
      <c r="C129" s="2256"/>
      <c r="D129" s="956" t="s">
        <v>1422</v>
      </c>
      <c r="E129" s="947">
        <v>18.489000000000001</v>
      </c>
      <c r="F129" s="1153"/>
      <c r="G129" s="947"/>
      <c r="H129" s="947"/>
      <c r="I129" s="1075"/>
      <c r="J129" s="959"/>
      <c r="K129" s="2012"/>
      <c r="L129" s="1960"/>
      <c r="M129" s="1890"/>
      <c r="N129" s="1941"/>
      <c r="O129" s="1892"/>
      <c r="P129" s="1892"/>
      <c r="Q129" s="1892"/>
      <c r="R129" s="2306"/>
      <c r="S129" s="2307"/>
    </row>
    <row r="130" spans="1:20" ht="21" customHeight="1">
      <c r="A130" s="1915"/>
      <c r="B130" s="2157"/>
      <c r="C130" s="2257"/>
      <c r="D130" s="966" t="s">
        <v>1372</v>
      </c>
      <c r="E130" s="949">
        <f>SUM(E128:E129)</f>
        <v>18.489000000000001</v>
      </c>
      <c r="F130" s="875"/>
      <c r="G130" s="949"/>
      <c r="H130" s="949"/>
      <c r="I130" s="949"/>
      <c r="J130" s="1414"/>
      <c r="K130" s="2012"/>
      <c r="L130" s="1959"/>
      <c r="M130" s="1889"/>
      <c r="N130" s="1997"/>
      <c r="O130" s="1891"/>
      <c r="P130" s="1891"/>
      <c r="Q130" s="1891"/>
      <c r="R130" s="2306"/>
      <c r="S130" s="2307"/>
    </row>
    <row r="131" spans="1:20" ht="39" customHeight="1">
      <c r="A131" s="1984" t="s">
        <v>2759</v>
      </c>
      <c r="B131" s="1907" t="s">
        <v>1636</v>
      </c>
      <c r="C131" s="1951">
        <v>188711925</v>
      </c>
      <c r="D131" s="1063" t="s">
        <v>668</v>
      </c>
      <c r="E131" s="947">
        <v>53</v>
      </c>
      <c r="F131" s="1153">
        <f>H131/E131-1</f>
        <v>2.2830188679245285</v>
      </c>
      <c r="G131" s="947">
        <f>SUM(G133,G134,G135,G136,G138,)</f>
        <v>0</v>
      </c>
      <c r="H131" s="947">
        <f>SUM(H133,H134,H135,H136,H138,H139,H140,H137)</f>
        <v>174</v>
      </c>
      <c r="I131" s="947">
        <v>180</v>
      </c>
      <c r="J131" s="947">
        <v>185</v>
      </c>
      <c r="K131" s="2182" t="s">
        <v>3192</v>
      </c>
      <c r="L131" s="1898" t="s">
        <v>2065</v>
      </c>
      <c r="M131" s="1893" t="s">
        <v>2041</v>
      </c>
      <c r="N131" s="1893" t="s">
        <v>2044</v>
      </c>
      <c r="O131" s="1938"/>
      <c r="P131" s="1938"/>
      <c r="Q131" s="1938"/>
      <c r="R131" s="1938" t="s">
        <v>3193</v>
      </c>
      <c r="S131" s="1938"/>
    </row>
    <row r="132" spans="1:20" ht="40.5" customHeight="1">
      <c r="A132" s="1984"/>
      <c r="B132" s="1907"/>
      <c r="C132" s="1951"/>
      <c r="D132" s="1011" t="s">
        <v>1372</v>
      </c>
      <c r="E132" s="962">
        <f>E131</f>
        <v>53</v>
      </c>
      <c r="F132" s="1152">
        <f>H132/E132-1</f>
        <v>2.2830188679245285</v>
      </c>
      <c r="G132" s="962">
        <f t="shared" ref="G132:J132" si="77">G131</f>
        <v>0</v>
      </c>
      <c r="H132" s="962">
        <f t="shared" si="77"/>
        <v>174</v>
      </c>
      <c r="I132" s="962">
        <f t="shared" si="77"/>
        <v>180</v>
      </c>
      <c r="J132" s="962">
        <f t="shared" si="77"/>
        <v>185</v>
      </c>
      <c r="K132" s="2182"/>
      <c r="L132" s="1899"/>
      <c r="M132" s="1893"/>
      <c r="N132" s="1893"/>
      <c r="O132" s="1938"/>
      <c r="P132" s="1938"/>
      <c r="Q132" s="1938"/>
      <c r="R132" s="1938"/>
      <c r="S132" s="1938"/>
    </row>
    <row r="133" spans="1:20" ht="19.2" hidden="1" customHeight="1">
      <c r="A133" s="989"/>
      <c r="B133" s="1435" t="s">
        <v>3533</v>
      </c>
      <c r="C133" s="1419"/>
      <c r="D133" s="992"/>
      <c r="E133" s="993"/>
      <c r="F133" s="1436"/>
      <c r="G133" s="994"/>
      <c r="H133" s="994">
        <v>65</v>
      </c>
      <c r="I133" s="993"/>
      <c r="J133" s="993"/>
      <c r="K133" s="993"/>
      <c r="L133" s="1333"/>
      <c r="M133" s="1396"/>
      <c r="N133" s="1396"/>
      <c r="O133" s="1405"/>
      <c r="P133" s="1405"/>
      <c r="Q133" s="1405"/>
      <c r="R133" s="2195"/>
      <c r="S133" s="2195"/>
    </row>
    <row r="134" spans="1:20" ht="19.5" hidden="1" customHeight="1">
      <c r="A134" s="989"/>
      <c r="B134" s="1435" t="s">
        <v>3534</v>
      </c>
      <c r="C134" s="1419"/>
      <c r="D134" s="992"/>
      <c r="E134" s="993"/>
      <c r="F134" s="1436"/>
      <c r="G134" s="994"/>
      <c r="H134" s="994">
        <v>30</v>
      </c>
      <c r="I134" s="993"/>
      <c r="J134" s="993"/>
      <c r="K134" s="993"/>
      <c r="L134" s="1333"/>
      <c r="M134" s="1396"/>
      <c r="N134" s="1396"/>
      <c r="O134" s="1405"/>
      <c r="P134" s="1405"/>
      <c r="Q134" s="1405"/>
      <c r="R134" s="2195"/>
      <c r="S134" s="2195"/>
    </row>
    <row r="135" spans="1:20" ht="18.75" hidden="1" customHeight="1">
      <c r="A135" s="989"/>
      <c r="B135" s="1435" t="s">
        <v>3535</v>
      </c>
      <c r="C135" s="1419"/>
      <c r="D135" s="992"/>
      <c r="E135" s="993"/>
      <c r="F135" s="1436"/>
      <c r="G135" s="994"/>
      <c r="H135" s="994">
        <v>20</v>
      </c>
      <c r="I135" s="993"/>
      <c r="J135" s="993"/>
      <c r="K135" s="993"/>
      <c r="L135" s="1333"/>
      <c r="M135" s="1396"/>
      <c r="N135" s="1396"/>
      <c r="O135" s="1405"/>
      <c r="P135" s="1405"/>
      <c r="Q135" s="1405"/>
      <c r="R135" s="2195"/>
      <c r="S135" s="2195"/>
    </row>
    <row r="136" spans="1:20" ht="23.25" hidden="1" customHeight="1">
      <c r="A136" s="989"/>
      <c r="B136" s="1435" t="s">
        <v>3536</v>
      </c>
      <c r="C136" s="1419"/>
      <c r="D136" s="992"/>
      <c r="E136" s="993"/>
      <c r="F136" s="1436"/>
      <c r="G136" s="994"/>
      <c r="H136" s="994">
        <v>6</v>
      </c>
      <c r="I136" s="993"/>
      <c r="J136" s="993"/>
      <c r="K136" s="993"/>
      <c r="L136" s="1420"/>
      <c r="M136" s="1396"/>
      <c r="N136" s="1396"/>
      <c r="O136" s="1405"/>
      <c r="P136" s="1405"/>
      <c r="Q136" s="1405"/>
      <c r="R136" s="2195"/>
      <c r="S136" s="2195"/>
    </row>
    <row r="137" spans="1:20" ht="18.75" hidden="1" customHeight="1">
      <c r="A137" s="989"/>
      <c r="B137" s="1435" t="s">
        <v>3540</v>
      </c>
      <c r="C137" s="1419"/>
      <c r="D137" s="992"/>
      <c r="E137" s="993"/>
      <c r="F137" s="1436"/>
      <c r="G137" s="994"/>
      <c r="H137" s="994">
        <v>5</v>
      </c>
      <c r="I137" s="993"/>
      <c r="J137" s="993"/>
      <c r="K137" s="993"/>
      <c r="L137" s="1420"/>
      <c r="M137" s="1396"/>
      <c r="N137" s="1396"/>
      <c r="O137" s="1405"/>
      <c r="P137" s="1405"/>
      <c r="Q137" s="1405"/>
      <c r="R137" s="2195"/>
      <c r="S137" s="2195"/>
    </row>
    <row r="138" spans="1:20" ht="15.75" hidden="1" customHeight="1">
      <c r="A138" s="989"/>
      <c r="B138" s="1435" t="s">
        <v>3537</v>
      </c>
      <c r="C138" s="1419"/>
      <c r="D138" s="992"/>
      <c r="E138" s="993"/>
      <c r="F138" s="1436"/>
      <c r="G138" s="994"/>
      <c r="H138" s="994">
        <v>15</v>
      </c>
      <c r="I138" s="993"/>
      <c r="J138" s="993"/>
      <c r="K138" s="993"/>
      <c r="L138" s="1420"/>
      <c r="M138" s="1396"/>
      <c r="N138" s="1396"/>
      <c r="O138" s="1405"/>
      <c r="P138" s="1405"/>
      <c r="Q138" s="1405"/>
      <c r="R138" s="2195"/>
      <c r="S138" s="2195"/>
    </row>
    <row r="139" spans="1:20" ht="21.75" hidden="1" customHeight="1">
      <c r="A139" s="989"/>
      <c r="B139" s="1435" t="s">
        <v>3538</v>
      </c>
      <c r="C139" s="1419"/>
      <c r="D139" s="992"/>
      <c r="E139" s="993"/>
      <c r="F139" s="1436"/>
      <c r="G139" s="994"/>
      <c r="H139" s="994">
        <v>3</v>
      </c>
      <c r="I139" s="993"/>
      <c r="J139" s="993"/>
      <c r="K139" s="993"/>
      <c r="L139" s="1420"/>
      <c r="M139" s="1396"/>
      <c r="N139" s="1396"/>
      <c r="O139" s="1405"/>
      <c r="P139" s="1405"/>
      <c r="Q139" s="1405"/>
      <c r="R139" s="2195"/>
      <c r="S139" s="2195"/>
    </row>
    <row r="140" spans="1:20" ht="18" hidden="1" customHeight="1">
      <c r="A140" s="1421"/>
      <c r="B140" s="990" t="s">
        <v>3539</v>
      </c>
      <c r="C140" s="1422"/>
      <c r="D140" s="1422"/>
      <c r="E140" s="1422"/>
      <c r="F140" s="1422"/>
      <c r="G140" s="994"/>
      <c r="H140" s="994">
        <v>30</v>
      </c>
      <c r="I140" s="993"/>
      <c r="J140" s="1423"/>
      <c r="K140" s="1423"/>
      <c r="L140" s="1424"/>
      <c r="M140" s="1456"/>
      <c r="N140" s="1456"/>
      <c r="O140" s="1468"/>
      <c r="P140" s="1405"/>
      <c r="Q140" s="1405"/>
      <c r="R140" s="2195"/>
      <c r="S140" s="2195"/>
    </row>
    <row r="141" spans="1:20" ht="81" customHeight="1">
      <c r="A141" s="1984" t="s">
        <v>2760</v>
      </c>
      <c r="B141" s="1907" t="s">
        <v>1637</v>
      </c>
      <c r="C141" s="1951">
        <v>188711925</v>
      </c>
      <c r="D141" s="1063" t="s">
        <v>668</v>
      </c>
      <c r="E141" s="947">
        <v>0</v>
      </c>
      <c r="F141" s="1153"/>
      <c r="G141" s="947">
        <v>0</v>
      </c>
      <c r="H141" s="947"/>
      <c r="I141" s="947"/>
      <c r="J141" s="947"/>
      <c r="K141" s="2182" t="s">
        <v>3185</v>
      </c>
      <c r="L141" s="1898" t="s">
        <v>2066</v>
      </c>
      <c r="M141" s="1893" t="s">
        <v>2042</v>
      </c>
      <c r="N141" s="1893" t="s">
        <v>2045</v>
      </c>
      <c r="O141" s="1938" t="s">
        <v>612</v>
      </c>
      <c r="P141" s="1938" t="s">
        <v>612</v>
      </c>
      <c r="Q141" s="1938" t="s">
        <v>612</v>
      </c>
      <c r="R141" s="1740" t="s">
        <v>3079</v>
      </c>
      <c r="S141" s="1740"/>
    </row>
    <row r="142" spans="1:20" ht="95.25" customHeight="1">
      <c r="A142" s="1984"/>
      <c r="B142" s="1907"/>
      <c r="C142" s="1951"/>
      <c r="D142" s="1011" t="s">
        <v>1372</v>
      </c>
      <c r="E142" s="962">
        <f>E141</f>
        <v>0</v>
      </c>
      <c r="F142" s="1152"/>
      <c r="G142" s="962">
        <f t="shared" ref="G142:J142" si="78">G141</f>
        <v>0</v>
      </c>
      <c r="H142" s="962">
        <f t="shared" si="78"/>
        <v>0</v>
      </c>
      <c r="I142" s="962">
        <f t="shared" si="78"/>
        <v>0</v>
      </c>
      <c r="J142" s="962">
        <f t="shared" si="78"/>
        <v>0</v>
      </c>
      <c r="K142" s="2182"/>
      <c r="L142" s="1899"/>
      <c r="M142" s="1893"/>
      <c r="N142" s="1893"/>
      <c r="O142" s="1938"/>
      <c r="P142" s="1938"/>
      <c r="Q142" s="1938"/>
      <c r="R142" s="1740"/>
      <c r="S142" s="1740"/>
    </row>
    <row r="143" spans="1:20" s="454" customFormat="1" ht="44.4" customHeight="1">
      <c r="A143" s="1914" t="s">
        <v>3022</v>
      </c>
      <c r="B143" s="1912" t="s">
        <v>3698</v>
      </c>
      <c r="C143" s="1906" t="s">
        <v>1525</v>
      </c>
      <c r="D143" s="1425" t="s">
        <v>341</v>
      </c>
      <c r="E143" s="1426"/>
      <c r="F143" s="1457"/>
      <c r="G143" s="1426"/>
      <c r="H143" s="745">
        <v>2.375</v>
      </c>
      <c r="I143" s="745">
        <v>156.62569999999999</v>
      </c>
      <c r="J143" s="745">
        <v>25.155840000000001</v>
      </c>
      <c r="K143" s="2012" t="s">
        <v>3182</v>
      </c>
      <c r="L143" s="1960" t="s">
        <v>3023</v>
      </c>
      <c r="M143" s="1890" t="s">
        <v>2029</v>
      </c>
      <c r="N143" s="1941" t="s">
        <v>3053</v>
      </c>
      <c r="O143" s="1916" t="s">
        <v>613</v>
      </c>
      <c r="P143" s="1916" t="s">
        <v>3054</v>
      </c>
      <c r="Q143" s="1916" t="s">
        <v>613</v>
      </c>
      <c r="R143" s="2187" t="s">
        <v>3070</v>
      </c>
      <c r="S143" s="2188"/>
    </row>
    <row r="144" spans="1:20" s="454" customFormat="1" ht="52.8" customHeight="1">
      <c r="A144" s="1905"/>
      <c r="B144" s="1901"/>
      <c r="C144" s="1897"/>
      <c r="D144" s="1417" t="s">
        <v>587</v>
      </c>
      <c r="E144" s="1109"/>
      <c r="F144" s="1153"/>
      <c r="G144" s="1109"/>
      <c r="H144" s="749"/>
      <c r="I144" s="749">
        <v>156.626</v>
      </c>
      <c r="J144" s="976">
        <v>0</v>
      </c>
      <c r="K144" s="2012"/>
      <c r="L144" s="1960"/>
      <c r="M144" s="1890"/>
      <c r="N144" s="2206"/>
      <c r="O144" s="1916"/>
      <c r="P144" s="1916"/>
      <c r="Q144" s="1916"/>
      <c r="R144" s="2187"/>
      <c r="S144" s="2188"/>
      <c r="T144" s="560" t="s">
        <v>3646</v>
      </c>
    </row>
    <row r="145" spans="1:19" s="454" customFormat="1" ht="43.8" customHeight="1">
      <c r="A145" s="1905"/>
      <c r="B145" s="1901"/>
      <c r="C145" s="1897"/>
      <c r="D145" s="1417" t="s">
        <v>668</v>
      </c>
      <c r="E145" s="1118"/>
      <c r="F145" s="1153"/>
      <c r="G145" s="1118"/>
      <c r="H145" s="947">
        <v>284.88600000000002</v>
      </c>
      <c r="I145" s="947">
        <v>-125.18089000000001</v>
      </c>
      <c r="J145" s="947">
        <f>-25.15584-22.72769</f>
        <v>-47.88353</v>
      </c>
      <c r="K145" s="2012"/>
      <c r="L145" s="1960"/>
      <c r="M145" s="1890"/>
      <c r="N145" s="2206"/>
      <c r="O145" s="1916"/>
      <c r="P145" s="1916"/>
      <c r="Q145" s="1916"/>
      <c r="R145" s="2187"/>
      <c r="S145" s="2188"/>
    </row>
    <row r="146" spans="1:19" s="454" customFormat="1" ht="44.25" customHeight="1">
      <c r="A146" s="1905"/>
      <c r="B146" s="1901"/>
      <c r="C146" s="1897"/>
      <c r="D146" s="966" t="s">
        <v>1372</v>
      </c>
      <c r="E146" s="1125"/>
      <c r="F146" s="1152"/>
      <c r="G146" s="1125">
        <f t="shared" ref="G146:J146" si="79">SUM(G143:G145)</f>
        <v>0</v>
      </c>
      <c r="H146" s="1125">
        <f t="shared" si="79"/>
        <v>287.26100000000002</v>
      </c>
      <c r="I146" s="1125">
        <f t="shared" si="79"/>
        <v>188.07081000000002</v>
      </c>
      <c r="J146" s="1125">
        <f t="shared" si="79"/>
        <v>-22.727689999999999</v>
      </c>
      <c r="K146" s="1888"/>
      <c r="L146" s="1956"/>
      <c r="M146" s="1893"/>
      <c r="N146" s="2207"/>
      <c r="O146" s="1892"/>
      <c r="P146" s="1892"/>
      <c r="Q146" s="1892"/>
      <c r="R146" s="2189"/>
      <c r="S146" s="2190"/>
    </row>
    <row r="147" spans="1:19" ht="47.25" customHeight="1">
      <c r="A147" s="740" t="s">
        <v>2770</v>
      </c>
      <c r="B147" s="664" t="s">
        <v>3188</v>
      </c>
      <c r="C147" s="740"/>
      <c r="D147" s="740"/>
      <c r="E147" s="741">
        <f>SUM(E149,E159,E161,E163)</f>
        <v>426.39</v>
      </c>
      <c r="F147" s="1074">
        <f>H147/E147-1</f>
        <v>0.13187457491967458</v>
      </c>
      <c r="G147" s="741">
        <f t="shared" ref="G147:J147" si="80">SUM(G149,G159,G161,G163)</f>
        <v>527.02</v>
      </c>
      <c r="H147" s="741">
        <f t="shared" si="80"/>
        <v>482.62</v>
      </c>
      <c r="I147" s="741">
        <f t="shared" si="80"/>
        <v>351</v>
      </c>
      <c r="J147" s="741">
        <f t="shared" si="80"/>
        <v>352</v>
      </c>
      <c r="K147" s="740"/>
      <c r="L147" s="740"/>
      <c r="M147" s="740" t="s">
        <v>2046</v>
      </c>
      <c r="N147" s="664" t="s">
        <v>3180</v>
      </c>
      <c r="O147" s="871">
        <v>72</v>
      </c>
      <c r="P147" s="871">
        <v>72</v>
      </c>
      <c r="Q147" s="871">
        <v>72</v>
      </c>
      <c r="R147" s="2298" t="s">
        <v>3180</v>
      </c>
      <c r="S147" s="2299"/>
    </row>
    <row r="148" spans="1:19" ht="78.599999999999994" customHeight="1">
      <c r="A148" s="1914" t="s">
        <v>2761</v>
      </c>
      <c r="B148" s="1890" t="s">
        <v>1638</v>
      </c>
      <c r="C148" s="1980">
        <v>188711925</v>
      </c>
      <c r="D148" s="943" t="s">
        <v>668</v>
      </c>
      <c r="E148" s="745">
        <f>SUM(E150,E152,E154)</f>
        <v>42.12</v>
      </c>
      <c r="F148" s="1153">
        <f>H148/E148-1</f>
        <v>0</v>
      </c>
      <c r="G148" s="745">
        <v>36</v>
      </c>
      <c r="H148" s="745">
        <f>33+9.12</f>
        <v>42.12</v>
      </c>
      <c r="I148" s="745">
        <f t="shared" ref="I148:J148" si="81">SUM(I150,I152,I154)</f>
        <v>0</v>
      </c>
      <c r="J148" s="745">
        <f t="shared" si="81"/>
        <v>0</v>
      </c>
      <c r="K148" s="1654" t="s">
        <v>3186</v>
      </c>
      <c r="L148" s="1943" t="s">
        <v>2067</v>
      </c>
      <c r="M148" s="1890" t="s">
        <v>2047</v>
      </c>
      <c r="N148" s="1941" t="s">
        <v>3080</v>
      </c>
      <c r="O148" s="2142" t="s">
        <v>3096</v>
      </c>
      <c r="P148" s="2142" t="s">
        <v>3097</v>
      </c>
      <c r="Q148" s="2142" t="s">
        <v>3098</v>
      </c>
      <c r="R148" s="2285" t="s">
        <v>3080</v>
      </c>
      <c r="S148" s="2286"/>
    </row>
    <row r="149" spans="1:19" ht="89.25" customHeight="1">
      <c r="A149" s="1905"/>
      <c r="B149" s="1893"/>
      <c r="C149" s="1981"/>
      <c r="D149" s="1011" t="s">
        <v>1372</v>
      </c>
      <c r="E149" s="962">
        <f>SUM(E148:E148)</f>
        <v>42.12</v>
      </c>
      <c r="F149" s="1152">
        <f>H149/E149-1</f>
        <v>0</v>
      </c>
      <c r="G149" s="962">
        <f t="shared" ref="G149:J149" si="82">SUM(G148:G148)</f>
        <v>36</v>
      </c>
      <c r="H149" s="962">
        <f t="shared" si="82"/>
        <v>42.12</v>
      </c>
      <c r="I149" s="962">
        <f t="shared" si="82"/>
        <v>0</v>
      </c>
      <c r="J149" s="962">
        <f t="shared" si="82"/>
        <v>0</v>
      </c>
      <c r="K149" s="1655"/>
      <c r="L149" s="1944"/>
      <c r="M149" s="1893"/>
      <c r="N149" s="1937"/>
      <c r="O149" s="2170"/>
      <c r="P149" s="2170"/>
      <c r="Q149" s="2170"/>
      <c r="R149" s="2287"/>
      <c r="S149" s="2288"/>
    </row>
    <row r="150" spans="1:19" s="453" customFormat="1" ht="21" hidden="1" customHeight="1">
      <c r="A150" s="2222" t="s">
        <v>3019</v>
      </c>
      <c r="B150" s="1975" t="s">
        <v>3021</v>
      </c>
      <c r="C150" s="1977">
        <v>188711925</v>
      </c>
      <c r="D150" s="1015" t="s">
        <v>668</v>
      </c>
      <c r="E150" s="1458">
        <v>33</v>
      </c>
      <c r="F150" s="1429">
        <f t="shared" si="56"/>
        <v>0</v>
      </c>
      <c r="G150" s="1458">
        <v>0</v>
      </c>
      <c r="H150" s="1458">
        <v>33</v>
      </c>
      <c r="I150" s="1458">
        <v>0</v>
      </c>
      <c r="J150" s="1458">
        <v>0</v>
      </c>
      <c r="K150" s="774"/>
      <c r="L150" s="2254"/>
      <c r="M150" s="1973"/>
      <c r="N150" s="1975"/>
      <c r="O150" s="1947"/>
      <c r="P150" s="1947"/>
      <c r="Q150" s="1947"/>
      <c r="R150" s="1071"/>
      <c r="S150" s="2074"/>
    </row>
    <row r="151" spans="1:19" s="453" customFormat="1" ht="42" hidden="1" customHeight="1">
      <c r="A151" s="2210"/>
      <c r="B151" s="1976"/>
      <c r="C151" s="1978"/>
      <c r="D151" s="1022" t="s">
        <v>1372</v>
      </c>
      <c r="E151" s="1024">
        <f>SUM(E150:E150)</f>
        <v>33</v>
      </c>
      <c r="F151" s="1429">
        <f t="shared" ref="F151:F161" si="83">(H151-E151)/E151</f>
        <v>0</v>
      </c>
      <c r="G151" s="1024">
        <f t="shared" ref="G151:J151" si="84">SUM(G150:G150)</f>
        <v>0</v>
      </c>
      <c r="H151" s="1459">
        <f t="shared" si="84"/>
        <v>33</v>
      </c>
      <c r="I151" s="1024">
        <f t="shared" si="84"/>
        <v>0</v>
      </c>
      <c r="J151" s="1024">
        <f t="shared" si="84"/>
        <v>0</v>
      </c>
      <c r="K151" s="1024"/>
      <c r="L151" s="2255"/>
      <c r="M151" s="1974"/>
      <c r="N151" s="1976"/>
      <c r="O151" s="1948"/>
      <c r="P151" s="1948"/>
      <c r="Q151" s="1948"/>
      <c r="R151" s="1017"/>
      <c r="S151" s="2075"/>
    </row>
    <row r="152" spans="1:19" s="453" customFormat="1" ht="21" hidden="1" customHeight="1">
      <c r="A152" s="2222" t="s">
        <v>3020</v>
      </c>
      <c r="B152" s="1975" t="s">
        <v>1998</v>
      </c>
      <c r="C152" s="1977">
        <v>188711925</v>
      </c>
      <c r="D152" s="1015" t="s">
        <v>668</v>
      </c>
      <c r="E152" s="1458">
        <v>9.1199999999999992</v>
      </c>
      <c r="F152" s="1429">
        <f t="shared" si="83"/>
        <v>0</v>
      </c>
      <c r="G152" s="1458">
        <v>0</v>
      </c>
      <c r="H152" s="1458">
        <v>9.1199999999999992</v>
      </c>
      <c r="I152" s="1458">
        <v>0</v>
      </c>
      <c r="J152" s="1458">
        <v>0</v>
      </c>
      <c r="K152" s="774"/>
      <c r="L152" s="2254"/>
      <c r="M152" s="1973"/>
      <c r="N152" s="1975"/>
      <c r="O152" s="1947"/>
      <c r="P152" s="1947"/>
      <c r="Q152" s="1947"/>
      <c r="R152" s="1071"/>
      <c r="S152" s="2074"/>
    </row>
    <row r="153" spans="1:19" s="453" customFormat="1" ht="21" hidden="1" customHeight="1">
      <c r="A153" s="2210"/>
      <c r="B153" s="1976"/>
      <c r="C153" s="1978"/>
      <c r="D153" s="1022" t="s">
        <v>1372</v>
      </c>
      <c r="E153" s="1024">
        <f>SUM(E152:E152)</f>
        <v>9.1199999999999992</v>
      </c>
      <c r="F153" s="1429">
        <f t="shared" si="83"/>
        <v>0</v>
      </c>
      <c r="G153" s="1024">
        <f t="shared" ref="G153:J153" si="85">SUM(G152:G152)</f>
        <v>0</v>
      </c>
      <c r="H153" s="1459">
        <f t="shared" si="85"/>
        <v>9.1199999999999992</v>
      </c>
      <c r="I153" s="1024">
        <f t="shared" si="85"/>
        <v>0</v>
      </c>
      <c r="J153" s="1024">
        <f t="shared" si="85"/>
        <v>0</v>
      </c>
      <c r="K153" s="1024"/>
      <c r="L153" s="2255"/>
      <c r="M153" s="1974"/>
      <c r="N153" s="1976"/>
      <c r="O153" s="1948"/>
      <c r="P153" s="1948"/>
      <c r="Q153" s="1948"/>
      <c r="R153" s="1017"/>
      <c r="S153" s="2075"/>
    </row>
    <row r="154" spans="1:19" s="453" customFormat="1" ht="21" hidden="1" customHeight="1">
      <c r="A154" s="2222" t="s">
        <v>3025</v>
      </c>
      <c r="B154" s="1975" t="s">
        <v>1616</v>
      </c>
      <c r="C154" s="1977">
        <v>188711925</v>
      </c>
      <c r="D154" s="1015" t="s">
        <v>668</v>
      </c>
      <c r="E154" s="1458">
        <v>0</v>
      </c>
      <c r="F154" s="1429"/>
      <c r="G154" s="1458">
        <v>0</v>
      </c>
      <c r="H154" s="1458">
        <v>0</v>
      </c>
      <c r="I154" s="1458">
        <v>0</v>
      </c>
      <c r="J154" s="1458">
        <v>0</v>
      </c>
      <c r="K154" s="774"/>
      <c r="L154" s="2254" t="s">
        <v>2055</v>
      </c>
      <c r="M154" s="1973" t="s">
        <v>1392</v>
      </c>
      <c r="N154" s="1975"/>
      <c r="O154" s="1947"/>
      <c r="P154" s="1947"/>
      <c r="Q154" s="1947"/>
      <c r="R154" s="1071"/>
      <c r="S154" s="2074"/>
    </row>
    <row r="155" spans="1:19" s="453" customFormat="1" ht="21" hidden="1" customHeight="1">
      <c r="A155" s="2210"/>
      <c r="B155" s="1976"/>
      <c r="C155" s="1978"/>
      <c r="D155" s="1022" t="s">
        <v>1372</v>
      </c>
      <c r="E155" s="1024">
        <f>SUM(E154:E154)</f>
        <v>0</v>
      </c>
      <c r="F155" s="1429"/>
      <c r="G155" s="1024">
        <f t="shared" ref="G155:J155" si="86">SUM(G154:G154)</f>
        <v>0</v>
      </c>
      <c r="H155" s="1024">
        <f t="shared" si="86"/>
        <v>0</v>
      </c>
      <c r="I155" s="1024">
        <f t="shared" si="86"/>
        <v>0</v>
      </c>
      <c r="J155" s="1024">
        <f t="shared" si="86"/>
        <v>0</v>
      </c>
      <c r="K155" s="1024"/>
      <c r="L155" s="2255"/>
      <c r="M155" s="1974"/>
      <c r="N155" s="1976"/>
      <c r="O155" s="1948"/>
      <c r="P155" s="1948"/>
      <c r="Q155" s="1948"/>
      <c r="R155" s="1017"/>
      <c r="S155" s="2075"/>
    </row>
    <row r="156" spans="1:19" ht="40.799999999999997" customHeight="1">
      <c r="A156" s="1914" t="s">
        <v>2762</v>
      </c>
      <c r="B156" s="1890" t="s">
        <v>1639</v>
      </c>
      <c r="C156" s="1980" t="s">
        <v>3700</v>
      </c>
      <c r="D156" s="943" t="s">
        <v>668</v>
      </c>
      <c r="E156" s="745">
        <v>256.83</v>
      </c>
      <c r="F156" s="1153">
        <f>H156/E156-1</f>
        <v>-0.16754273254682073</v>
      </c>
      <c r="G156" s="745">
        <v>288.45</v>
      </c>
      <c r="H156" s="745">
        <v>213.8</v>
      </c>
      <c r="I156" s="745">
        <v>214</v>
      </c>
      <c r="J156" s="745">
        <v>215</v>
      </c>
      <c r="K156" s="1654" t="s">
        <v>1354</v>
      </c>
      <c r="L156" s="1943" t="s">
        <v>2068</v>
      </c>
      <c r="M156" s="1890" t="s">
        <v>2048</v>
      </c>
      <c r="N156" s="1941" t="s">
        <v>3191</v>
      </c>
      <c r="O156" s="1892" t="s">
        <v>469</v>
      </c>
      <c r="P156" s="1892" t="s">
        <v>613</v>
      </c>
      <c r="Q156" s="1892" t="s">
        <v>613</v>
      </c>
      <c r="R156" s="2292" t="s">
        <v>1129</v>
      </c>
      <c r="S156" s="2293"/>
    </row>
    <row r="157" spans="1:19" ht="21" customHeight="1">
      <c r="A157" s="1914"/>
      <c r="B157" s="1890"/>
      <c r="C157" s="1980"/>
      <c r="D157" s="943" t="s">
        <v>1754</v>
      </c>
      <c r="E157" s="745">
        <v>104.61</v>
      </c>
      <c r="F157" s="1153">
        <f>H157/E157-1</f>
        <v>0.30675843609597542</v>
      </c>
      <c r="G157" s="745">
        <v>112.57</v>
      </c>
      <c r="H157" s="745">
        <v>136.69999999999999</v>
      </c>
      <c r="I157" s="745">
        <v>137</v>
      </c>
      <c r="J157" s="745">
        <v>137</v>
      </c>
      <c r="K157" s="1886"/>
      <c r="L157" s="1943"/>
      <c r="M157" s="1890"/>
      <c r="N157" s="1941"/>
      <c r="O157" s="1892"/>
      <c r="P157" s="1892"/>
      <c r="Q157" s="1892"/>
      <c r="R157" s="2294"/>
      <c r="S157" s="2295"/>
    </row>
    <row r="158" spans="1:19" ht="21" customHeight="1">
      <c r="A158" s="1914"/>
      <c r="B158" s="1890"/>
      <c r="C158" s="1980"/>
      <c r="D158" s="943" t="s">
        <v>1422</v>
      </c>
      <c r="E158" s="745"/>
      <c r="F158" s="1153"/>
      <c r="G158" s="745"/>
      <c r="H158" s="745"/>
      <c r="I158" s="745"/>
      <c r="J158" s="745"/>
      <c r="K158" s="1886"/>
      <c r="L158" s="1943"/>
      <c r="M158" s="1890"/>
      <c r="N158" s="1941"/>
      <c r="O158" s="1892"/>
      <c r="P158" s="1892"/>
      <c r="Q158" s="1892"/>
      <c r="R158" s="2294"/>
      <c r="S158" s="2295"/>
    </row>
    <row r="159" spans="1:19" ht="21" customHeight="1">
      <c r="A159" s="1905"/>
      <c r="B159" s="1893"/>
      <c r="C159" s="1981"/>
      <c r="D159" s="1011" t="s">
        <v>1372</v>
      </c>
      <c r="E159" s="962">
        <f>SUM(E156:E158)</f>
        <v>361.44</v>
      </c>
      <c r="F159" s="1152">
        <f>H159/E159-1</f>
        <v>-3.0267817618415238E-2</v>
      </c>
      <c r="G159" s="962">
        <f t="shared" ref="G159:J159" si="87">SUM(G156:G158)</f>
        <v>401.02</v>
      </c>
      <c r="H159" s="962">
        <f t="shared" si="87"/>
        <v>350.5</v>
      </c>
      <c r="I159" s="962">
        <f t="shared" si="87"/>
        <v>351</v>
      </c>
      <c r="J159" s="962">
        <f t="shared" si="87"/>
        <v>352</v>
      </c>
      <c r="K159" s="1886"/>
      <c r="L159" s="1944"/>
      <c r="M159" s="1893"/>
      <c r="N159" s="1937"/>
      <c r="O159" s="1938"/>
      <c r="P159" s="1938"/>
      <c r="Q159" s="1938"/>
      <c r="R159" s="2294"/>
      <c r="S159" s="2295"/>
    </row>
    <row r="160" spans="1:19" s="453" customFormat="1" ht="21" customHeight="1">
      <c r="A160" s="1905" t="s">
        <v>2763</v>
      </c>
      <c r="B160" s="1900" t="s">
        <v>1640</v>
      </c>
      <c r="C160" s="1896">
        <v>188711925</v>
      </c>
      <c r="D160" s="956" t="s">
        <v>668</v>
      </c>
      <c r="E160" s="947">
        <v>3.53</v>
      </c>
      <c r="F160" s="1153">
        <f>H160/E160-1</f>
        <v>-1</v>
      </c>
      <c r="G160" s="947"/>
      <c r="H160" s="947"/>
      <c r="I160" s="958"/>
      <c r="J160" s="959"/>
      <c r="K160" s="1886"/>
      <c r="L160" s="1902" t="s">
        <v>3328</v>
      </c>
      <c r="M160" s="1890" t="s">
        <v>2049</v>
      </c>
      <c r="N160" s="1941" t="s">
        <v>80</v>
      </c>
      <c r="O160" s="1892" t="s">
        <v>1839</v>
      </c>
      <c r="P160" s="1892" t="s">
        <v>613</v>
      </c>
      <c r="Q160" s="1892" t="s">
        <v>613</v>
      </c>
      <c r="R160" s="2294"/>
      <c r="S160" s="2295"/>
    </row>
    <row r="161" spans="1:19" s="453" customFormat="1" ht="28.5" customHeight="1">
      <c r="A161" s="1905"/>
      <c r="B161" s="1900"/>
      <c r="C161" s="1896"/>
      <c r="D161" s="961" t="s">
        <v>1372</v>
      </c>
      <c r="E161" s="962">
        <f>E160</f>
        <v>3.53</v>
      </c>
      <c r="F161" s="1316">
        <f t="shared" si="83"/>
        <v>-1</v>
      </c>
      <c r="G161" s="962">
        <f t="shared" ref="G161:J161" si="88">G160</f>
        <v>0</v>
      </c>
      <c r="H161" s="962">
        <f t="shared" si="88"/>
        <v>0</v>
      </c>
      <c r="I161" s="962">
        <f t="shared" si="88"/>
        <v>0</v>
      </c>
      <c r="J161" s="964">
        <f t="shared" si="88"/>
        <v>0</v>
      </c>
      <c r="K161" s="1886"/>
      <c r="L161" s="1956"/>
      <c r="M161" s="1893"/>
      <c r="N161" s="1937"/>
      <c r="O161" s="1938"/>
      <c r="P161" s="1938"/>
      <c r="Q161" s="1938"/>
      <c r="R161" s="2294"/>
      <c r="S161" s="2295"/>
    </row>
    <row r="162" spans="1:19" ht="21" customHeight="1">
      <c r="A162" s="1905" t="s">
        <v>2764</v>
      </c>
      <c r="B162" s="1900" t="s">
        <v>1641</v>
      </c>
      <c r="C162" s="1896">
        <v>188711925</v>
      </c>
      <c r="D162" s="956" t="s">
        <v>668</v>
      </c>
      <c r="E162" s="947">
        <v>19.3</v>
      </c>
      <c r="F162" s="1153">
        <f>H162/E162-1</f>
        <v>3.6632124352331603</v>
      </c>
      <c r="G162" s="947">
        <f>SUM(G164,G165)</f>
        <v>90</v>
      </c>
      <c r="H162" s="947">
        <f t="shared" ref="H162:J162" si="89">SUM(H164,H165)</f>
        <v>90</v>
      </c>
      <c r="I162" s="947">
        <f t="shared" si="89"/>
        <v>0</v>
      </c>
      <c r="J162" s="947">
        <f t="shared" si="89"/>
        <v>0</v>
      </c>
      <c r="K162" s="1886"/>
      <c r="L162" s="1902" t="s">
        <v>2069</v>
      </c>
      <c r="M162" s="1890" t="s">
        <v>2050</v>
      </c>
      <c r="N162" s="1941" t="s">
        <v>2051</v>
      </c>
      <c r="O162" s="1891" t="s">
        <v>612</v>
      </c>
      <c r="P162" s="1891" t="s">
        <v>612</v>
      </c>
      <c r="Q162" s="1891" t="s">
        <v>612</v>
      </c>
      <c r="R162" s="2294"/>
      <c r="S162" s="2295"/>
    </row>
    <row r="163" spans="1:19" ht="31.5" customHeight="1">
      <c r="A163" s="1915"/>
      <c r="B163" s="1901"/>
      <c r="C163" s="1897"/>
      <c r="D163" s="966" t="s">
        <v>1372</v>
      </c>
      <c r="E163" s="949">
        <f>E162</f>
        <v>19.3</v>
      </c>
      <c r="F163" s="1152">
        <f>H163/E163-1</f>
        <v>3.6632124352331603</v>
      </c>
      <c r="G163" s="949">
        <f>G162</f>
        <v>90</v>
      </c>
      <c r="H163" s="949">
        <f t="shared" ref="H163:J163" si="90">H162</f>
        <v>90</v>
      </c>
      <c r="I163" s="949">
        <f t="shared" si="90"/>
        <v>0</v>
      </c>
      <c r="J163" s="949">
        <f t="shared" si="90"/>
        <v>0</v>
      </c>
      <c r="K163" s="1655"/>
      <c r="L163" s="1959"/>
      <c r="M163" s="1889"/>
      <c r="N163" s="1997"/>
      <c r="O163" s="1916"/>
      <c r="P163" s="1916"/>
      <c r="Q163" s="1916"/>
      <c r="R163" s="2296"/>
      <c r="S163" s="2297"/>
    </row>
    <row r="164" spans="1:19" ht="33" hidden="1" customHeight="1">
      <c r="A164" s="989"/>
      <c r="B164" s="1435" t="s">
        <v>3189</v>
      </c>
      <c r="C164" s="1419"/>
      <c r="D164" s="992"/>
      <c r="E164" s="993"/>
      <c r="F164" s="1436"/>
      <c r="G164" s="994">
        <v>50</v>
      </c>
      <c r="H164" s="994">
        <v>50</v>
      </c>
      <c r="I164" s="993"/>
      <c r="J164" s="993"/>
      <c r="K164" s="993"/>
      <c r="L164" s="1333"/>
      <c r="M164" s="1396"/>
      <c r="N164" s="990"/>
      <c r="O164" s="1405"/>
      <c r="P164" s="1405"/>
      <c r="Q164" s="1405"/>
      <c r="R164" s="1405"/>
      <c r="S164" s="1405"/>
    </row>
    <row r="165" spans="1:19" ht="38.25" hidden="1" customHeight="1">
      <c r="A165" s="989"/>
      <c r="B165" s="1435" t="s">
        <v>3190</v>
      </c>
      <c r="C165" s="1419"/>
      <c r="D165" s="992"/>
      <c r="E165" s="993"/>
      <c r="F165" s="1436"/>
      <c r="G165" s="994">
        <v>40</v>
      </c>
      <c r="H165" s="994">
        <v>40</v>
      </c>
      <c r="I165" s="993"/>
      <c r="J165" s="993"/>
      <c r="K165" s="993"/>
      <c r="L165" s="1333"/>
      <c r="M165" s="1396"/>
      <c r="N165" s="990"/>
      <c r="O165" s="1405"/>
      <c r="P165" s="1405"/>
      <c r="Q165" s="1405"/>
      <c r="R165" s="1405"/>
      <c r="S165" s="1405"/>
    </row>
    <row r="166" spans="1:19" ht="69.599999999999994" customHeight="1">
      <c r="A166" s="740" t="s">
        <v>2772</v>
      </c>
      <c r="B166" s="664" t="s">
        <v>2771</v>
      </c>
      <c r="C166" s="740"/>
      <c r="D166" s="740"/>
      <c r="E166" s="741">
        <f>SUM(E168)</f>
        <v>12.5</v>
      </c>
      <c r="F166" s="1074">
        <f>H166/E166-1</f>
        <v>8.0000000000000071E-2</v>
      </c>
      <c r="G166" s="741">
        <f t="shared" ref="G166:J166" si="91">SUM(G168)</f>
        <v>12.5</v>
      </c>
      <c r="H166" s="741">
        <f t="shared" si="91"/>
        <v>13.5</v>
      </c>
      <c r="I166" s="741">
        <f t="shared" si="91"/>
        <v>0</v>
      </c>
      <c r="J166" s="741">
        <f t="shared" si="91"/>
        <v>0</v>
      </c>
      <c r="K166" s="740" t="s">
        <v>3348</v>
      </c>
      <c r="L166" s="740"/>
      <c r="M166" s="740" t="s">
        <v>2052</v>
      </c>
      <c r="N166" s="664" t="s">
        <v>3081</v>
      </c>
      <c r="O166" s="871">
        <v>0</v>
      </c>
      <c r="P166" s="871">
        <v>0</v>
      </c>
      <c r="Q166" s="871">
        <v>50</v>
      </c>
      <c r="R166" s="2291" t="s">
        <v>1093</v>
      </c>
      <c r="S166" s="2291"/>
    </row>
    <row r="167" spans="1:19" ht="21" customHeight="1">
      <c r="A167" s="1799" t="s">
        <v>2773</v>
      </c>
      <c r="B167" s="1658" t="s">
        <v>1999</v>
      </c>
      <c r="C167" s="2046">
        <v>188711925</v>
      </c>
      <c r="D167" s="1147" t="s">
        <v>668</v>
      </c>
      <c r="E167" s="688">
        <v>12.5</v>
      </c>
      <c r="F167" s="1153">
        <f>H167/E167-1</f>
        <v>8.0000000000000071E-2</v>
      </c>
      <c r="G167" s="688">
        <v>12.5</v>
      </c>
      <c r="H167" s="688">
        <v>13.5</v>
      </c>
      <c r="I167" s="688"/>
      <c r="J167" s="688"/>
      <c r="K167" s="2262" t="s">
        <v>3187</v>
      </c>
      <c r="L167" s="1666" t="s">
        <v>2070</v>
      </c>
      <c r="M167" s="1658" t="s">
        <v>2053</v>
      </c>
      <c r="N167" s="1650" t="s">
        <v>2054</v>
      </c>
      <c r="O167" s="1680" t="s">
        <v>469</v>
      </c>
      <c r="P167" s="1680" t="s">
        <v>613</v>
      </c>
      <c r="Q167" s="1680" t="s">
        <v>613</v>
      </c>
      <c r="R167" s="1699" t="s">
        <v>1093</v>
      </c>
      <c r="S167" s="1699"/>
    </row>
    <row r="168" spans="1:19" ht="21" customHeight="1">
      <c r="A168" s="1807"/>
      <c r="B168" s="1678"/>
      <c r="C168" s="1754"/>
      <c r="D168" s="670" t="s">
        <v>1372</v>
      </c>
      <c r="E168" s="671">
        <f>SUM(E167:E167)</f>
        <v>12.5</v>
      </c>
      <c r="F168" s="1152">
        <f>H168/E168-1</f>
        <v>8.0000000000000071E-2</v>
      </c>
      <c r="G168" s="671">
        <f t="shared" ref="G168:J168" si="92">SUM(G167:G167)</f>
        <v>12.5</v>
      </c>
      <c r="H168" s="671">
        <f t="shared" si="92"/>
        <v>13.5</v>
      </c>
      <c r="I168" s="671">
        <f t="shared" si="92"/>
        <v>0</v>
      </c>
      <c r="J168" s="671">
        <f t="shared" si="92"/>
        <v>0</v>
      </c>
      <c r="K168" s="2263"/>
      <c r="L168" s="1698"/>
      <c r="M168" s="1678"/>
      <c r="N168" s="1699"/>
      <c r="O168" s="1766"/>
      <c r="P168" s="1766"/>
      <c r="Q168" s="1766"/>
      <c r="R168" s="1699"/>
      <c r="S168" s="1699"/>
    </row>
    <row r="169" spans="1:19" ht="59.25" customHeight="1">
      <c r="A169" s="1911"/>
      <c r="B169" s="1911"/>
      <c r="C169" s="1911"/>
      <c r="D169" s="1911"/>
      <c r="E169" s="967" t="s">
        <v>1388</v>
      </c>
      <c r="F169" s="1152"/>
      <c r="G169" s="967" t="str">
        <f>G15</f>
        <v>2024  m. išlaidų projektas (lėšų poreikis), tūkst. Eur</v>
      </c>
      <c r="H169" s="928" t="str">
        <f>H15</f>
        <v>2024  m. asignavimai ir kitos lėšos, tūkst. Eur</v>
      </c>
      <c r="I169" s="928" t="str">
        <f>I15</f>
        <v>2025 m.  asignavimai ir kitos lėšos, tūkst. Eur</v>
      </c>
      <c r="J169" s="928" t="str">
        <f>J15</f>
        <v>2026 m.  asignavimai ir kitos lėšos, tūkst. Eur</v>
      </c>
      <c r="K169" s="968"/>
      <c r="L169" s="968"/>
      <c r="M169" s="969"/>
      <c r="N169" s="969"/>
      <c r="O169" s="588"/>
      <c r="P169" s="588"/>
      <c r="Q169" s="588"/>
      <c r="R169" s="969"/>
      <c r="S169" s="970"/>
    </row>
    <row r="170" spans="1:19" ht="21" customHeight="1">
      <c r="A170" s="2003"/>
      <c r="B170" s="1904" t="s">
        <v>990</v>
      </c>
      <c r="C170" s="1904"/>
      <c r="D170" s="1904"/>
      <c r="E170" s="684">
        <f>E171+E172+E173+E174+E175+E176</f>
        <v>1038.306</v>
      </c>
      <c r="F170" s="1153">
        <f>H170/E170-1</f>
        <v>0.85218134153130176</v>
      </c>
      <c r="G170" s="684">
        <f t="shared" ref="G170:J170" si="93">SUM(G171,G172,G173,G174,G175,G176,)</f>
        <v>744.11999999999989</v>
      </c>
      <c r="H170" s="684">
        <f>SUM(H171,H172,H173,H174,H175,H176,)</f>
        <v>1923.1309999999999</v>
      </c>
      <c r="I170" s="684">
        <f t="shared" si="93"/>
        <v>5226.5125525000003</v>
      </c>
      <c r="J170" s="684">
        <f t="shared" si="93"/>
        <v>5406.8826405</v>
      </c>
      <c r="K170" s="973"/>
      <c r="L170" s="1127"/>
      <c r="M170" s="1127"/>
      <c r="N170" s="1127"/>
      <c r="O170" s="974"/>
      <c r="P170" s="974"/>
      <c r="Q170" s="974"/>
      <c r="R170" s="1127"/>
      <c r="S170" s="1127"/>
    </row>
    <row r="171" spans="1:19" ht="21" customHeight="1">
      <c r="A171" s="2004"/>
      <c r="B171" s="1894" t="s">
        <v>2564</v>
      </c>
      <c r="C171" s="1894"/>
      <c r="D171" s="1894"/>
      <c r="E171" s="749">
        <f>SUM(E20,E40,E50,E52,E54,E56,E59,E61,E67,E69,E71,E74,E76,E80,E82,E85,E87,E89,E93,E98,E108,E112,E120,E126,E131,E141,E145,E148,E156,E160,E162,E167,)</f>
        <v>739.74899999999991</v>
      </c>
      <c r="F171" s="1153">
        <f t="shared" ref="F171:F174" si="94">H171/E171-1</f>
        <v>1.2953677531162597</v>
      </c>
      <c r="G171" s="749">
        <f>SUM(G20,G40,G50,G52,G54,G56,G59,G61,G67,G69,G71,G74,G76,G80,G82,G85,G87,G89,G93,G98,G108,G112,G120,G126,G131,G141,G145,G148,G156,G160,G162,G167,)</f>
        <v>631.54999999999995</v>
      </c>
      <c r="H171" s="749">
        <f>SUM(H20,H40,H50,H52,H54,H56,H59,H61,H67,H69,H71,H74,H76,H80,H82,H85,H87,H89,H93,H98,H108,H112,H120,H126,H131,H141,H145,H148,H156,H160,H162,H167,)</f>
        <v>1697.9959999999999</v>
      </c>
      <c r="I171" s="749">
        <f>SUM(I20,I40,I50,I52,I54,I56,I59,I61,I67,I69,I71,I74,I76,I80,I82,I85,I87,I89,I93,I98,I108,I112,I120,I126,I131,I141,I145,I148,I156,I160,I162,I167,)</f>
        <v>1996.207586</v>
      </c>
      <c r="J171" s="749">
        <f>SUM(J20,J40,J50,J52,J54,J56,J59,J61,J67,J69,J71,J74,J76,J80,J82,J85,J87,J89,J93,J98,J108,J112,J120,J126,J131,J141,J145,J148,J156,J160,J162,J167,)</f>
        <v>2308.0475339999998</v>
      </c>
      <c r="K171" s="976"/>
      <c r="L171" s="1128"/>
      <c r="M171" s="756"/>
      <c r="N171" s="756"/>
      <c r="O171" s="977"/>
      <c r="P171" s="977"/>
      <c r="Q171" s="977"/>
      <c r="R171" s="756"/>
      <c r="S171" s="756"/>
    </row>
    <row r="172" spans="1:19" ht="21" customHeight="1">
      <c r="A172" s="2004"/>
      <c r="B172" s="1894" t="s">
        <v>993</v>
      </c>
      <c r="C172" s="1894"/>
      <c r="D172" s="1894"/>
      <c r="E172" s="749">
        <f>SUM(E158,E129,E63,E57,)</f>
        <v>104.369</v>
      </c>
      <c r="F172" s="1153">
        <f t="shared" si="94"/>
        <v>-0.17542565321120251</v>
      </c>
      <c r="G172" s="749">
        <f>SUM(G158,G129,G63,G57,)</f>
        <v>0</v>
      </c>
      <c r="H172" s="749">
        <f>SUM(H158,H129,H63,H57,)</f>
        <v>86.06</v>
      </c>
      <c r="I172" s="749">
        <f>SUM(I158,I129,I63,I57,)</f>
        <v>87</v>
      </c>
      <c r="J172" s="749">
        <f>SUM(J158,J129,J63,J57,)</f>
        <v>87</v>
      </c>
      <c r="K172" s="976"/>
      <c r="L172" s="756"/>
      <c r="M172" s="756"/>
      <c r="N172" s="756"/>
      <c r="O172" s="977"/>
      <c r="P172" s="977"/>
      <c r="Q172" s="977"/>
      <c r="R172" s="756"/>
      <c r="S172" s="756"/>
    </row>
    <row r="173" spans="1:19" ht="21" customHeight="1">
      <c r="A173" s="2004"/>
      <c r="B173" s="1894" t="s">
        <v>994</v>
      </c>
      <c r="C173" s="1894"/>
      <c r="D173" s="1894"/>
      <c r="E173" s="749">
        <f>E157</f>
        <v>104.61</v>
      </c>
      <c r="F173" s="1153">
        <f t="shared" si="94"/>
        <v>0.30675843609597542</v>
      </c>
      <c r="G173" s="749">
        <f t="shared" ref="G173:J173" si="95">G157</f>
        <v>112.57</v>
      </c>
      <c r="H173" s="749">
        <f>H157</f>
        <v>136.69999999999999</v>
      </c>
      <c r="I173" s="749">
        <f t="shared" si="95"/>
        <v>137</v>
      </c>
      <c r="J173" s="749">
        <f t="shared" si="95"/>
        <v>137</v>
      </c>
      <c r="K173" s="976"/>
      <c r="L173" s="756"/>
      <c r="M173" s="756"/>
      <c r="N173" s="756"/>
      <c r="O173" s="977"/>
      <c r="P173" s="977"/>
      <c r="Q173" s="977"/>
      <c r="R173" s="756"/>
      <c r="S173" s="756"/>
    </row>
    <row r="174" spans="1:19" ht="21" customHeight="1">
      <c r="A174" s="2004"/>
      <c r="B174" s="1894" t="s">
        <v>2565</v>
      </c>
      <c r="C174" s="1894"/>
      <c r="D174" s="1894"/>
      <c r="E174" s="749">
        <f>SUM(E62,)</f>
        <v>89.578000000000003</v>
      </c>
      <c r="F174" s="1153">
        <f t="shared" si="94"/>
        <v>-0.97348679363236512</v>
      </c>
      <c r="G174" s="749">
        <v>0</v>
      </c>
      <c r="H174" s="749">
        <f>SUM(H143,H118,H110,H38,)</f>
        <v>2.375</v>
      </c>
      <c r="I174" s="749">
        <f t="shared" ref="I174:J174" si="96">SUM(I143,I118,I110,I38,)</f>
        <v>3006.3049664999999</v>
      </c>
      <c r="J174" s="749">
        <f t="shared" si="96"/>
        <v>2874.8351064999997</v>
      </c>
      <c r="K174" s="976"/>
      <c r="L174" s="756"/>
      <c r="M174" s="756"/>
      <c r="N174" s="756"/>
      <c r="O174" s="977"/>
      <c r="P174" s="977"/>
      <c r="Q174" s="977"/>
      <c r="R174" s="756"/>
      <c r="S174" s="756"/>
    </row>
    <row r="175" spans="1:19" ht="21" customHeight="1">
      <c r="A175" s="2004"/>
      <c r="B175" s="1894" t="s">
        <v>995</v>
      </c>
      <c r="C175" s="1894"/>
      <c r="D175" s="1894"/>
      <c r="E175" s="749">
        <v>0</v>
      </c>
      <c r="F175" s="1153"/>
      <c r="G175" s="749">
        <v>0</v>
      </c>
      <c r="H175" s="749">
        <v>0</v>
      </c>
      <c r="I175" s="749">
        <v>0</v>
      </c>
      <c r="J175" s="749">
        <v>0</v>
      </c>
      <c r="K175" s="976"/>
      <c r="L175" s="756"/>
      <c r="M175" s="756"/>
      <c r="N175" s="756"/>
      <c r="O175" s="977"/>
      <c r="P175" s="977"/>
      <c r="Q175" s="977"/>
      <c r="R175" s="756"/>
      <c r="S175" s="756"/>
    </row>
    <row r="176" spans="1:19" ht="21" customHeight="1">
      <c r="A176" s="2004"/>
      <c r="B176" s="1894" t="s">
        <v>996</v>
      </c>
      <c r="C176" s="1894"/>
      <c r="D176" s="1894"/>
      <c r="E176" s="749">
        <v>0</v>
      </c>
      <c r="F176" s="1153"/>
      <c r="G176" s="749">
        <v>0</v>
      </c>
      <c r="H176" s="749">
        <v>0</v>
      </c>
      <c r="I176" s="749">
        <v>0</v>
      </c>
      <c r="J176" s="749">
        <v>0</v>
      </c>
      <c r="K176" s="976"/>
      <c r="L176" s="756"/>
      <c r="M176" s="756"/>
      <c r="N176" s="756"/>
      <c r="O176" s="977"/>
      <c r="P176" s="977"/>
      <c r="Q176" s="977"/>
      <c r="R176" s="756"/>
      <c r="S176" s="756"/>
    </row>
    <row r="177" spans="1:19" ht="28.5" customHeight="1">
      <c r="A177" s="2004"/>
      <c r="B177" s="1904" t="s">
        <v>997</v>
      </c>
      <c r="C177" s="1904"/>
      <c r="D177" s="1904"/>
      <c r="E177" s="979">
        <v>51.494</v>
      </c>
      <c r="F177" s="1153">
        <f>H177/E177-1</f>
        <v>0.84069988736551848</v>
      </c>
      <c r="G177" s="979">
        <v>0</v>
      </c>
      <c r="H177" s="979">
        <f>SUM(H96,H91)</f>
        <v>94.785000000000011</v>
      </c>
      <c r="I177" s="979">
        <f t="shared" ref="I177:J177" si="97">SUM(I96,I91)</f>
        <v>1102.5833200000002</v>
      </c>
      <c r="J177" s="979">
        <f t="shared" si="97"/>
        <v>2329.1258000000003</v>
      </c>
      <c r="K177" s="976"/>
      <c r="L177" s="756"/>
      <c r="M177" s="756"/>
      <c r="N177" s="756"/>
      <c r="O177" s="977"/>
      <c r="P177" s="977"/>
      <c r="Q177" s="977"/>
      <c r="R177" s="756"/>
      <c r="S177" s="756"/>
    </row>
    <row r="178" spans="1:19" ht="21" customHeight="1">
      <c r="A178" s="2004"/>
      <c r="B178" s="1904" t="s">
        <v>1389</v>
      </c>
      <c r="C178" s="1904"/>
      <c r="D178" s="1904"/>
      <c r="E178" s="668">
        <f>E170+E177</f>
        <v>1089.8</v>
      </c>
      <c r="F178" s="1153">
        <f>H178/E178-1</f>
        <v>0.85163883281336017</v>
      </c>
      <c r="G178" s="668">
        <f t="shared" ref="G178:J178" si="98">G170+G177</f>
        <v>744.11999999999989</v>
      </c>
      <c r="H178" s="668">
        <f>H170+H177</f>
        <v>2017.9159999999999</v>
      </c>
      <c r="I178" s="668">
        <f t="shared" si="98"/>
        <v>6329.0958725</v>
      </c>
      <c r="J178" s="668">
        <f t="shared" si="98"/>
        <v>7736.0084404999998</v>
      </c>
      <c r="K178" s="973"/>
      <c r="L178" s="756"/>
      <c r="M178" s="756"/>
      <c r="N178" s="756"/>
      <c r="O178" s="977"/>
      <c r="P178" s="977"/>
      <c r="Q178" s="977"/>
      <c r="R178" s="756"/>
      <c r="S178" s="756"/>
    </row>
    <row r="179" spans="1:19" ht="21" customHeight="1">
      <c r="A179" s="2004"/>
      <c r="B179" s="1904" t="s">
        <v>2566</v>
      </c>
      <c r="C179" s="1904"/>
      <c r="D179" s="1904"/>
      <c r="E179" s="684">
        <v>0</v>
      </c>
      <c r="F179" s="1153"/>
      <c r="G179" s="684">
        <v>0</v>
      </c>
      <c r="H179" s="684">
        <v>0</v>
      </c>
      <c r="I179" s="684">
        <v>0</v>
      </c>
      <c r="J179" s="684">
        <v>0</v>
      </c>
      <c r="K179" s="973"/>
      <c r="L179" s="756"/>
      <c r="M179" s="756"/>
      <c r="N179" s="756"/>
      <c r="O179" s="977"/>
      <c r="P179" s="977"/>
      <c r="Q179" s="977"/>
      <c r="R179" s="756"/>
      <c r="S179" s="756"/>
    </row>
    <row r="180" spans="1:19" ht="28.5" customHeight="1">
      <c r="A180" s="2005"/>
      <c r="B180" s="1904" t="s">
        <v>998</v>
      </c>
      <c r="C180" s="1904"/>
      <c r="D180" s="1904"/>
      <c r="E180" s="684">
        <v>0</v>
      </c>
      <c r="F180" s="1153"/>
      <c r="G180" s="684">
        <v>0</v>
      </c>
      <c r="H180" s="980">
        <f>H178/E178-1</f>
        <v>0.85163883281336017</v>
      </c>
      <c r="I180" s="980">
        <f>I178/H178-1</f>
        <v>2.1364516027921878</v>
      </c>
      <c r="J180" s="980">
        <f>J178/I178-1</f>
        <v>0.22229281975535442</v>
      </c>
      <c r="K180" s="973"/>
      <c r="L180" s="390"/>
      <c r="M180" s="756"/>
      <c r="N180" s="756"/>
      <c r="O180" s="977"/>
      <c r="P180" s="977"/>
      <c r="Q180" s="977"/>
      <c r="R180" s="756"/>
      <c r="S180" s="756"/>
    </row>
    <row r="181" spans="1:19" ht="21" customHeight="1">
      <c r="E181" s="387"/>
      <c r="F181" s="387"/>
    </row>
    <row r="182" spans="1:19" ht="21" customHeight="1">
      <c r="E182" s="387"/>
      <c r="F182" s="387"/>
    </row>
    <row r="183" spans="1:19" ht="21" customHeight="1">
      <c r="E183" s="387"/>
      <c r="F183" s="387"/>
    </row>
    <row r="184" spans="1:19" ht="21" customHeight="1">
      <c r="B184" s="1895"/>
      <c r="C184" s="1895"/>
      <c r="D184" s="1895"/>
      <c r="E184" s="387"/>
      <c r="F184" s="387"/>
    </row>
    <row r="185" spans="1:19" ht="21" customHeight="1">
      <c r="E185" s="387"/>
      <c r="F185" s="387"/>
    </row>
    <row r="186" spans="1:19" ht="21" customHeight="1">
      <c r="E186" s="387"/>
      <c r="F186" s="387"/>
    </row>
    <row r="187" spans="1:19" ht="21" customHeight="1">
      <c r="E187" s="387"/>
      <c r="F187" s="387"/>
    </row>
    <row r="188" spans="1:19" ht="21" customHeight="1">
      <c r="E188" s="387"/>
      <c r="F188" s="387"/>
    </row>
    <row r="189" spans="1:19" ht="21" customHeight="1">
      <c r="E189" s="387"/>
      <c r="F189" s="387"/>
    </row>
    <row r="190" spans="1:19" ht="21" customHeight="1">
      <c r="E190" s="387"/>
      <c r="F190" s="387"/>
    </row>
    <row r="191" spans="1:19" ht="21" customHeight="1">
      <c r="E191" s="387"/>
      <c r="F191" s="387"/>
    </row>
    <row r="192" spans="1:19" ht="21" customHeight="1">
      <c r="E192" s="387"/>
      <c r="F192" s="387"/>
    </row>
    <row r="193" spans="15:17" s="387" customFormat="1" ht="21" customHeight="1">
      <c r="O193" s="441"/>
      <c r="P193" s="441"/>
      <c r="Q193" s="441"/>
    </row>
    <row r="194" spans="15:17" s="387" customFormat="1" ht="21" customHeight="1">
      <c r="O194" s="441"/>
      <c r="P194" s="441"/>
      <c r="Q194" s="441"/>
    </row>
    <row r="195" spans="15:17" s="387" customFormat="1" ht="21" customHeight="1">
      <c r="O195" s="441"/>
      <c r="P195" s="441"/>
      <c r="Q195" s="441"/>
    </row>
    <row r="196" spans="15:17" s="387" customFormat="1" ht="21" customHeight="1">
      <c r="O196" s="441"/>
      <c r="P196" s="441"/>
      <c r="Q196" s="441"/>
    </row>
    <row r="197" spans="15:17" s="387" customFormat="1" ht="21" customHeight="1">
      <c r="O197" s="441"/>
      <c r="P197" s="441"/>
      <c r="Q197" s="441"/>
    </row>
    <row r="198" spans="15:17" s="387" customFormat="1" ht="21" customHeight="1">
      <c r="O198" s="441"/>
      <c r="P198" s="441"/>
      <c r="Q198" s="441"/>
    </row>
    <row r="199" spans="15:17" s="387" customFormat="1" ht="21" customHeight="1">
      <c r="O199" s="441"/>
      <c r="P199" s="441"/>
      <c r="Q199" s="441"/>
    </row>
    <row r="200" spans="15:17" s="387" customFormat="1" ht="21" customHeight="1">
      <c r="O200" s="441"/>
      <c r="P200" s="441"/>
      <c r="Q200" s="441"/>
    </row>
    <row r="201" spans="15:17" s="387" customFormat="1" ht="21" customHeight="1">
      <c r="O201" s="441"/>
      <c r="P201" s="441"/>
      <c r="Q201" s="441"/>
    </row>
    <row r="202" spans="15:17" s="387" customFormat="1" ht="21" customHeight="1">
      <c r="O202" s="441"/>
      <c r="P202" s="441"/>
      <c r="Q202" s="441"/>
    </row>
    <row r="203" spans="15:17" s="387" customFormat="1" ht="21" customHeight="1">
      <c r="O203" s="441"/>
      <c r="P203" s="441"/>
      <c r="Q203" s="441"/>
    </row>
    <row r="204" spans="15:17" s="387" customFormat="1" ht="21" customHeight="1">
      <c r="O204" s="441"/>
      <c r="P204" s="441"/>
      <c r="Q204" s="441"/>
    </row>
    <row r="205" spans="15:17" s="387" customFormat="1" ht="21" customHeight="1">
      <c r="O205" s="441"/>
      <c r="P205" s="441"/>
      <c r="Q205" s="441"/>
    </row>
    <row r="206" spans="15:17" s="387" customFormat="1" ht="21" customHeight="1">
      <c r="O206" s="441"/>
      <c r="P206" s="441"/>
      <c r="Q206" s="441"/>
    </row>
    <row r="207" spans="15:17" s="387" customFormat="1" ht="21" customHeight="1">
      <c r="O207" s="441"/>
      <c r="P207" s="441"/>
      <c r="Q207" s="441"/>
    </row>
    <row r="208" spans="15:17" s="387" customFormat="1" ht="21" customHeight="1">
      <c r="O208" s="441"/>
      <c r="P208" s="441"/>
      <c r="Q208" s="441"/>
    </row>
    <row r="209" spans="15:17" s="387" customFormat="1" ht="21" customHeight="1">
      <c r="O209" s="441"/>
      <c r="P209" s="441"/>
      <c r="Q209" s="441"/>
    </row>
    <row r="210" spans="15:17" s="387" customFormat="1" ht="21" customHeight="1">
      <c r="O210" s="441"/>
      <c r="P210" s="441"/>
      <c r="Q210" s="441"/>
    </row>
    <row r="211" spans="15:17" s="387" customFormat="1" ht="21" customHeight="1">
      <c r="O211" s="441"/>
      <c r="P211" s="441"/>
      <c r="Q211" s="441"/>
    </row>
    <row r="212" spans="15:17" s="387" customFormat="1" ht="21" customHeight="1">
      <c r="O212" s="441"/>
      <c r="P212" s="441"/>
      <c r="Q212" s="441"/>
    </row>
    <row r="213" spans="15:17" s="387" customFormat="1" ht="21" customHeight="1">
      <c r="O213" s="441"/>
      <c r="P213" s="441"/>
      <c r="Q213" s="441"/>
    </row>
    <row r="214" spans="15:17" s="387" customFormat="1" ht="21" customHeight="1">
      <c r="O214" s="441"/>
      <c r="P214" s="441"/>
      <c r="Q214" s="441"/>
    </row>
    <row r="215" spans="15:17" s="387" customFormat="1" ht="21" customHeight="1">
      <c r="O215" s="441"/>
      <c r="P215" s="441"/>
      <c r="Q215" s="441"/>
    </row>
    <row r="216" spans="15:17" s="387" customFormat="1" ht="21" customHeight="1">
      <c r="O216" s="441"/>
      <c r="P216" s="441"/>
      <c r="Q216" s="441"/>
    </row>
    <row r="217" spans="15:17" s="387" customFormat="1" ht="21" customHeight="1">
      <c r="O217" s="441"/>
      <c r="P217" s="441"/>
      <c r="Q217" s="441"/>
    </row>
    <row r="218" spans="15:17" s="387" customFormat="1" ht="21" customHeight="1">
      <c r="O218" s="441"/>
      <c r="P218" s="441"/>
      <c r="Q218" s="441"/>
    </row>
    <row r="219" spans="15:17" s="387" customFormat="1" ht="21" customHeight="1">
      <c r="O219" s="441"/>
      <c r="P219" s="441"/>
      <c r="Q219" s="441"/>
    </row>
    <row r="220" spans="15:17" s="387" customFormat="1" ht="21" customHeight="1">
      <c r="O220" s="441"/>
      <c r="P220" s="441"/>
      <c r="Q220" s="441"/>
    </row>
    <row r="221" spans="15:17" s="387" customFormat="1" ht="21" customHeight="1">
      <c r="O221" s="441"/>
      <c r="P221" s="441"/>
      <c r="Q221" s="441"/>
    </row>
    <row r="222" spans="15:17" s="387" customFormat="1" ht="21" customHeight="1">
      <c r="O222" s="441"/>
      <c r="P222" s="441"/>
      <c r="Q222" s="441"/>
    </row>
    <row r="223" spans="15:17" s="387" customFormat="1" ht="21" customHeight="1">
      <c r="O223" s="441"/>
      <c r="P223" s="441"/>
      <c r="Q223" s="441"/>
    </row>
    <row r="224" spans="15:17" s="387" customFormat="1" ht="21" customHeight="1">
      <c r="O224" s="441"/>
      <c r="P224" s="441"/>
      <c r="Q224" s="441"/>
    </row>
    <row r="225" spans="15:17" s="387" customFormat="1" ht="21" customHeight="1">
      <c r="O225" s="441"/>
      <c r="P225" s="441"/>
      <c r="Q225" s="441"/>
    </row>
    <row r="226" spans="15:17" s="387" customFormat="1" ht="21" customHeight="1">
      <c r="O226" s="441"/>
      <c r="P226" s="441"/>
      <c r="Q226" s="441"/>
    </row>
    <row r="227" spans="15:17" s="387" customFormat="1" ht="21" customHeight="1">
      <c r="O227" s="441"/>
      <c r="P227" s="441"/>
      <c r="Q227" s="441"/>
    </row>
    <row r="228" spans="15:17" s="387" customFormat="1" ht="21" customHeight="1">
      <c r="O228" s="441"/>
      <c r="P228" s="441"/>
      <c r="Q228" s="441"/>
    </row>
    <row r="229" spans="15:17" s="387" customFormat="1" ht="21" customHeight="1">
      <c r="O229" s="441"/>
      <c r="P229" s="441"/>
      <c r="Q229" s="441"/>
    </row>
    <row r="230" spans="15:17" s="387" customFormat="1" ht="21" customHeight="1">
      <c r="O230" s="441"/>
      <c r="P230" s="441"/>
      <c r="Q230" s="441"/>
    </row>
    <row r="231" spans="15:17" s="387" customFormat="1" ht="21" customHeight="1">
      <c r="O231" s="441"/>
      <c r="P231" s="441"/>
      <c r="Q231" s="441"/>
    </row>
    <row r="232" spans="15:17" s="387" customFormat="1" ht="21" customHeight="1">
      <c r="O232" s="441"/>
      <c r="P232" s="441"/>
      <c r="Q232" s="441"/>
    </row>
    <row r="233" spans="15:17" s="387" customFormat="1" ht="21" customHeight="1">
      <c r="O233" s="441"/>
      <c r="P233" s="441"/>
      <c r="Q233" s="441"/>
    </row>
    <row r="234" spans="15:17" s="387" customFormat="1" ht="21" customHeight="1">
      <c r="O234" s="441"/>
      <c r="P234" s="441"/>
      <c r="Q234" s="441"/>
    </row>
    <row r="235" spans="15:17" s="387" customFormat="1" ht="21" customHeight="1">
      <c r="O235" s="441"/>
      <c r="P235" s="441"/>
      <c r="Q235" s="441"/>
    </row>
    <row r="236" spans="15:17" s="387" customFormat="1" ht="21" customHeight="1">
      <c r="O236" s="441"/>
      <c r="P236" s="441"/>
      <c r="Q236" s="441"/>
    </row>
    <row r="237" spans="15:17" s="387" customFormat="1" ht="21" customHeight="1">
      <c r="O237" s="441"/>
      <c r="P237" s="441"/>
      <c r="Q237" s="441"/>
    </row>
    <row r="238" spans="15:17" s="387" customFormat="1" ht="21" customHeight="1">
      <c r="O238" s="441"/>
      <c r="P238" s="441"/>
      <c r="Q238" s="441"/>
    </row>
    <row r="239" spans="15:17" s="387" customFormat="1" ht="21" customHeight="1">
      <c r="O239" s="441"/>
      <c r="P239" s="441"/>
      <c r="Q239" s="441"/>
    </row>
    <row r="240" spans="15:17" s="387" customFormat="1" ht="21" customHeight="1">
      <c r="O240" s="441"/>
      <c r="P240" s="441"/>
      <c r="Q240" s="441"/>
    </row>
    <row r="241" spans="15:17" s="387" customFormat="1" ht="21" customHeight="1">
      <c r="O241" s="441"/>
      <c r="P241" s="441"/>
      <c r="Q241" s="441"/>
    </row>
    <row r="242" spans="15:17" s="387" customFormat="1" ht="21" customHeight="1">
      <c r="O242" s="441"/>
      <c r="P242" s="441"/>
      <c r="Q242" s="441"/>
    </row>
    <row r="243" spans="15:17" s="387" customFormat="1" ht="21" customHeight="1">
      <c r="O243" s="441"/>
      <c r="P243" s="441"/>
      <c r="Q243" s="441"/>
    </row>
    <row r="244" spans="15:17" s="387" customFormat="1" ht="21" customHeight="1">
      <c r="O244" s="441"/>
      <c r="P244" s="441"/>
      <c r="Q244" s="441"/>
    </row>
    <row r="245" spans="15:17" s="387" customFormat="1" ht="21" customHeight="1">
      <c r="O245" s="441"/>
      <c r="P245" s="441"/>
      <c r="Q245" s="441"/>
    </row>
    <row r="246" spans="15:17" s="387" customFormat="1" ht="21" customHeight="1">
      <c r="O246" s="441"/>
      <c r="P246" s="441"/>
      <c r="Q246" s="441"/>
    </row>
    <row r="247" spans="15:17" s="387" customFormat="1" ht="21" customHeight="1">
      <c r="O247" s="441"/>
      <c r="P247" s="441"/>
      <c r="Q247" s="441"/>
    </row>
    <row r="248" spans="15:17" s="387" customFormat="1" ht="21" customHeight="1">
      <c r="O248" s="441"/>
      <c r="P248" s="441"/>
      <c r="Q248" s="441"/>
    </row>
    <row r="249" spans="15:17" s="387" customFormat="1" ht="21" customHeight="1">
      <c r="O249" s="441"/>
      <c r="P249" s="441"/>
      <c r="Q249" s="441"/>
    </row>
    <row r="250" spans="15:17" s="387" customFormat="1" ht="21" customHeight="1">
      <c r="O250" s="441"/>
      <c r="P250" s="441"/>
      <c r="Q250" s="441"/>
    </row>
    <row r="251" spans="15:17" s="387" customFormat="1" ht="21" customHeight="1">
      <c r="O251" s="441"/>
      <c r="P251" s="441"/>
      <c r="Q251" s="441"/>
    </row>
    <row r="252" spans="15:17" s="387" customFormat="1" ht="21" customHeight="1">
      <c r="O252" s="441"/>
      <c r="P252" s="441"/>
      <c r="Q252" s="441"/>
    </row>
    <row r="253" spans="15:17" s="387" customFormat="1" ht="21" customHeight="1">
      <c r="O253" s="441"/>
      <c r="P253" s="441"/>
      <c r="Q253" s="441"/>
    </row>
    <row r="254" spans="15:17" s="387" customFormat="1" ht="21" customHeight="1">
      <c r="O254" s="441"/>
      <c r="P254" s="441"/>
      <c r="Q254" s="441"/>
    </row>
    <row r="255" spans="15:17" s="387" customFormat="1" ht="21" customHeight="1">
      <c r="O255" s="441"/>
      <c r="P255" s="441"/>
      <c r="Q255" s="441"/>
    </row>
    <row r="256" spans="15:17" s="387" customFormat="1" ht="21" customHeight="1">
      <c r="O256" s="441"/>
      <c r="P256" s="441"/>
      <c r="Q256" s="441"/>
    </row>
    <row r="257" spans="15:17" s="387" customFormat="1" ht="21" customHeight="1">
      <c r="O257" s="441"/>
      <c r="P257" s="441"/>
      <c r="Q257" s="441"/>
    </row>
    <row r="258" spans="15:17" s="387" customFormat="1" ht="21" customHeight="1">
      <c r="O258" s="441"/>
      <c r="P258" s="441"/>
      <c r="Q258" s="441"/>
    </row>
    <row r="259" spans="15:17" s="387" customFormat="1" ht="21" customHeight="1">
      <c r="O259" s="441"/>
      <c r="P259" s="441"/>
      <c r="Q259" s="441"/>
    </row>
    <row r="260" spans="15:17" s="387" customFormat="1" ht="21" customHeight="1">
      <c r="O260" s="441"/>
      <c r="P260" s="441"/>
      <c r="Q260" s="441"/>
    </row>
    <row r="261" spans="15:17" s="387" customFormat="1" ht="21" customHeight="1">
      <c r="O261" s="441"/>
      <c r="P261" s="441"/>
      <c r="Q261" s="441"/>
    </row>
    <row r="262" spans="15:17" s="387" customFormat="1" ht="21" customHeight="1">
      <c r="O262" s="441"/>
      <c r="P262" s="441"/>
      <c r="Q262" s="441"/>
    </row>
    <row r="263" spans="15:17" s="387" customFormat="1" ht="21" customHeight="1">
      <c r="O263" s="441"/>
      <c r="P263" s="441"/>
      <c r="Q263" s="441"/>
    </row>
    <row r="264" spans="15:17" s="387" customFormat="1" ht="21" customHeight="1">
      <c r="O264" s="441"/>
      <c r="P264" s="441"/>
      <c r="Q264" s="441"/>
    </row>
    <row r="265" spans="15:17" s="387" customFormat="1" ht="21" customHeight="1">
      <c r="O265" s="441"/>
      <c r="P265" s="441"/>
      <c r="Q265" s="441"/>
    </row>
    <row r="266" spans="15:17" s="387" customFormat="1" ht="21" customHeight="1">
      <c r="O266" s="441"/>
      <c r="P266" s="441"/>
      <c r="Q266" s="441"/>
    </row>
    <row r="267" spans="15:17" s="387" customFormat="1" ht="21" customHeight="1">
      <c r="O267" s="441"/>
      <c r="P267" s="441"/>
      <c r="Q267" s="441"/>
    </row>
    <row r="268" spans="15:17" s="387" customFormat="1" ht="21" customHeight="1">
      <c r="O268" s="441"/>
      <c r="P268" s="441"/>
      <c r="Q268" s="441"/>
    </row>
    <row r="269" spans="15:17" s="387" customFormat="1" ht="21" customHeight="1">
      <c r="O269" s="441"/>
      <c r="P269" s="441"/>
      <c r="Q269" s="441"/>
    </row>
    <row r="270" spans="15:17" s="387" customFormat="1" ht="21" customHeight="1">
      <c r="O270" s="441"/>
      <c r="P270" s="441"/>
      <c r="Q270" s="441"/>
    </row>
    <row r="271" spans="15:17" s="387" customFormat="1" ht="21" customHeight="1">
      <c r="O271" s="441"/>
      <c r="P271" s="441"/>
      <c r="Q271" s="441"/>
    </row>
    <row r="272" spans="15:17" s="387" customFormat="1" ht="21" customHeight="1">
      <c r="O272" s="441"/>
      <c r="P272" s="441"/>
      <c r="Q272" s="441"/>
    </row>
    <row r="273" spans="15:17" s="387" customFormat="1" ht="21" customHeight="1">
      <c r="O273" s="441"/>
      <c r="P273" s="441"/>
      <c r="Q273" s="441"/>
    </row>
    <row r="274" spans="15:17" s="387" customFormat="1" ht="21" customHeight="1">
      <c r="O274" s="441"/>
      <c r="P274" s="441"/>
      <c r="Q274" s="441"/>
    </row>
    <row r="275" spans="15:17" s="387" customFormat="1" ht="21" customHeight="1">
      <c r="O275" s="441"/>
      <c r="P275" s="441"/>
      <c r="Q275" s="441"/>
    </row>
    <row r="276" spans="15:17" s="387" customFormat="1" ht="21" customHeight="1">
      <c r="O276" s="441"/>
      <c r="P276" s="441"/>
      <c r="Q276" s="441"/>
    </row>
    <row r="277" spans="15:17" s="387" customFormat="1" ht="21" customHeight="1">
      <c r="O277" s="441"/>
      <c r="P277" s="441"/>
      <c r="Q277" s="441"/>
    </row>
    <row r="278" spans="15:17" s="387" customFormat="1" ht="21" customHeight="1">
      <c r="O278" s="441"/>
      <c r="P278" s="441"/>
      <c r="Q278" s="441"/>
    </row>
    <row r="279" spans="15:17" s="387" customFormat="1" ht="21" customHeight="1">
      <c r="O279" s="441"/>
      <c r="P279" s="441"/>
      <c r="Q279" s="441"/>
    </row>
    <row r="280" spans="15:17" s="387" customFormat="1" ht="21" customHeight="1">
      <c r="O280" s="441"/>
      <c r="P280" s="441"/>
      <c r="Q280" s="441"/>
    </row>
    <row r="281" spans="15:17" s="387" customFormat="1" ht="21" customHeight="1">
      <c r="O281" s="441"/>
      <c r="P281" s="441"/>
      <c r="Q281" s="441"/>
    </row>
    <row r="282" spans="15:17" s="387" customFormat="1" ht="21" customHeight="1">
      <c r="O282" s="441"/>
      <c r="P282" s="441"/>
      <c r="Q282" s="441"/>
    </row>
    <row r="283" spans="15:17" s="387" customFormat="1" ht="21" customHeight="1">
      <c r="O283" s="441"/>
      <c r="P283" s="441"/>
      <c r="Q283" s="441"/>
    </row>
    <row r="284" spans="15:17" s="387" customFormat="1" ht="21" customHeight="1">
      <c r="O284" s="441"/>
      <c r="P284" s="441"/>
      <c r="Q284" s="441"/>
    </row>
    <row r="285" spans="15:17" s="387" customFormat="1" ht="21" customHeight="1">
      <c r="O285" s="441"/>
      <c r="P285" s="441"/>
      <c r="Q285" s="441"/>
    </row>
    <row r="286" spans="15:17" s="387" customFormat="1" ht="21" customHeight="1">
      <c r="O286" s="441"/>
      <c r="P286" s="441"/>
      <c r="Q286" s="441"/>
    </row>
    <row r="287" spans="15:17" s="387" customFormat="1" ht="21" customHeight="1">
      <c r="O287" s="441"/>
      <c r="P287" s="441"/>
      <c r="Q287" s="441"/>
    </row>
    <row r="288" spans="15:17" s="387" customFormat="1" ht="21" customHeight="1">
      <c r="O288" s="441"/>
      <c r="P288" s="441"/>
      <c r="Q288" s="441"/>
    </row>
    <row r="289" spans="15:17" s="387" customFormat="1" ht="21" customHeight="1">
      <c r="O289" s="441"/>
      <c r="P289" s="441"/>
      <c r="Q289" s="441"/>
    </row>
    <row r="290" spans="15:17" s="387" customFormat="1" ht="21" customHeight="1">
      <c r="O290" s="441"/>
      <c r="P290" s="441"/>
      <c r="Q290" s="441"/>
    </row>
    <row r="291" spans="15:17" s="387" customFormat="1" ht="21" customHeight="1">
      <c r="O291" s="441"/>
      <c r="P291" s="441"/>
      <c r="Q291" s="441"/>
    </row>
    <row r="292" spans="15:17" s="387" customFormat="1" ht="21" customHeight="1">
      <c r="O292" s="441"/>
      <c r="P292" s="441"/>
      <c r="Q292" s="441"/>
    </row>
    <row r="293" spans="15:17" s="387" customFormat="1" ht="21" customHeight="1">
      <c r="O293" s="441"/>
      <c r="P293" s="441"/>
      <c r="Q293" s="441"/>
    </row>
    <row r="294" spans="15:17" s="387" customFormat="1" ht="21" customHeight="1">
      <c r="O294" s="441"/>
      <c r="P294" s="441"/>
      <c r="Q294" s="441"/>
    </row>
    <row r="295" spans="15:17" s="387" customFormat="1" ht="21" customHeight="1">
      <c r="O295" s="441"/>
      <c r="P295" s="441"/>
      <c r="Q295" s="441"/>
    </row>
    <row r="296" spans="15:17" s="387" customFormat="1" ht="21" customHeight="1">
      <c r="O296" s="441"/>
      <c r="P296" s="441"/>
      <c r="Q296" s="441"/>
    </row>
    <row r="297" spans="15:17" s="387" customFormat="1" ht="21" customHeight="1">
      <c r="O297" s="441"/>
      <c r="P297" s="441"/>
      <c r="Q297" s="441"/>
    </row>
    <row r="298" spans="15:17" s="387" customFormat="1" ht="21" customHeight="1">
      <c r="O298" s="441"/>
      <c r="P298" s="441"/>
      <c r="Q298" s="441"/>
    </row>
    <row r="299" spans="15:17" s="387" customFormat="1" ht="21" customHeight="1">
      <c r="O299" s="441"/>
      <c r="P299" s="441"/>
      <c r="Q299" s="441"/>
    </row>
    <row r="300" spans="15:17" s="387" customFormat="1" ht="21" customHeight="1">
      <c r="O300" s="441"/>
      <c r="P300" s="441"/>
      <c r="Q300" s="441"/>
    </row>
    <row r="301" spans="15:17" s="387" customFormat="1" ht="21" customHeight="1">
      <c r="O301" s="441"/>
      <c r="P301" s="441"/>
      <c r="Q301" s="441"/>
    </row>
    <row r="302" spans="15:17" s="387" customFormat="1" ht="21" customHeight="1">
      <c r="O302" s="441"/>
      <c r="P302" s="441"/>
      <c r="Q302" s="441"/>
    </row>
    <row r="303" spans="15:17" s="387" customFormat="1" ht="21" customHeight="1">
      <c r="O303" s="441"/>
      <c r="P303" s="441"/>
      <c r="Q303" s="441"/>
    </row>
    <row r="304" spans="15:17" s="387" customFormat="1" ht="21" customHeight="1">
      <c r="O304" s="441"/>
      <c r="P304" s="441"/>
      <c r="Q304" s="441"/>
    </row>
    <row r="305" spans="15:17" s="387" customFormat="1" ht="21" customHeight="1">
      <c r="O305" s="441"/>
      <c r="P305" s="441"/>
      <c r="Q305" s="441"/>
    </row>
    <row r="306" spans="15:17" s="387" customFormat="1" ht="21" customHeight="1">
      <c r="O306" s="441"/>
      <c r="P306" s="441"/>
      <c r="Q306" s="441"/>
    </row>
    <row r="307" spans="15:17" s="387" customFormat="1" ht="21" customHeight="1">
      <c r="O307" s="441"/>
      <c r="P307" s="441"/>
      <c r="Q307" s="441"/>
    </row>
    <row r="308" spans="15:17" s="387" customFormat="1" ht="21" customHeight="1">
      <c r="O308" s="441"/>
      <c r="P308" s="441"/>
      <c r="Q308" s="441"/>
    </row>
    <row r="309" spans="15:17" s="387" customFormat="1" ht="21" customHeight="1">
      <c r="O309" s="441"/>
      <c r="P309" s="441"/>
      <c r="Q309" s="441"/>
    </row>
    <row r="310" spans="15:17" s="387" customFormat="1" ht="21" customHeight="1">
      <c r="O310" s="441"/>
      <c r="P310" s="441"/>
      <c r="Q310" s="441"/>
    </row>
    <row r="311" spans="15:17" s="387" customFormat="1" ht="21" customHeight="1">
      <c r="O311" s="441"/>
      <c r="P311" s="441"/>
      <c r="Q311" s="441"/>
    </row>
    <row r="312" spans="15:17" s="387" customFormat="1" ht="21" customHeight="1">
      <c r="O312" s="441"/>
      <c r="P312" s="441"/>
      <c r="Q312" s="441"/>
    </row>
    <row r="313" spans="15:17" s="387" customFormat="1" ht="21" customHeight="1">
      <c r="O313" s="441"/>
      <c r="P313" s="441"/>
      <c r="Q313" s="441"/>
    </row>
    <row r="314" spans="15:17" s="387" customFormat="1" ht="21" customHeight="1">
      <c r="O314" s="441"/>
      <c r="P314" s="441"/>
      <c r="Q314" s="441"/>
    </row>
    <row r="315" spans="15:17" s="387" customFormat="1" ht="21" customHeight="1">
      <c r="O315" s="441"/>
      <c r="P315" s="441"/>
      <c r="Q315" s="441"/>
    </row>
    <row r="316" spans="15:17" s="387" customFormat="1" ht="21" customHeight="1">
      <c r="O316" s="441"/>
      <c r="P316" s="441"/>
      <c r="Q316" s="441"/>
    </row>
    <row r="317" spans="15:17" s="387" customFormat="1" ht="21" customHeight="1">
      <c r="O317" s="441"/>
      <c r="P317" s="441"/>
      <c r="Q317" s="441"/>
    </row>
    <row r="318" spans="15:17" s="387" customFormat="1" ht="21" customHeight="1">
      <c r="O318" s="441"/>
      <c r="P318" s="441"/>
      <c r="Q318" s="441"/>
    </row>
    <row r="319" spans="15:17" s="387" customFormat="1" ht="21" customHeight="1">
      <c r="O319" s="441"/>
      <c r="P319" s="441"/>
      <c r="Q319" s="441"/>
    </row>
    <row r="320" spans="15:17" s="387" customFormat="1" ht="21" customHeight="1">
      <c r="O320" s="441"/>
      <c r="P320" s="441"/>
      <c r="Q320" s="441"/>
    </row>
    <row r="321" spans="15:17" s="387" customFormat="1" ht="21" customHeight="1">
      <c r="O321" s="441"/>
      <c r="P321" s="441"/>
      <c r="Q321" s="441"/>
    </row>
    <row r="322" spans="15:17" s="387" customFormat="1" ht="21" customHeight="1">
      <c r="O322" s="441"/>
      <c r="P322" s="441"/>
      <c r="Q322" s="441"/>
    </row>
    <row r="323" spans="15:17" s="387" customFormat="1" ht="21" customHeight="1">
      <c r="O323" s="441"/>
      <c r="P323" s="441"/>
      <c r="Q323" s="441"/>
    </row>
    <row r="324" spans="15:17" s="387" customFormat="1" ht="21" customHeight="1">
      <c r="O324" s="441"/>
      <c r="P324" s="441"/>
      <c r="Q324" s="441"/>
    </row>
    <row r="325" spans="15:17" s="387" customFormat="1" ht="21" customHeight="1">
      <c r="O325" s="441"/>
      <c r="P325" s="441"/>
      <c r="Q325" s="441"/>
    </row>
    <row r="326" spans="15:17" s="387" customFormat="1" ht="21" customHeight="1">
      <c r="O326" s="441"/>
      <c r="P326" s="441"/>
      <c r="Q326" s="441"/>
    </row>
    <row r="327" spans="15:17" s="387" customFormat="1" ht="21" customHeight="1">
      <c r="O327" s="441"/>
      <c r="P327" s="441"/>
      <c r="Q327" s="441"/>
    </row>
    <row r="328" spans="15:17" s="387" customFormat="1" ht="21" customHeight="1">
      <c r="O328" s="441"/>
      <c r="P328" s="441"/>
      <c r="Q328" s="441"/>
    </row>
    <row r="329" spans="15:17" s="387" customFormat="1" ht="21" customHeight="1">
      <c r="O329" s="441"/>
      <c r="P329" s="441"/>
      <c r="Q329" s="441"/>
    </row>
    <row r="330" spans="15:17" s="387" customFormat="1" ht="21" customHeight="1">
      <c r="O330" s="441"/>
      <c r="P330" s="441"/>
      <c r="Q330" s="441"/>
    </row>
    <row r="331" spans="15:17" s="387" customFormat="1" ht="21" customHeight="1">
      <c r="O331" s="441"/>
      <c r="P331" s="441"/>
      <c r="Q331" s="441"/>
    </row>
    <row r="332" spans="15:17" s="387" customFormat="1" ht="21" customHeight="1">
      <c r="O332" s="441"/>
      <c r="P332" s="441"/>
      <c r="Q332" s="441"/>
    </row>
    <row r="333" spans="15:17" s="387" customFormat="1" ht="21" customHeight="1">
      <c r="O333" s="441"/>
      <c r="P333" s="441"/>
      <c r="Q333" s="441"/>
    </row>
    <row r="334" spans="15:17" s="387" customFormat="1" ht="21" customHeight="1">
      <c r="O334" s="441"/>
      <c r="P334" s="441"/>
      <c r="Q334" s="441"/>
    </row>
    <row r="335" spans="15:17" s="387" customFormat="1" ht="21" customHeight="1">
      <c r="O335" s="441"/>
      <c r="P335" s="441"/>
      <c r="Q335" s="441"/>
    </row>
    <row r="336" spans="15:17" s="387" customFormat="1" ht="21" customHeight="1">
      <c r="O336" s="441"/>
      <c r="P336" s="441"/>
      <c r="Q336" s="441"/>
    </row>
    <row r="337" spans="15:17" s="387" customFormat="1" ht="21" customHeight="1">
      <c r="O337" s="441"/>
      <c r="P337" s="441"/>
      <c r="Q337" s="441"/>
    </row>
    <row r="338" spans="15:17" s="387" customFormat="1" ht="21" customHeight="1">
      <c r="O338" s="441"/>
      <c r="P338" s="441"/>
      <c r="Q338" s="441"/>
    </row>
    <row r="339" spans="15:17" s="387" customFormat="1" ht="21" customHeight="1">
      <c r="O339" s="441"/>
      <c r="P339" s="441"/>
      <c r="Q339" s="441"/>
    </row>
    <row r="340" spans="15:17" s="387" customFormat="1" ht="21" customHeight="1">
      <c r="O340" s="441"/>
      <c r="P340" s="441"/>
      <c r="Q340" s="441"/>
    </row>
    <row r="341" spans="15:17" s="387" customFormat="1" ht="21" customHeight="1">
      <c r="O341" s="441"/>
      <c r="P341" s="441"/>
      <c r="Q341" s="441"/>
    </row>
    <row r="342" spans="15:17" s="387" customFormat="1" ht="21" customHeight="1">
      <c r="O342" s="441"/>
      <c r="P342" s="441"/>
      <c r="Q342" s="441"/>
    </row>
    <row r="343" spans="15:17" s="387" customFormat="1" ht="21" customHeight="1">
      <c r="O343" s="441"/>
      <c r="P343" s="441"/>
      <c r="Q343" s="441"/>
    </row>
    <row r="344" spans="15:17" s="387" customFormat="1" ht="21" customHeight="1">
      <c r="O344" s="441"/>
      <c r="P344" s="441"/>
      <c r="Q344" s="441"/>
    </row>
    <row r="345" spans="15:17" s="387" customFormat="1" ht="21" customHeight="1">
      <c r="O345" s="441"/>
      <c r="P345" s="441"/>
      <c r="Q345" s="441"/>
    </row>
    <row r="346" spans="15:17" s="387" customFormat="1" ht="21" customHeight="1">
      <c r="O346" s="441"/>
      <c r="P346" s="441"/>
      <c r="Q346" s="441"/>
    </row>
    <row r="347" spans="15:17" s="387" customFormat="1" ht="21" customHeight="1">
      <c r="O347" s="441"/>
      <c r="P347" s="441"/>
      <c r="Q347" s="441"/>
    </row>
    <row r="348" spans="15:17" s="387" customFormat="1" ht="21" customHeight="1">
      <c r="O348" s="441"/>
      <c r="P348" s="441"/>
      <c r="Q348" s="441"/>
    </row>
    <row r="349" spans="15:17" s="387" customFormat="1" ht="21" customHeight="1">
      <c r="O349" s="441"/>
      <c r="P349" s="441"/>
      <c r="Q349" s="441"/>
    </row>
    <row r="350" spans="15:17" s="387" customFormat="1" ht="21" customHeight="1">
      <c r="O350" s="441"/>
      <c r="P350" s="441"/>
      <c r="Q350" s="441"/>
    </row>
    <row r="351" spans="15:17" s="387" customFormat="1" ht="21" customHeight="1">
      <c r="O351" s="441"/>
      <c r="P351" s="441"/>
      <c r="Q351" s="441"/>
    </row>
    <row r="352" spans="15:17" s="387" customFormat="1" ht="21" customHeight="1">
      <c r="O352" s="441"/>
      <c r="P352" s="441"/>
      <c r="Q352" s="441"/>
    </row>
    <row r="353" spans="15:17" s="387" customFormat="1" ht="21" customHeight="1">
      <c r="O353" s="441"/>
      <c r="P353" s="441"/>
      <c r="Q353" s="441"/>
    </row>
    <row r="354" spans="15:17" s="387" customFormat="1" ht="21" customHeight="1">
      <c r="O354" s="441"/>
      <c r="P354" s="441"/>
      <c r="Q354" s="441"/>
    </row>
    <row r="355" spans="15:17" s="387" customFormat="1" ht="21" customHeight="1">
      <c r="O355" s="441"/>
      <c r="P355" s="441"/>
      <c r="Q355" s="441"/>
    </row>
    <row r="356" spans="15:17" s="387" customFormat="1" ht="21" customHeight="1">
      <c r="O356" s="441"/>
      <c r="P356" s="441"/>
      <c r="Q356" s="441"/>
    </row>
    <row r="357" spans="15:17" s="387" customFormat="1" ht="21" customHeight="1">
      <c r="O357" s="441"/>
      <c r="P357" s="441"/>
      <c r="Q357" s="441"/>
    </row>
    <row r="358" spans="15:17" s="387" customFormat="1" ht="21" customHeight="1">
      <c r="O358" s="441"/>
      <c r="P358" s="441"/>
      <c r="Q358" s="441"/>
    </row>
    <row r="359" spans="15:17" s="387" customFormat="1" ht="21" customHeight="1">
      <c r="O359" s="441"/>
      <c r="P359" s="441"/>
      <c r="Q359" s="441"/>
    </row>
    <row r="360" spans="15:17" s="387" customFormat="1" ht="21" customHeight="1">
      <c r="O360" s="441"/>
      <c r="P360" s="441"/>
      <c r="Q360" s="441"/>
    </row>
    <row r="361" spans="15:17" s="387" customFormat="1" ht="21" customHeight="1">
      <c r="O361" s="441"/>
      <c r="P361" s="441"/>
      <c r="Q361" s="441"/>
    </row>
    <row r="362" spans="15:17" s="387" customFormat="1" ht="21" customHeight="1">
      <c r="O362" s="441"/>
      <c r="P362" s="441"/>
      <c r="Q362" s="441"/>
    </row>
    <row r="363" spans="15:17" s="387" customFormat="1" ht="21" customHeight="1">
      <c r="O363" s="441"/>
      <c r="P363" s="441"/>
      <c r="Q363" s="441"/>
    </row>
    <row r="364" spans="15:17" s="387" customFormat="1" ht="21" customHeight="1">
      <c r="O364" s="441"/>
      <c r="P364" s="441"/>
      <c r="Q364" s="441"/>
    </row>
    <row r="365" spans="15:17" s="387" customFormat="1" ht="21" customHeight="1">
      <c r="O365" s="441"/>
      <c r="P365" s="441"/>
      <c r="Q365" s="441"/>
    </row>
    <row r="366" spans="15:17" s="387" customFormat="1" ht="21" customHeight="1">
      <c r="O366" s="441"/>
      <c r="P366" s="441"/>
      <c r="Q366" s="441"/>
    </row>
    <row r="367" spans="15:17" s="387" customFormat="1" ht="21" customHeight="1">
      <c r="O367" s="441"/>
      <c r="P367" s="441"/>
      <c r="Q367" s="441"/>
    </row>
    <row r="368" spans="15:17" s="387" customFormat="1" ht="21" customHeight="1">
      <c r="O368" s="441"/>
      <c r="P368" s="441"/>
      <c r="Q368" s="441"/>
    </row>
    <row r="369" spans="15:17" s="387" customFormat="1" ht="21" customHeight="1">
      <c r="O369" s="441"/>
      <c r="P369" s="441"/>
      <c r="Q369" s="441"/>
    </row>
    <row r="370" spans="15:17" s="387" customFormat="1" ht="21" customHeight="1">
      <c r="O370" s="441"/>
      <c r="P370" s="441"/>
      <c r="Q370" s="441"/>
    </row>
    <row r="371" spans="15:17" s="387" customFormat="1" ht="21" customHeight="1">
      <c r="O371" s="441"/>
      <c r="P371" s="441"/>
      <c r="Q371" s="441"/>
    </row>
    <row r="372" spans="15:17" s="387" customFormat="1" ht="21" customHeight="1">
      <c r="O372" s="441"/>
      <c r="P372" s="441"/>
      <c r="Q372" s="441"/>
    </row>
    <row r="373" spans="15:17" s="387" customFormat="1" ht="21" customHeight="1">
      <c r="O373" s="441"/>
      <c r="P373" s="441"/>
      <c r="Q373" s="441"/>
    </row>
    <row r="374" spans="15:17" s="387" customFormat="1" ht="21" customHeight="1">
      <c r="O374" s="441"/>
      <c r="P374" s="441"/>
      <c r="Q374" s="441"/>
    </row>
    <row r="375" spans="15:17" s="387" customFormat="1" ht="21" customHeight="1">
      <c r="O375" s="441"/>
      <c r="P375" s="441"/>
      <c r="Q375" s="441"/>
    </row>
    <row r="376" spans="15:17" s="387" customFormat="1" ht="21" customHeight="1">
      <c r="O376" s="441"/>
      <c r="P376" s="441"/>
      <c r="Q376" s="441"/>
    </row>
    <row r="377" spans="15:17" s="387" customFormat="1" ht="21" customHeight="1">
      <c r="O377" s="441"/>
      <c r="P377" s="441"/>
      <c r="Q377" s="441"/>
    </row>
    <row r="378" spans="15:17" s="387" customFormat="1" ht="21" customHeight="1">
      <c r="O378" s="441"/>
      <c r="P378" s="441"/>
      <c r="Q378" s="441"/>
    </row>
    <row r="379" spans="15:17" s="387" customFormat="1" ht="21" customHeight="1">
      <c r="O379" s="441"/>
      <c r="P379" s="441"/>
      <c r="Q379" s="441"/>
    </row>
    <row r="380" spans="15:17" s="387" customFormat="1" ht="21" customHeight="1">
      <c r="O380" s="441"/>
      <c r="P380" s="441"/>
      <c r="Q380" s="441"/>
    </row>
    <row r="381" spans="15:17" s="387" customFormat="1" ht="21" customHeight="1">
      <c r="O381" s="441"/>
      <c r="P381" s="441"/>
      <c r="Q381" s="441"/>
    </row>
    <row r="382" spans="15:17" s="387" customFormat="1" ht="21" customHeight="1">
      <c r="O382" s="441"/>
      <c r="P382" s="441"/>
      <c r="Q382" s="441"/>
    </row>
    <row r="383" spans="15:17" s="387" customFormat="1" ht="21" customHeight="1">
      <c r="O383" s="441"/>
      <c r="P383" s="441"/>
      <c r="Q383" s="441"/>
    </row>
    <row r="384" spans="15:17" s="387" customFormat="1" ht="21" customHeight="1">
      <c r="O384" s="441"/>
      <c r="P384" s="441"/>
      <c r="Q384" s="441"/>
    </row>
    <row r="385" spans="15:17" s="387" customFormat="1" ht="21" customHeight="1">
      <c r="O385" s="441"/>
      <c r="P385" s="441"/>
      <c r="Q385" s="441"/>
    </row>
    <row r="386" spans="15:17" s="387" customFormat="1" ht="21" customHeight="1">
      <c r="O386" s="441"/>
      <c r="P386" s="441"/>
      <c r="Q386" s="441"/>
    </row>
    <row r="387" spans="15:17" s="387" customFormat="1" ht="21" customHeight="1">
      <c r="O387" s="441"/>
      <c r="P387" s="441"/>
      <c r="Q387" s="441"/>
    </row>
    <row r="388" spans="15:17" s="387" customFormat="1" ht="21" customHeight="1">
      <c r="O388" s="441"/>
      <c r="P388" s="441"/>
      <c r="Q388" s="441"/>
    </row>
    <row r="389" spans="15:17" s="387" customFormat="1" ht="21" customHeight="1">
      <c r="O389" s="441"/>
      <c r="P389" s="441"/>
      <c r="Q389" s="441"/>
    </row>
    <row r="390" spans="15:17" s="387" customFormat="1" ht="21" customHeight="1">
      <c r="O390" s="441"/>
      <c r="P390" s="441"/>
      <c r="Q390" s="441"/>
    </row>
    <row r="391" spans="15:17" s="387" customFormat="1" ht="21" customHeight="1">
      <c r="O391" s="441"/>
      <c r="P391" s="441"/>
      <c r="Q391" s="441"/>
    </row>
    <row r="392" spans="15:17" s="387" customFormat="1" ht="21" customHeight="1">
      <c r="O392" s="441"/>
      <c r="P392" s="441"/>
      <c r="Q392" s="441"/>
    </row>
    <row r="393" spans="15:17" s="387" customFormat="1" ht="21" customHeight="1">
      <c r="O393" s="441"/>
      <c r="P393" s="441"/>
      <c r="Q393" s="441"/>
    </row>
    <row r="394" spans="15:17" s="387" customFormat="1" ht="21" customHeight="1">
      <c r="O394" s="441"/>
      <c r="P394" s="441"/>
      <c r="Q394" s="441"/>
    </row>
    <row r="395" spans="15:17" s="387" customFormat="1" ht="21" customHeight="1">
      <c r="O395" s="441"/>
      <c r="P395" s="441"/>
      <c r="Q395" s="441"/>
    </row>
    <row r="396" spans="15:17" s="387" customFormat="1" ht="21" customHeight="1">
      <c r="O396" s="441"/>
      <c r="P396" s="441"/>
      <c r="Q396" s="441"/>
    </row>
    <row r="397" spans="15:17" s="387" customFormat="1" ht="21" customHeight="1">
      <c r="O397" s="441"/>
      <c r="P397" s="441"/>
      <c r="Q397" s="441"/>
    </row>
    <row r="398" spans="15:17" s="387" customFormat="1" ht="21" customHeight="1">
      <c r="O398" s="441"/>
      <c r="P398" s="441"/>
      <c r="Q398" s="441"/>
    </row>
    <row r="399" spans="15:17" s="387" customFormat="1" ht="21" customHeight="1">
      <c r="O399" s="441"/>
      <c r="P399" s="441"/>
      <c r="Q399" s="441"/>
    </row>
    <row r="400" spans="15:17" s="387" customFormat="1" ht="21" customHeight="1">
      <c r="O400" s="441"/>
      <c r="P400" s="441"/>
      <c r="Q400" s="441"/>
    </row>
    <row r="401" spans="15:17" s="387" customFormat="1" ht="21" customHeight="1">
      <c r="O401" s="441"/>
      <c r="P401" s="441"/>
      <c r="Q401" s="441"/>
    </row>
    <row r="402" spans="15:17" s="387" customFormat="1" ht="21" customHeight="1">
      <c r="O402" s="441"/>
      <c r="P402" s="441"/>
      <c r="Q402" s="441"/>
    </row>
    <row r="403" spans="15:17" s="387" customFormat="1" ht="21" customHeight="1">
      <c r="O403" s="441"/>
      <c r="P403" s="441"/>
      <c r="Q403" s="441"/>
    </row>
    <row r="404" spans="15:17" s="387" customFormat="1" ht="21" customHeight="1">
      <c r="O404" s="441"/>
      <c r="P404" s="441"/>
      <c r="Q404" s="441"/>
    </row>
    <row r="405" spans="15:17" s="387" customFormat="1" ht="21" customHeight="1">
      <c r="O405" s="441"/>
      <c r="P405" s="441"/>
      <c r="Q405" s="441"/>
    </row>
    <row r="406" spans="15:17" s="387" customFormat="1" ht="21" customHeight="1">
      <c r="O406" s="441"/>
      <c r="P406" s="441"/>
      <c r="Q406" s="441"/>
    </row>
    <row r="407" spans="15:17" s="387" customFormat="1" ht="21" customHeight="1">
      <c r="O407" s="441"/>
      <c r="P407" s="441"/>
      <c r="Q407" s="441"/>
    </row>
    <row r="408" spans="15:17" s="387" customFormat="1" ht="21" customHeight="1">
      <c r="O408" s="441"/>
      <c r="P408" s="441"/>
      <c r="Q408" s="441"/>
    </row>
    <row r="409" spans="15:17" s="387" customFormat="1" ht="21" customHeight="1">
      <c r="O409" s="441"/>
      <c r="P409" s="441"/>
      <c r="Q409" s="441"/>
    </row>
    <row r="410" spans="15:17" s="387" customFormat="1" ht="21" customHeight="1">
      <c r="O410" s="441"/>
      <c r="P410" s="441"/>
      <c r="Q410" s="441"/>
    </row>
    <row r="411" spans="15:17" s="387" customFormat="1" ht="21" customHeight="1">
      <c r="O411" s="441"/>
      <c r="P411" s="441"/>
      <c r="Q411" s="441"/>
    </row>
    <row r="412" spans="15:17" s="387" customFormat="1" ht="21" customHeight="1">
      <c r="O412" s="441"/>
      <c r="P412" s="441"/>
      <c r="Q412" s="441"/>
    </row>
    <row r="413" spans="15:17" s="387" customFormat="1" ht="21" customHeight="1">
      <c r="O413" s="441"/>
      <c r="P413" s="441"/>
      <c r="Q413" s="441"/>
    </row>
    <row r="414" spans="15:17" s="387" customFormat="1" ht="21" customHeight="1">
      <c r="O414" s="441"/>
      <c r="P414" s="441"/>
      <c r="Q414" s="441"/>
    </row>
    <row r="415" spans="15:17" s="387" customFormat="1" ht="21" customHeight="1">
      <c r="O415" s="441"/>
      <c r="P415" s="441"/>
      <c r="Q415" s="441"/>
    </row>
    <row r="416" spans="15:17" s="387" customFormat="1" ht="21" customHeight="1">
      <c r="O416" s="441"/>
      <c r="P416" s="441"/>
      <c r="Q416" s="441"/>
    </row>
    <row r="417" spans="15:17" s="387" customFormat="1" ht="21" customHeight="1">
      <c r="O417" s="441"/>
      <c r="P417" s="441"/>
      <c r="Q417" s="441"/>
    </row>
    <row r="418" spans="15:17" s="387" customFormat="1" ht="21" customHeight="1">
      <c r="O418" s="441"/>
      <c r="P418" s="441"/>
      <c r="Q418" s="441"/>
    </row>
    <row r="419" spans="15:17" s="387" customFormat="1" ht="21" customHeight="1">
      <c r="O419" s="441"/>
      <c r="P419" s="441"/>
      <c r="Q419" s="441"/>
    </row>
    <row r="420" spans="15:17" s="387" customFormat="1" ht="21" customHeight="1">
      <c r="O420" s="441"/>
      <c r="P420" s="441"/>
      <c r="Q420" s="441"/>
    </row>
    <row r="421" spans="15:17" s="387" customFormat="1" ht="21" customHeight="1">
      <c r="O421" s="441"/>
      <c r="P421" s="441"/>
      <c r="Q421" s="441"/>
    </row>
    <row r="422" spans="15:17" s="387" customFormat="1" ht="21" customHeight="1">
      <c r="O422" s="441"/>
      <c r="P422" s="441"/>
      <c r="Q422" s="441"/>
    </row>
    <row r="423" spans="15:17" s="387" customFormat="1" ht="21" customHeight="1">
      <c r="O423" s="441"/>
      <c r="P423" s="441"/>
      <c r="Q423" s="441"/>
    </row>
    <row r="424" spans="15:17" s="387" customFormat="1" ht="21" customHeight="1">
      <c r="O424" s="441"/>
      <c r="P424" s="441"/>
      <c r="Q424" s="441"/>
    </row>
    <row r="425" spans="15:17" s="387" customFormat="1" ht="21" customHeight="1">
      <c r="O425" s="441"/>
      <c r="P425" s="441"/>
      <c r="Q425" s="441"/>
    </row>
    <row r="426" spans="15:17" s="387" customFormat="1" ht="21" customHeight="1">
      <c r="O426" s="441"/>
      <c r="P426" s="441"/>
      <c r="Q426" s="441"/>
    </row>
    <row r="427" spans="15:17" s="387" customFormat="1" ht="21" customHeight="1">
      <c r="O427" s="441"/>
      <c r="P427" s="441"/>
      <c r="Q427" s="441"/>
    </row>
    <row r="428" spans="15:17" s="387" customFormat="1" ht="21" customHeight="1">
      <c r="O428" s="441"/>
      <c r="P428" s="441"/>
      <c r="Q428" s="441"/>
    </row>
    <row r="429" spans="15:17" s="387" customFormat="1" ht="21" customHeight="1">
      <c r="O429" s="441"/>
      <c r="P429" s="441"/>
      <c r="Q429" s="441"/>
    </row>
    <row r="430" spans="15:17" s="387" customFormat="1" ht="21" customHeight="1">
      <c r="O430" s="441"/>
      <c r="P430" s="441"/>
      <c r="Q430" s="441"/>
    </row>
    <row r="431" spans="15:17" s="387" customFormat="1" ht="21" customHeight="1">
      <c r="O431" s="441"/>
      <c r="P431" s="441"/>
      <c r="Q431" s="441"/>
    </row>
    <row r="432" spans="15:17" s="387" customFormat="1" ht="21" customHeight="1">
      <c r="O432" s="441"/>
      <c r="P432" s="441"/>
      <c r="Q432" s="441"/>
    </row>
    <row r="433" spans="15:17" s="387" customFormat="1" ht="21" customHeight="1">
      <c r="O433" s="441"/>
      <c r="P433" s="441"/>
      <c r="Q433" s="441"/>
    </row>
    <row r="434" spans="15:17" s="387" customFormat="1" ht="21" customHeight="1">
      <c r="O434" s="441"/>
      <c r="P434" s="441"/>
      <c r="Q434" s="441"/>
    </row>
    <row r="435" spans="15:17" s="387" customFormat="1" ht="21" customHeight="1">
      <c r="O435" s="441"/>
      <c r="P435" s="441"/>
      <c r="Q435" s="441"/>
    </row>
    <row r="436" spans="15:17" s="387" customFormat="1" ht="21" customHeight="1">
      <c r="O436" s="441"/>
      <c r="P436" s="441"/>
      <c r="Q436" s="441"/>
    </row>
    <row r="437" spans="15:17" s="387" customFormat="1" ht="21" customHeight="1">
      <c r="O437" s="441"/>
      <c r="P437" s="441"/>
      <c r="Q437" s="441"/>
    </row>
    <row r="438" spans="15:17" s="387" customFormat="1" ht="21" customHeight="1">
      <c r="O438" s="441"/>
      <c r="P438" s="441"/>
      <c r="Q438" s="441"/>
    </row>
    <row r="439" spans="15:17" s="387" customFormat="1" ht="21" customHeight="1">
      <c r="O439" s="441"/>
      <c r="P439" s="441"/>
      <c r="Q439" s="441"/>
    </row>
    <row r="440" spans="15:17" s="387" customFormat="1" ht="21" customHeight="1">
      <c r="O440" s="441"/>
      <c r="P440" s="441"/>
      <c r="Q440" s="441"/>
    </row>
    <row r="441" spans="15:17" s="387" customFormat="1" ht="21" customHeight="1">
      <c r="O441" s="441"/>
      <c r="P441" s="441"/>
      <c r="Q441" s="441"/>
    </row>
    <row r="442" spans="15:17" s="387" customFormat="1" ht="21" customHeight="1">
      <c r="O442" s="441"/>
      <c r="P442" s="441"/>
      <c r="Q442" s="441"/>
    </row>
    <row r="443" spans="15:17" s="387" customFormat="1" ht="21" customHeight="1">
      <c r="O443" s="441"/>
      <c r="P443" s="441"/>
      <c r="Q443" s="441"/>
    </row>
    <row r="444" spans="15:17" s="387" customFormat="1" ht="21" customHeight="1">
      <c r="O444" s="441"/>
      <c r="P444" s="441"/>
      <c r="Q444" s="441"/>
    </row>
    <row r="445" spans="15:17" s="387" customFormat="1" ht="21" customHeight="1">
      <c r="O445" s="441"/>
      <c r="P445" s="441"/>
      <c r="Q445" s="441"/>
    </row>
    <row r="446" spans="15:17" s="387" customFormat="1" ht="21" customHeight="1">
      <c r="O446" s="441"/>
      <c r="P446" s="441"/>
      <c r="Q446" s="441"/>
    </row>
    <row r="447" spans="15:17" s="387" customFormat="1" ht="21" customHeight="1">
      <c r="O447" s="441"/>
      <c r="P447" s="441"/>
      <c r="Q447" s="441"/>
    </row>
    <row r="448" spans="15:17" s="387" customFormat="1" ht="21" customHeight="1">
      <c r="O448" s="441"/>
      <c r="P448" s="441"/>
      <c r="Q448" s="441"/>
    </row>
    <row r="449" spans="15:17" s="387" customFormat="1" ht="21" customHeight="1">
      <c r="O449" s="441"/>
      <c r="P449" s="441"/>
      <c r="Q449" s="441"/>
    </row>
    <row r="450" spans="15:17" s="387" customFormat="1" ht="21" customHeight="1">
      <c r="O450" s="441"/>
      <c r="P450" s="441"/>
      <c r="Q450" s="441"/>
    </row>
    <row r="451" spans="15:17" s="387" customFormat="1" ht="21" customHeight="1">
      <c r="O451" s="441"/>
      <c r="P451" s="441"/>
      <c r="Q451" s="441"/>
    </row>
    <row r="452" spans="15:17" s="387" customFormat="1" ht="21" customHeight="1">
      <c r="O452" s="441"/>
      <c r="P452" s="441"/>
      <c r="Q452" s="441"/>
    </row>
    <row r="453" spans="15:17" s="387" customFormat="1" ht="21" customHeight="1">
      <c r="O453" s="441"/>
      <c r="P453" s="441"/>
      <c r="Q453" s="441"/>
    </row>
    <row r="454" spans="15:17" s="387" customFormat="1" ht="21" customHeight="1">
      <c r="O454" s="441"/>
      <c r="P454" s="441"/>
      <c r="Q454" s="441"/>
    </row>
    <row r="455" spans="15:17" s="387" customFormat="1" ht="21" customHeight="1">
      <c r="O455" s="441"/>
      <c r="P455" s="441"/>
      <c r="Q455" s="441"/>
    </row>
    <row r="456" spans="15:17" s="387" customFormat="1" ht="21" customHeight="1">
      <c r="O456" s="441"/>
      <c r="P456" s="441"/>
      <c r="Q456" s="441"/>
    </row>
    <row r="457" spans="15:17" s="387" customFormat="1" ht="21" customHeight="1">
      <c r="O457" s="441"/>
      <c r="P457" s="441"/>
      <c r="Q457" s="441"/>
    </row>
    <row r="458" spans="15:17" s="387" customFormat="1" ht="21" customHeight="1">
      <c r="O458" s="441"/>
      <c r="P458" s="441"/>
      <c r="Q458" s="441"/>
    </row>
    <row r="459" spans="15:17" s="387" customFormat="1" ht="21" customHeight="1">
      <c r="O459" s="441"/>
      <c r="P459" s="441"/>
      <c r="Q459" s="441"/>
    </row>
    <row r="460" spans="15:17" s="387" customFormat="1" ht="21" customHeight="1">
      <c r="O460" s="441"/>
      <c r="P460" s="441"/>
      <c r="Q460" s="441"/>
    </row>
    <row r="461" spans="15:17" s="387" customFormat="1" ht="21" customHeight="1">
      <c r="O461" s="441"/>
      <c r="P461" s="441"/>
      <c r="Q461" s="441"/>
    </row>
    <row r="462" spans="15:17" s="387" customFormat="1" ht="21" customHeight="1">
      <c r="O462" s="441"/>
      <c r="P462" s="441"/>
      <c r="Q462" s="441"/>
    </row>
    <row r="463" spans="15:17" s="387" customFormat="1" ht="21" customHeight="1">
      <c r="O463" s="441"/>
      <c r="P463" s="441"/>
      <c r="Q463" s="441"/>
    </row>
    <row r="464" spans="15:17" s="387" customFormat="1" ht="21" customHeight="1">
      <c r="O464" s="441"/>
      <c r="P464" s="441"/>
      <c r="Q464" s="441"/>
    </row>
    <row r="465" spans="15:17" s="387" customFormat="1" ht="21" customHeight="1">
      <c r="O465" s="441"/>
      <c r="P465" s="441"/>
      <c r="Q465" s="441"/>
    </row>
    <row r="466" spans="15:17" s="387" customFormat="1" ht="21" customHeight="1">
      <c r="O466" s="441"/>
      <c r="P466" s="441"/>
      <c r="Q466" s="441"/>
    </row>
    <row r="467" spans="15:17" s="387" customFormat="1" ht="21" customHeight="1">
      <c r="O467" s="441"/>
      <c r="P467" s="441"/>
      <c r="Q467" s="441"/>
    </row>
    <row r="468" spans="15:17" s="387" customFormat="1" ht="21" customHeight="1">
      <c r="O468" s="441"/>
      <c r="P468" s="441"/>
      <c r="Q468" s="441"/>
    </row>
    <row r="469" spans="15:17" s="387" customFormat="1" ht="21" customHeight="1">
      <c r="O469" s="441"/>
      <c r="P469" s="441"/>
      <c r="Q469" s="441"/>
    </row>
    <row r="470" spans="15:17" s="387" customFormat="1" ht="21" customHeight="1">
      <c r="O470" s="441"/>
      <c r="P470" s="441"/>
      <c r="Q470" s="441"/>
    </row>
    <row r="471" spans="15:17" s="387" customFormat="1" ht="21" customHeight="1">
      <c r="O471" s="441"/>
      <c r="P471" s="441"/>
      <c r="Q471" s="441"/>
    </row>
    <row r="472" spans="15:17" s="387" customFormat="1" ht="21" customHeight="1">
      <c r="O472" s="441"/>
      <c r="P472" s="441"/>
      <c r="Q472" s="441"/>
    </row>
    <row r="473" spans="15:17" s="387" customFormat="1" ht="21" customHeight="1">
      <c r="O473" s="441"/>
      <c r="P473" s="441"/>
      <c r="Q473" s="441"/>
    </row>
    <row r="474" spans="15:17" s="387" customFormat="1" ht="21" customHeight="1">
      <c r="O474" s="441"/>
      <c r="P474" s="441"/>
      <c r="Q474" s="441"/>
    </row>
    <row r="475" spans="15:17" s="387" customFormat="1" ht="21" customHeight="1">
      <c r="O475" s="441"/>
      <c r="P475" s="441"/>
      <c r="Q475" s="441"/>
    </row>
    <row r="476" spans="15:17" s="387" customFormat="1" ht="21" customHeight="1">
      <c r="O476" s="441"/>
      <c r="P476" s="441"/>
      <c r="Q476" s="441"/>
    </row>
    <row r="477" spans="15:17" s="387" customFormat="1" ht="21" customHeight="1">
      <c r="O477" s="441"/>
      <c r="P477" s="441"/>
      <c r="Q477" s="441"/>
    </row>
    <row r="478" spans="15:17" s="387" customFormat="1" ht="21" customHeight="1">
      <c r="O478" s="441"/>
      <c r="P478" s="441"/>
      <c r="Q478" s="441"/>
    </row>
    <row r="479" spans="15:17" s="387" customFormat="1" ht="21" customHeight="1">
      <c r="O479" s="441"/>
      <c r="P479" s="441"/>
      <c r="Q479" s="441"/>
    </row>
    <row r="480" spans="15:17" s="387" customFormat="1" ht="21" customHeight="1">
      <c r="O480" s="441"/>
      <c r="P480" s="441"/>
      <c r="Q480" s="441"/>
    </row>
    <row r="481" spans="15:17" s="387" customFormat="1" ht="21" customHeight="1">
      <c r="O481" s="441"/>
      <c r="P481" s="441"/>
      <c r="Q481" s="441"/>
    </row>
    <row r="482" spans="15:17" s="387" customFormat="1" ht="21" customHeight="1">
      <c r="O482" s="441"/>
      <c r="P482" s="441"/>
      <c r="Q482" s="441"/>
    </row>
    <row r="483" spans="15:17" s="387" customFormat="1" ht="21" customHeight="1">
      <c r="O483" s="441"/>
      <c r="P483" s="441"/>
      <c r="Q483" s="441"/>
    </row>
    <row r="484" spans="15:17" s="387" customFormat="1" ht="21" customHeight="1">
      <c r="O484" s="441"/>
      <c r="P484" s="441"/>
      <c r="Q484" s="441"/>
    </row>
    <row r="485" spans="15:17" s="387" customFormat="1" ht="21" customHeight="1">
      <c r="O485" s="441"/>
      <c r="P485" s="441"/>
      <c r="Q485" s="441"/>
    </row>
    <row r="486" spans="15:17" s="387" customFormat="1" ht="21" customHeight="1">
      <c r="O486" s="441"/>
      <c r="P486" s="441"/>
      <c r="Q486" s="441"/>
    </row>
    <row r="487" spans="15:17" s="387" customFormat="1" ht="21" customHeight="1">
      <c r="O487" s="441"/>
      <c r="P487" s="441"/>
      <c r="Q487" s="441"/>
    </row>
    <row r="488" spans="15:17" s="387" customFormat="1" ht="21" customHeight="1">
      <c r="O488" s="441"/>
      <c r="P488" s="441"/>
      <c r="Q488" s="441"/>
    </row>
    <row r="489" spans="15:17" s="387" customFormat="1" ht="21" customHeight="1">
      <c r="O489" s="441"/>
      <c r="P489" s="441"/>
      <c r="Q489" s="441"/>
    </row>
    <row r="490" spans="15:17" s="387" customFormat="1" ht="21" customHeight="1">
      <c r="O490" s="441"/>
      <c r="P490" s="441"/>
      <c r="Q490" s="441"/>
    </row>
    <row r="491" spans="15:17" s="387" customFormat="1" ht="21" customHeight="1">
      <c r="O491" s="441"/>
      <c r="P491" s="441"/>
      <c r="Q491" s="441"/>
    </row>
    <row r="492" spans="15:17" s="387" customFormat="1" ht="21" customHeight="1">
      <c r="O492" s="441"/>
      <c r="P492" s="441"/>
      <c r="Q492" s="441"/>
    </row>
    <row r="493" spans="15:17" s="387" customFormat="1" ht="21" customHeight="1">
      <c r="O493" s="441"/>
      <c r="P493" s="441"/>
      <c r="Q493" s="441"/>
    </row>
    <row r="494" spans="15:17" s="387" customFormat="1" ht="21" customHeight="1">
      <c r="O494" s="441"/>
      <c r="P494" s="441"/>
      <c r="Q494" s="441"/>
    </row>
    <row r="495" spans="15:17" s="387" customFormat="1" ht="21" customHeight="1">
      <c r="O495" s="441"/>
      <c r="P495" s="441"/>
      <c r="Q495" s="441"/>
    </row>
    <row r="496" spans="15:17" s="387" customFormat="1" ht="21" customHeight="1">
      <c r="O496" s="441"/>
      <c r="P496" s="441"/>
      <c r="Q496" s="441"/>
    </row>
    <row r="497" spans="15:17" s="387" customFormat="1" ht="21" customHeight="1">
      <c r="O497" s="441"/>
      <c r="P497" s="441"/>
      <c r="Q497" s="441"/>
    </row>
    <row r="498" spans="15:17" s="387" customFormat="1" ht="21" customHeight="1">
      <c r="O498" s="441"/>
      <c r="P498" s="441"/>
      <c r="Q498" s="441"/>
    </row>
    <row r="499" spans="15:17" s="387" customFormat="1" ht="21" customHeight="1">
      <c r="O499" s="441"/>
      <c r="P499" s="441"/>
      <c r="Q499" s="441"/>
    </row>
    <row r="500" spans="15:17" s="387" customFormat="1" ht="21" customHeight="1">
      <c r="O500" s="441"/>
      <c r="P500" s="441"/>
      <c r="Q500" s="441"/>
    </row>
    <row r="501" spans="15:17" s="387" customFormat="1" ht="21" customHeight="1">
      <c r="O501" s="441"/>
      <c r="P501" s="441"/>
      <c r="Q501" s="441"/>
    </row>
    <row r="502" spans="15:17" s="387" customFormat="1" ht="21" customHeight="1">
      <c r="O502" s="441"/>
      <c r="P502" s="441"/>
      <c r="Q502" s="441"/>
    </row>
    <row r="503" spans="15:17" s="387" customFormat="1" ht="21" customHeight="1">
      <c r="O503" s="441"/>
      <c r="P503" s="441"/>
      <c r="Q503" s="441"/>
    </row>
    <row r="504" spans="15:17" s="387" customFormat="1" ht="21" customHeight="1">
      <c r="O504" s="441"/>
      <c r="P504" s="441"/>
      <c r="Q504" s="441"/>
    </row>
    <row r="505" spans="15:17" s="387" customFormat="1" ht="21" customHeight="1">
      <c r="O505" s="441"/>
      <c r="P505" s="441"/>
      <c r="Q505" s="441"/>
    </row>
    <row r="506" spans="15:17" s="387" customFormat="1" ht="21" customHeight="1">
      <c r="O506" s="441"/>
      <c r="P506" s="441"/>
      <c r="Q506" s="441"/>
    </row>
    <row r="507" spans="15:17" s="387" customFormat="1" ht="21" customHeight="1">
      <c r="O507" s="441"/>
      <c r="P507" s="441"/>
      <c r="Q507" s="441"/>
    </row>
    <row r="508" spans="15:17" s="387" customFormat="1" ht="21" customHeight="1">
      <c r="O508" s="441"/>
      <c r="P508" s="441"/>
      <c r="Q508" s="441"/>
    </row>
    <row r="509" spans="15:17" s="387" customFormat="1" ht="21" customHeight="1">
      <c r="O509" s="441"/>
      <c r="P509" s="441"/>
      <c r="Q509" s="441"/>
    </row>
    <row r="510" spans="15:17" s="387" customFormat="1" ht="21" customHeight="1">
      <c r="O510" s="441"/>
      <c r="P510" s="441"/>
      <c r="Q510" s="441"/>
    </row>
    <row r="511" spans="15:17" s="387" customFormat="1" ht="21" customHeight="1">
      <c r="O511" s="441"/>
      <c r="P511" s="441"/>
      <c r="Q511" s="441"/>
    </row>
    <row r="512" spans="15:17" s="387" customFormat="1" ht="21" customHeight="1">
      <c r="O512" s="441"/>
      <c r="P512" s="441"/>
      <c r="Q512" s="441"/>
    </row>
    <row r="513" spans="15:17" s="387" customFormat="1" ht="21" customHeight="1">
      <c r="O513" s="441"/>
      <c r="P513" s="441"/>
      <c r="Q513" s="441"/>
    </row>
    <row r="514" spans="15:17" s="387" customFormat="1" ht="21" customHeight="1">
      <c r="O514" s="441"/>
      <c r="P514" s="441"/>
      <c r="Q514" s="441"/>
    </row>
    <row r="515" spans="15:17" s="387" customFormat="1" ht="21" customHeight="1">
      <c r="O515" s="441"/>
      <c r="P515" s="441"/>
      <c r="Q515" s="441"/>
    </row>
    <row r="516" spans="15:17" s="387" customFormat="1" ht="21" customHeight="1">
      <c r="O516" s="441"/>
      <c r="P516" s="441"/>
      <c r="Q516" s="441"/>
    </row>
    <row r="517" spans="15:17" s="387" customFormat="1" ht="21" customHeight="1">
      <c r="O517" s="441"/>
      <c r="P517" s="441"/>
      <c r="Q517" s="441"/>
    </row>
    <row r="518" spans="15:17" s="387" customFormat="1" ht="21" customHeight="1">
      <c r="O518" s="441"/>
      <c r="P518" s="441"/>
      <c r="Q518" s="441"/>
    </row>
    <row r="519" spans="15:17" s="387" customFormat="1" ht="21" customHeight="1">
      <c r="O519" s="441"/>
      <c r="P519" s="441"/>
      <c r="Q519" s="441"/>
    </row>
    <row r="520" spans="15:17" s="387" customFormat="1" ht="21" customHeight="1">
      <c r="O520" s="441"/>
      <c r="P520" s="441"/>
      <c r="Q520" s="441"/>
    </row>
    <row r="521" spans="15:17" s="387" customFormat="1" ht="21" customHeight="1">
      <c r="O521" s="441"/>
      <c r="P521" s="441"/>
      <c r="Q521" s="441"/>
    </row>
    <row r="522" spans="15:17" s="387" customFormat="1" ht="21" customHeight="1">
      <c r="O522" s="441"/>
      <c r="P522" s="441"/>
      <c r="Q522" s="441"/>
    </row>
    <row r="523" spans="15:17" s="387" customFormat="1" ht="21" customHeight="1">
      <c r="O523" s="441"/>
      <c r="P523" s="441"/>
      <c r="Q523" s="441"/>
    </row>
    <row r="524" spans="15:17" s="387" customFormat="1" ht="21" customHeight="1">
      <c r="O524" s="441"/>
      <c r="P524" s="441"/>
      <c r="Q524" s="441"/>
    </row>
    <row r="525" spans="15:17" s="387" customFormat="1" ht="21" customHeight="1">
      <c r="O525" s="441"/>
      <c r="P525" s="441"/>
      <c r="Q525" s="441"/>
    </row>
    <row r="526" spans="15:17" s="387" customFormat="1" ht="21" customHeight="1">
      <c r="O526" s="441"/>
      <c r="P526" s="441"/>
      <c r="Q526" s="441"/>
    </row>
    <row r="527" spans="15:17" s="387" customFormat="1" ht="21" customHeight="1">
      <c r="O527" s="441"/>
      <c r="P527" s="441"/>
      <c r="Q527" s="441"/>
    </row>
    <row r="528" spans="15:17" s="387" customFormat="1" ht="21" customHeight="1">
      <c r="O528" s="441"/>
      <c r="P528" s="441"/>
      <c r="Q528" s="441"/>
    </row>
    <row r="529" spans="15:17" s="387" customFormat="1" ht="21" customHeight="1">
      <c r="O529" s="441"/>
      <c r="P529" s="441"/>
      <c r="Q529" s="441"/>
    </row>
    <row r="530" spans="15:17" s="387" customFormat="1" ht="21" customHeight="1">
      <c r="O530" s="441"/>
      <c r="P530" s="441"/>
      <c r="Q530" s="441"/>
    </row>
    <row r="531" spans="15:17" s="387" customFormat="1" ht="21" customHeight="1">
      <c r="O531" s="441"/>
      <c r="P531" s="441"/>
      <c r="Q531" s="441"/>
    </row>
    <row r="532" spans="15:17" s="387" customFormat="1" ht="21" customHeight="1">
      <c r="O532" s="441"/>
      <c r="P532" s="441"/>
      <c r="Q532" s="441"/>
    </row>
    <row r="533" spans="15:17" s="387" customFormat="1" ht="21" customHeight="1">
      <c r="O533" s="441"/>
      <c r="P533" s="441"/>
      <c r="Q533" s="441"/>
    </row>
    <row r="534" spans="15:17" s="387" customFormat="1" ht="21" customHeight="1">
      <c r="O534" s="441"/>
      <c r="P534" s="441"/>
      <c r="Q534" s="441"/>
    </row>
    <row r="535" spans="15:17" s="387" customFormat="1" ht="21" customHeight="1">
      <c r="O535" s="441"/>
      <c r="P535" s="441"/>
      <c r="Q535" s="441"/>
    </row>
    <row r="536" spans="15:17" s="387" customFormat="1" ht="21" customHeight="1">
      <c r="O536" s="441"/>
      <c r="P536" s="441"/>
      <c r="Q536" s="441"/>
    </row>
    <row r="537" spans="15:17" s="387" customFormat="1" ht="21" customHeight="1">
      <c r="O537" s="441"/>
      <c r="P537" s="441"/>
      <c r="Q537" s="441"/>
    </row>
    <row r="538" spans="15:17" s="387" customFormat="1" ht="21" customHeight="1">
      <c r="O538" s="441"/>
      <c r="P538" s="441"/>
      <c r="Q538" s="441"/>
    </row>
    <row r="539" spans="15:17" s="387" customFormat="1" ht="21" customHeight="1">
      <c r="O539" s="441"/>
      <c r="P539" s="441"/>
      <c r="Q539" s="441"/>
    </row>
    <row r="540" spans="15:17" s="387" customFormat="1" ht="21" customHeight="1">
      <c r="O540" s="441"/>
      <c r="P540" s="441"/>
      <c r="Q540" s="441"/>
    </row>
    <row r="541" spans="15:17" s="387" customFormat="1" ht="21" customHeight="1">
      <c r="O541" s="441"/>
      <c r="P541" s="441"/>
      <c r="Q541" s="441"/>
    </row>
    <row r="542" spans="15:17" s="387" customFormat="1" ht="21" customHeight="1">
      <c r="O542" s="441"/>
      <c r="P542" s="441"/>
      <c r="Q542" s="441"/>
    </row>
    <row r="543" spans="15:17" s="387" customFormat="1" ht="21" customHeight="1">
      <c r="O543" s="441"/>
      <c r="P543" s="441"/>
      <c r="Q543" s="441"/>
    </row>
    <row r="544" spans="15:17" s="387" customFormat="1" ht="21" customHeight="1">
      <c r="O544" s="441"/>
      <c r="P544" s="441"/>
      <c r="Q544" s="441"/>
    </row>
    <row r="545" spans="15:17" s="387" customFormat="1" ht="21" customHeight="1">
      <c r="O545" s="441"/>
      <c r="P545" s="441"/>
      <c r="Q545" s="441"/>
    </row>
    <row r="546" spans="15:17" s="387" customFormat="1" ht="21" customHeight="1">
      <c r="O546" s="441"/>
      <c r="P546" s="441"/>
      <c r="Q546" s="441"/>
    </row>
    <row r="547" spans="15:17" s="387" customFormat="1" ht="21" customHeight="1">
      <c r="O547" s="441"/>
      <c r="P547" s="441"/>
      <c r="Q547" s="441"/>
    </row>
    <row r="548" spans="15:17" s="387" customFormat="1" ht="21" customHeight="1">
      <c r="O548" s="441"/>
      <c r="P548" s="441"/>
      <c r="Q548" s="441"/>
    </row>
    <row r="549" spans="15:17" s="387" customFormat="1" ht="21" customHeight="1">
      <c r="O549" s="441"/>
      <c r="P549" s="441"/>
      <c r="Q549" s="441"/>
    </row>
    <row r="550" spans="15:17" s="387" customFormat="1" ht="21" customHeight="1">
      <c r="O550" s="441"/>
      <c r="P550" s="441"/>
      <c r="Q550" s="441"/>
    </row>
    <row r="551" spans="15:17" s="387" customFormat="1" ht="21" customHeight="1">
      <c r="O551" s="441"/>
      <c r="P551" s="441"/>
      <c r="Q551" s="441"/>
    </row>
    <row r="552" spans="15:17" s="387" customFormat="1" ht="21" customHeight="1">
      <c r="O552" s="441"/>
      <c r="P552" s="441"/>
      <c r="Q552" s="441"/>
    </row>
    <row r="553" spans="15:17" s="387" customFormat="1" ht="21" customHeight="1">
      <c r="O553" s="441"/>
      <c r="P553" s="441"/>
      <c r="Q553" s="441"/>
    </row>
    <row r="554" spans="15:17" s="387" customFormat="1" ht="21" customHeight="1">
      <c r="O554" s="441"/>
      <c r="P554" s="441"/>
      <c r="Q554" s="441"/>
    </row>
    <row r="555" spans="15:17" s="387" customFormat="1" ht="21" customHeight="1">
      <c r="O555" s="441"/>
      <c r="P555" s="441"/>
      <c r="Q555" s="441"/>
    </row>
    <row r="556" spans="15:17" s="387" customFormat="1" ht="21" customHeight="1">
      <c r="O556" s="441"/>
      <c r="P556" s="441"/>
      <c r="Q556" s="441"/>
    </row>
    <row r="557" spans="15:17" s="387" customFormat="1" ht="21" customHeight="1">
      <c r="O557" s="441"/>
      <c r="P557" s="441"/>
      <c r="Q557" s="441"/>
    </row>
    <row r="558" spans="15:17" s="387" customFormat="1" ht="21" customHeight="1">
      <c r="O558" s="441"/>
      <c r="P558" s="441"/>
      <c r="Q558" s="441"/>
    </row>
    <row r="559" spans="15:17" s="387" customFormat="1" ht="21" customHeight="1">
      <c r="O559" s="441"/>
      <c r="P559" s="441"/>
      <c r="Q559" s="441"/>
    </row>
    <row r="560" spans="15:17" s="387" customFormat="1" ht="21" customHeight="1">
      <c r="O560" s="441"/>
      <c r="P560" s="441"/>
      <c r="Q560" s="441"/>
    </row>
    <row r="561" spans="15:17" s="387" customFormat="1" ht="21" customHeight="1">
      <c r="O561" s="441"/>
      <c r="P561" s="441"/>
      <c r="Q561" s="441"/>
    </row>
    <row r="562" spans="15:17" s="387" customFormat="1" ht="21" customHeight="1">
      <c r="O562" s="441"/>
      <c r="P562" s="441"/>
      <c r="Q562" s="441"/>
    </row>
    <row r="563" spans="15:17" s="387" customFormat="1" ht="21" customHeight="1">
      <c r="O563" s="441"/>
      <c r="P563" s="441"/>
      <c r="Q563" s="441"/>
    </row>
    <row r="564" spans="15:17" s="387" customFormat="1" ht="21" customHeight="1">
      <c r="O564" s="441"/>
      <c r="P564" s="441"/>
      <c r="Q564" s="441"/>
    </row>
    <row r="565" spans="15:17" s="387" customFormat="1" ht="21" customHeight="1">
      <c r="O565" s="441"/>
      <c r="P565" s="441"/>
      <c r="Q565" s="441"/>
    </row>
    <row r="566" spans="15:17" s="387" customFormat="1" ht="21" customHeight="1">
      <c r="O566" s="441"/>
      <c r="P566" s="441"/>
      <c r="Q566" s="441"/>
    </row>
    <row r="567" spans="15:17" s="387" customFormat="1" ht="21" customHeight="1">
      <c r="O567" s="441"/>
      <c r="P567" s="441"/>
      <c r="Q567" s="441"/>
    </row>
    <row r="568" spans="15:17" s="387" customFormat="1" ht="21" customHeight="1">
      <c r="O568" s="441"/>
      <c r="P568" s="441"/>
      <c r="Q568" s="441"/>
    </row>
    <row r="569" spans="15:17" s="387" customFormat="1" ht="21" customHeight="1">
      <c r="O569" s="441"/>
      <c r="P569" s="441"/>
      <c r="Q569" s="441"/>
    </row>
    <row r="570" spans="15:17" s="387" customFormat="1" ht="21" customHeight="1">
      <c r="O570" s="441"/>
      <c r="P570" s="441"/>
      <c r="Q570" s="441"/>
    </row>
    <row r="571" spans="15:17" s="387" customFormat="1" ht="21" customHeight="1">
      <c r="O571" s="441"/>
      <c r="P571" s="441"/>
      <c r="Q571" s="441"/>
    </row>
    <row r="572" spans="15:17" s="387" customFormat="1" ht="21" customHeight="1">
      <c r="O572" s="441"/>
      <c r="P572" s="441"/>
      <c r="Q572" s="441"/>
    </row>
    <row r="573" spans="15:17" s="387" customFormat="1" ht="21" customHeight="1">
      <c r="O573" s="441"/>
      <c r="P573" s="441"/>
      <c r="Q573" s="441"/>
    </row>
    <row r="574" spans="15:17" s="387" customFormat="1" ht="21" customHeight="1">
      <c r="O574" s="441"/>
      <c r="P574" s="441"/>
      <c r="Q574" s="441"/>
    </row>
    <row r="575" spans="15:17" s="387" customFormat="1" ht="21" customHeight="1">
      <c r="O575" s="441"/>
      <c r="P575" s="441"/>
      <c r="Q575" s="441"/>
    </row>
    <row r="576" spans="15:17" s="387" customFormat="1" ht="21" customHeight="1">
      <c r="O576" s="441"/>
      <c r="P576" s="441"/>
      <c r="Q576" s="441"/>
    </row>
    <row r="577" spans="15:17" s="387" customFormat="1" ht="21" customHeight="1">
      <c r="O577" s="441"/>
      <c r="P577" s="441"/>
      <c r="Q577" s="441"/>
    </row>
    <row r="578" spans="15:17" s="387" customFormat="1" ht="21" customHeight="1">
      <c r="O578" s="441"/>
      <c r="P578" s="441"/>
      <c r="Q578" s="441"/>
    </row>
    <row r="579" spans="15:17" s="387" customFormat="1" ht="21" customHeight="1">
      <c r="O579" s="441"/>
      <c r="P579" s="441"/>
      <c r="Q579" s="441"/>
    </row>
    <row r="580" spans="15:17" s="387" customFormat="1" ht="21" customHeight="1">
      <c r="O580" s="441"/>
      <c r="P580" s="441"/>
      <c r="Q580" s="441"/>
    </row>
    <row r="581" spans="15:17" s="387" customFormat="1" ht="21" customHeight="1">
      <c r="O581" s="441"/>
      <c r="P581" s="441"/>
      <c r="Q581" s="441"/>
    </row>
    <row r="582" spans="15:17" s="387" customFormat="1" ht="21" customHeight="1">
      <c r="O582" s="441"/>
      <c r="P582" s="441"/>
      <c r="Q582" s="441"/>
    </row>
    <row r="583" spans="15:17" s="387" customFormat="1" ht="21" customHeight="1">
      <c r="O583" s="441"/>
      <c r="P583" s="441"/>
      <c r="Q583" s="441"/>
    </row>
    <row r="584" spans="15:17" s="387" customFormat="1" ht="21" customHeight="1">
      <c r="O584" s="441"/>
      <c r="P584" s="441"/>
      <c r="Q584" s="441"/>
    </row>
    <row r="585" spans="15:17" s="387" customFormat="1" ht="21" customHeight="1">
      <c r="O585" s="441"/>
      <c r="P585" s="441"/>
      <c r="Q585" s="441"/>
    </row>
    <row r="586" spans="15:17" s="387" customFormat="1" ht="21" customHeight="1">
      <c r="O586" s="441"/>
      <c r="P586" s="441"/>
      <c r="Q586" s="441"/>
    </row>
    <row r="587" spans="15:17" s="387" customFormat="1" ht="21" customHeight="1">
      <c r="O587" s="441"/>
      <c r="P587" s="441"/>
      <c r="Q587" s="441"/>
    </row>
    <row r="588" spans="15:17" s="387" customFormat="1" ht="21" customHeight="1">
      <c r="O588" s="441"/>
      <c r="P588" s="441"/>
      <c r="Q588" s="441"/>
    </row>
    <row r="589" spans="15:17" s="387" customFormat="1" ht="21" customHeight="1">
      <c r="O589" s="441"/>
      <c r="P589" s="441"/>
      <c r="Q589" s="441"/>
    </row>
    <row r="590" spans="15:17" s="387" customFormat="1" ht="21" customHeight="1">
      <c r="O590" s="441"/>
      <c r="P590" s="441"/>
      <c r="Q590" s="441"/>
    </row>
    <row r="591" spans="15:17" s="387" customFormat="1" ht="21" customHeight="1">
      <c r="O591" s="441"/>
      <c r="P591" s="441"/>
      <c r="Q591" s="441"/>
    </row>
    <row r="592" spans="15:17" s="387" customFormat="1" ht="21" customHeight="1">
      <c r="O592" s="441"/>
      <c r="P592" s="441"/>
      <c r="Q592" s="441"/>
    </row>
    <row r="593" spans="15:17" s="387" customFormat="1" ht="21" customHeight="1">
      <c r="O593" s="441"/>
      <c r="P593" s="441"/>
      <c r="Q593" s="441"/>
    </row>
    <row r="594" spans="15:17" s="387" customFormat="1" ht="21" customHeight="1">
      <c r="O594" s="441"/>
      <c r="P594" s="441"/>
      <c r="Q594" s="441"/>
    </row>
    <row r="595" spans="15:17" s="387" customFormat="1" ht="21" customHeight="1">
      <c r="O595" s="441"/>
      <c r="P595" s="441"/>
      <c r="Q595" s="441"/>
    </row>
    <row r="596" spans="15:17" s="387" customFormat="1" ht="21" customHeight="1">
      <c r="O596" s="441"/>
      <c r="P596" s="441"/>
      <c r="Q596" s="441"/>
    </row>
    <row r="597" spans="15:17" s="387" customFormat="1" ht="21" customHeight="1">
      <c r="O597" s="441"/>
      <c r="P597" s="441"/>
      <c r="Q597" s="441"/>
    </row>
    <row r="598" spans="15:17" s="387" customFormat="1" ht="21" customHeight="1">
      <c r="O598" s="441"/>
      <c r="P598" s="441"/>
      <c r="Q598" s="441"/>
    </row>
    <row r="599" spans="15:17" s="387" customFormat="1" ht="21" customHeight="1">
      <c r="O599" s="441"/>
      <c r="P599" s="441"/>
      <c r="Q599" s="441"/>
    </row>
    <row r="600" spans="15:17" s="387" customFormat="1" ht="21" customHeight="1">
      <c r="O600" s="441"/>
      <c r="P600" s="441"/>
      <c r="Q600" s="441"/>
    </row>
    <row r="601" spans="15:17" s="387" customFormat="1" ht="21" customHeight="1">
      <c r="O601" s="441"/>
      <c r="P601" s="441"/>
      <c r="Q601" s="441"/>
    </row>
    <row r="602" spans="15:17" s="387" customFormat="1" ht="21" customHeight="1">
      <c r="O602" s="441"/>
      <c r="P602" s="441"/>
      <c r="Q602" s="441"/>
    </row>
    <row r="603" spans="15:17" s="387" customFormat="1" ht="21" customHeight="1">
      <c r="O603" s="441"/>
      <c r="P603" s="441"/>
      <c r="Q603" s="441"/>
    </row>
    <row r="604" spans="15:17" s="387" customFormat="1" ht="21" customHeight="1">
      <c r="O604" s="441"/>
      <c r="P604" s="441"/>
      <c r="Q604" s="441"/>
    </row>
    <row r="605" spans="15:17" s="387" customFormat="1" ht="21" customHeight="1">
      <c r="O605" s="441"/>
      <c r="P605" s="441"/>
      <c r="Q605" s="441"/>
    </row>
    <row r="606" spans="15:17" s="387" customFormat="1" ht="21" customHeight="1">
      <c r="O606" s="441"/>
      <c r="P606" s="441"/>
      <c r="Q606" s="441"/>
    </row>
    <row r="607" spans="15:17" s="387" customFormat="1" ht="21" customHeight="1">
      <c r="O607" s="441"/>
      <c r="P607" s="441"/>
      <c r="Q607" s="441"/>
    </row>
    <row r="608" spans="15:17" s="387" customFormat="1" ht="21" customHeight="1">
      <c r="O608" s="441"/>
      <c r="P608" s="441"/>
      <c r="Q608" s="441"/>
    </row>
    <row r="609" spans="15:17" s="387" customFormat="1" ht="21" customHeight="1">
      <c r="O609" s="441"/>
      <c r="P609" s="441"/>
      <c r="Q609" s="441"/>
    </row>
    <row r="610" spans="15:17" s="387" customFormat="1" ht="21" customHeight="1">
      <c r="O610" s="441"/>
      <c r="P610" s="441"/>
      <c r="Q610" s="441"/>
    </row>
    <row r="611" spans="15:17" s="387" customFormat="1" ht="21" customHeight="1">
      <c r="O611" s="441"/>
      <c r="P611" s="441"/>
      <c r="Q611" s="441"/>
    </row>
    <row r="612" spans="15:17" s="387" customFormat="1" ht="21" customHeight="1">
      <c r="O612" s="441"/>
      <c r="P612" s="441"/>
      <c r="Q612" s="441"/>
    </row>
    <row r="613" spans="15:17" s="387" customFormat="1" ht="21" customHeight="1">
      <c r="O613" s="441"/>
      <c r="P613" s="441"/>
      <c r="Q613" s="441"/>
    </row>
    <row r="614" spans="15:17" s="387" customFormat="1" ht="21" customHeight="1">
      <c r="O614" s="441"/>
      <c r="P614" s="441"/>
      <c r="Q614" s="441"/>
    </row>
    <row r="615" spans="15:17" s="387" customFormat="1" ht="21" customHeight="1">
      <c r="O615" s="441"/>
      <c r="P615" s="441"/>
      <c r="Q615" s="441"/>
    </row>
    <row r="616" spans="15:17" s="387" customFormat="1" ht="21" customHeight="1">
      <c r="O616" s="441"/>
      <c r="P616" s="441"/>
      <c r="Q616" s="441"/>
    </row>
    <row r="617" spans="15:17" s="387" customFormat="1" ht="21" customHeight="1">
      <c r="O617" s="441"/>
      <c r="P617" s="441"/>
      <c r="Q617" s="441"/>
    </row>
    <row r="618" spans="15:17" s="387" customFormat="1" ht="21" customHeight="1">
      <c r="O618" s="441"/>
      <c r="P618" s="441"/>
      <c r="Q618" s="441"/>
    </row>
    <row r="619" spans="15:17" s="387" customFormat="1" ht="21" customHeight="1">
      <c r="O619" s="441"/>
      <c r="P619" s="441"/>
      <c r="Q619" s="441"/>
    </row>
    <row r="620" spans="15:17" s="387" customFormat="1" ht="21" customHeight="1">
      <c r="O620" s="441"/>
      <c r="P620" s="441"/>
      <c r="Q620" s="441"/>
    </row>
    <row r="621" spans="15:17" s="387" customFormat="1" ht="21" customHeight="1">
      <c r="O621" s="441"/>
      <c r="P621" s="441"/>
      <c r="Q621" s="441"/>
    </row>
    <row r="622" spans="15:17" s="387" customFormat="1" ht="21" customHeight="1">
      <c r="O622" s="441"/>
      <c r="P622" s="441"/>
      <c r="Q622" s="441"/>
    </row>
    <row r="623" spans="15:17" s="387" customFormat="1" ht="21" customHeight="1">
      <c r="O623" s="441"/>
      <c r="P623" s="441"/>
      <c r="Q623" s="441"/>
    </row>
    <row r="624" spans="15:17" s="387" customFormat="1" ht="21" customHeight="1">
      <c r="O624" s="441"/>
      <c r="P624" s="441"/>
      <c r="Q624" s="441"/>
    </row>
    <row r="625" spans="15:17" s="387" customFormat="1" ht="21" customHeight="1">
      <c r="O625" s="441"/>
      <c r="P625" s="441"/>
      <c r="Q625" s="441"/>
    </row>
    <row r="626" spans="15:17" s="387" customFormat="1" ht="21" customHeight="1">
      <c r="O626" s="441"/>
      <c r="P626" s="441"/>
      <c r="Q626" s="441"/>
    </row>
    <row r="627" spans="15:17" s="387" customFormat="1" ht="21" customHeight="1">
      <c r="O627" s="441"/>
      <c r="P627" s="441"/>
      <c r="Q627" s="441"/>
    </row>
    <row r="628" spans="15:17" s="387" customFormat="1" ht="21" customHeight="1">
      <c r="O628" s="441"/>
      <c r="P628" s="441"/>
      <c r="Q628" s="441"/>
    </row>
    <row r="629" spans="15:17" s="387" customFormat="1" ht="21" customHeight="1">
      <c r="O629" s="441"/>
      <c r="P629" s="441"/>
      <c r="Q629" s="441"/>
    </row>
    <row r="630" spans="15:17" s="387" customFormat="1" ht="21" customHeight="1">
      <c r="O630" s="441"/>
      <c r="P630" s="441"/>
      <c r="Q630" s="441"/>
    </row>
    <row r="631" spans="15:17" s="387" customFormat="1" ht="21" customHeight="1">
      <c r="O631" s="441"/>
      <c r="P631" s="441"/>
      <c r="Q631" s="441"/>
    </row>
    <row r="632" spans="15:17" s="387" customFormat="1" ht="21" customHeight="1">
      <c r="O632" s="441"/>
      <c r="P632" s="441"/>
      <c r="Q632" s="441"/>
    </row>
    <row r="633" spans="15:17" s="387" customFormat="1" ht="21" customHeight="1">
      <c r="O633" s="441"/>
      <c r="P633" s="441"/>
      <c r="Q633" s="441"/>
    </row>
    <row r="634" spans="15:17" s="387" customFormat="1" ht="21" customHeight="1">
      <c r="O634" s="441"/>
      <c r="P634" s="441"/>
      <c r="Q634" s="441"/>
    </row>
    <row r="635" spans="15:17" s="387" customFormat="1" ht="21" customHeight="1">
      <c r="O635" s="441"/>
      <c r="P635" s="441"/>
      <c r="Q635" s="441"/>
    </row>
    <row r="636" spans="15:17" s="387" customFormat="1" ht="21" customHeight="1">
      <c r="O636" s="441"/>
      <c r="P636" s="441"/>
      <c r="Q636" s="441"/>
    </row>
    <row r="637" spans="15:17" s="387" customFormat="1" ht="21" customHeight="1">
      <c r="O637" s="441"/>
      <c r="P637" s="441"/>
      <c r="Q637" s="441"/>
    </row>
    <row r="638" spans="15:17" s="387" customFormat="1" ht="21" customHeight="1">
      <c r="O638" s="441"/>
      <c r="P638" s="441"/>
      <c r="Q638" s="441"/>
    </row>
    <row r="639" spans="15:17" s="387" customFormat="1" ht="21" customHeight="1">
      <c r="O639" s="441"/>
      <c r="P639" s="441"/>
      <c r="Q639" s="441"/>
    </row>
    <row r="640" spans="15:17" s="387" customFormat="1" ht="21" customHeight="1">
      <c r="O640" s="441"/>
      <c r="P640" s="441"/>
      <c r="Q640" s="441"/>
    </row>
    <row r="641" spans="15:17" s="387" customFormat="1" ht="21" customHeight="1">
      <c r="O641" s="441"/>
      <c r="P641" s="441"/>
      <c r="Q641" s="441"/>
    </row>
    <row r="642" spans="15:17" s="387" customFormat="1" ht="21" customHeight="1">
      <c r="O642" s="441"/>
      <c r="P642" s="441"/>
      <c r="Q642" s="441"/>
    </row>
    <row r="643" spans="15:17" s="387" customFormat="1" ht="21" customHeight="1">
      <c r="O643" s="441"/>
      <c r="P643" s="441"/>
      <c r="Q643" s="441"/>
    </row>
    <row r="644" spans="15:17" s="387" customFormat="1" ht="21" customHeight="1">
      <c r="O644" s="441"/>
      <c r="P644" s="441"/>
      <c r="Q644" s="441"/>
    </row>
    <row r="645" spans="15:17" s="387" customFormat="1" ht="21" customHeight="1">
      <c r="O645" s="441"/>
      <c r="P645" s="441"/>
      <c r="Q645" s="441"/>
    </row>
    <row r="646" spans="15:17" s="387" customFormat="1" ht="21" customHeight="1">
      <c r="O646" s="441"/>
      <c r="P646" s="441"/>
      <c r="Q646" s="441"/>
    </row>
    <row r="647" spans="15:17" s="387" customFormat="1" ht="21" customHeight="1">
      <c r="O647" s="441"/>
      <c r="P647" s="441"/>
      <c r="Q647" s="441"/>
    </row>
    <row r="648" spans="15:17" s="387" customFormat="1" ht="21" customHeight="1">
      <c r="O648" s="441"/>
      <c r="P648" s="441"/>
      <c r="Q648" s="441"/>
    </row>
    <row r="649" spans="15:17" s="387" customFormat="1" ht="21" customHeight="1">
      <c r="O649" s="441"/>
      <c r="P649" s="441"/>
      <c r="Q649" s="441"/>
    </row>
    <row r="650" spans="15:17" s="387" customFormat="1" ht="21" customHeight="1">
      <c r="O650" s="441"/>
      <c r="P650" s="441"/>
      <c r="Q650" s="441"/>
    </row>
    <row r="651" spans="15:17" s="387" customFormat="1" ht="21" customHeight="1">
      <c r="O651" s="441"/>
      <c r="P651" s="441"/>
      <c r="Q651" s="441"/>
    </row>
    <row r="652" spans="15:17" s="387" customFormat="1" ht="21" customHeight="1">
      <c r="O652" s="441"/>
      <c r="P652" s="441"/>
      <c r="Q652" s="441"/>
    </row>
    <row r="653" spans="15:17" s="387" customFormat="1" ht="21" customHeight="1">
      <c r="O653" s="441"/>
      <c r="P653" s="441"/>
      <c r="Q653" s="441"/>
    </row>
    <row r="654" spans="15:17" s="387" customFormat="1" ht="21" customHeight="1">
      <c r="O654" s="441"/>
      <c r="P654" s="441"/>
      <c r="Q654" s="441"/>
    </row>
    <row r="655" spans="15:17" s="387" customFormat="1" ht="21" customHeight="1">
      <c r="O655" s="441"/>
      <c r="P655" s="441"/>
      <c r="Q655" s="441"/>
    </row>
    <row r="656" spans="15:17" s="387" customFormat="1" ht="21" customHeight="1">
      <c r="O656" s="441"/>
      <c r="P656" s="441"/>
      <c r="Q656" s="441"/>
    </row>
    <row r="657" spans="15:17" s="387" customFormat="1" ht="21" customHeight="1">
      <c r="O657" s="441"/>
      <c r="P657" s="441"/>
      <c r="Q657" s="441"/>
    </row>
    <row r="658" spans="15:17" s="387" customFormat="1" ht="21" customHeight="1">
      <c r="O658" s="441"/>
      <c r="P658" s="441"/>
      <c r="Q658" s="441"/>
    </row>
    <row r="659" spans="15:17" s="387" customFormat="1" ht="21" customHeight="1">
      <c r="O659" s="441"/>
      <c r="P659" s="441"/>
      <c r="Q659" s="441"/>
    </row>
    <row r="660" spans="15:17" s="387" customFormat="1" ht="21" customHeight="1">
      <c r="O660" s="441"/>
      <c r="P660" s="441"/>
      <c r="Q660" s="441"/>
    </row>
    <row r="661" spans="15:17" s="387" customFormat="1" ht="21" customHeight="1">
      <c r="O661" s="441"/>
      <c r="P661" s="441"/>
      <c r="Q661" s="441"/>
    </row>
    <row r="662" spans="15:17" s="387" customFormat="1" ht="21" customHeight="1">
      <c r="O662" s="441"/>
      <c r="P662" s="441"/>
      <c r="Q662" s="441"/>
    </row>
    <row r="663" spans="15:17" s="387" customFormat="1" ht="21" customHeight="1">
      <c r="O663" s="441"/>
      <c r="P663" s="441"/>
      <c r="Q663" s="441"/>
    </row>
    <row r="664" spans="15:17" s="387" customFormat="1" ht="21" customHeight="1">
      <c r="O664" s="441"/>
      <c r="P664" s="441"/>
      <c r="Q664" s="441"/>
    </row>
    <row r="665" spans="15:17" s="387" customFormat="1" ht="21" customHeight="1">
      <c r="O665" s="441"/>
      <c r="P665" s="441"/>
      <c r="Q665" s="441"/>
    </row>
    <row r="666" spans="15:17" s="387" customFormat="1" ht="21" customHeight="1">
      <c r="O666" s="441"/>
      <c r="P666" s="441"/>
      <c r="Q666" s="441"/>
    </row>
    <row r="667" spans="15:17" s="387" customFormat="1" ht="21" customHeight="1">
      <c r="O667" s="441"/>
      <c r="P667" s="441"/>
      <c r="Q667" s="441"/>
    </row>
    <row r="668" spans="15:17" s="387" customFormat="1" ht="21" customHeight="1">
      <c r="O668" s="441"/>
      <c r="P668" s="441"/>
      <c r="Q668" s="441"/>
    </row>
    <row r="669" spans="15:17" s="387" customFormat="1" ht="21" customHeight="1">
      <c r="O669" s="441"/>
      <c r="P669" s="441"/>
      <c r="Q669" s="441"/>
    </row>
    <row r="670" spans="15:17" s="387" customFormat="1" ht="21" customHeight="1">
      <c r="O670" s="441"/>
      <c r="P670" s="441"/>
      <c r="Q670" s="441"/>
    </row>
    <row r="671" spans="15:17" s="387" customFormat="1" ht="21" customHeight="1">
      <c r="O671" s="441"/>
      <c r="P671" s="441"/>
      <c r="Q671" s="441"/>
    </row>
    <row r="672" spans="15:17" s="387" customFormat="1" ht="21" customHeight="1">
      <c r="O672" s="441"/>
      <c r="P672" s="441"/>
      <c r="Q672" s="441"/>
    </row>
    <row r="673" spans="15:17" s="387" customFormat="1" ht="21" customHeight="1">
      <c r="O673" s="441"/>
      <c r="P673" s="441"/>
      <c r="Q673" s="441"/>
    </row>
    <row r="674" spans="15:17" s="387" customFormat="1" ht="21" customHeight="1">
      <c r="O674" s="441"/>
      <c r="P674" s="441"/>
      <c r="Q674" s="441"/>
    </row>
    <row r="675" spans="15:17" s="387" customFormat="1" ht="21" customHeight="1">
      <c r="O675" s="441"/>
      <c r="P675" s="441"/>
      <c r="Q675" s="441"/>
    </row>
    <row r="676" spans="15:17" s="387" customFormat="1" ht="21" customHeight="1">
      <c r="O676" s="441"/>
      <c r="P676" s="441"/>
      <c r="Q676" s="441"/>
    </row>
    <row r="677" spans="15:17" s="387" customFormat="1" ht="21" customHeight="1">
      <c r="O677" s="441"/>
      <c r="P677" s="441"/>
      <c r="Q677" s="441"/>
    </row>
    <row r="678" spans="15:17" s="387" customFormat="1" ht="21" customHeight="1">
      <c r="O678" s="441"/>
      <c r="P678" s="441"/>
      <c r="Q678" s="441"/>
    </row>
    <row r="679" spans="15:17" s="387" customFormat="1" ht="21" customHeight="1">
      <c r="O679" s="441"/>
      <c r="P679" s="441"/>
      <c r="Q679" s="441"/>
    </row>
    <row r="680" spans="15:17" s="387" customFormat="1" ht="21" customHeight="1">
      <c r="O680" s="441"/>
      <c r="P680" s="441"/>
      <c r="Q680" s="441"/>
    </row>
    <row r="681" spans="15:17" s="387" customFormat="1" ht="21" customHeight="1">
      <c r="O681" s="441"/>
      <c r="P681" s="441"/>
      <c r="Q681" s="441"/>
    </row>
    <row r="682" spans="15:17" s="387" customFormat="1" ht="21" customHeight="1">
      <c r="O682" s="441"/>
      <c r="P682" s="441"/>
      <c r="Q682" s="441"/>
    </row>
    <row r="683" spans="15:17" s="387" customFormat="1" ht="21" customHeight="1">
      <c r="O683" s="441"/>
      <c r="P683" s="441"/>
      <c r="Q683" s="441"/>
    </row>
    <row r="684" spans="15:17" s="387" customFormat="1" ht="21" customHeight="1">
      <c r="O684" s="441"/>
      <c r="P684" s="441"/>
      <c r="Q684" s="441"/>
    </row>
    <row r="685" spans="15:17" s="387" customFormat="1" ht="21" customHeight="1">
      <c r="O685" s="441"/>
      <c r="P685" s="441"/>
      <c r="Q685" s="441"/>
    </row>
    <row r="686" spans="15:17" s="387" customFormat="1" ht="21" customHeight="1">
      <c r="O686" s="441"/>
      <c r="P686" s="441"/>
      <c r="Q686" s="441"/>
    </row>
    <row r="687" spans="15:17" s="387" customFormat="1" ht="21" customHeight="1">
      <c r="O687" s="441"/>
      <c r="P687" s="441"/>
      <c r="Q687" s="441"/>
    </row>
    <row r="688" spans="15:17" s="387" customFormat="1" ht="21" customHeight="1">
      <c r="O688" s="441"/>
      <c r="P688" s="441"/>
      <c r="Q688" s="441"/>
    </row>
    <row r="689" spans="15:17" s="387" customFormat="1" ht="21" customHeight="1">
      <c r="O689" s="441"/>
      <c r="P689" s="441"/>
      <c r="Q689" s="441"/>
    </row>
    <row r="690" spans="15:17" s="387" customFormat="1" ht="21" customHeight="1">
      <c r="O690" s="441"/>
      <c r="P690" s="441"/>
      <c r="Q690" s="441"/>
    </row>
    <row r="691" spans="15:17" s="387" customFormat="1" ht="21" customHeight="1">
      <c r="O691" s="441"/>
      <c r="P691" s="441"/>
      <c r="Q691" s="441"/>
    </row>
    <row r="692" spans="15:17" s="387" customFormat="1" ht="21" customHeight="1">
      <c r="O692" s="441"/>
      <c r="P692" s="441"/>
      <c r="Q692" s="441"/>
    </row>
    <row r="693" spans="15:17" s="387" customFormat="1" ht="21" customHeight="1">
      <c r="O693" s="441"/>
      <c r="P693" s="441"/>
      <c r="Q693" s="441"/>
    </row>
    <row r="694" spans="15:17" s="387" customFormat="1" ht="21" customHeight="1">
      <c r="O694" s="441"/>
      <c r="P694" s="441"/>
      <c r="Q694" s="441"/>
    </row>
    <row r="695" spans="15:17" s="387" customFormat="1" ht="21" customHeight="1">
      <c r="O695" s="441"/>
      <c r="P695" s="441"/>
      <c r="Q695" s="441"/>
    </row>
    <row r="696" spans="15:17" s="387" customFormat="1" ht="21" customHeight="1">
      <c r="O696" s="441"/>
      <c r="P696" s="441"/>
      <c r="Q696" s="441"/>
    </row>
    <row r="697" spans="15:17" s="387" customFormat="1" ht="21" customHeight="1">
      <c r="O697" s="441"/>
      <c r="P697" s="441"/>
      <c r="Q697" s="441"/>
    </row>
    <row r="698" spans="15:17" s="387" customFormat="1" ht="21" customHeight="1">
      <c r="O698" s="441"/>
      <c r="P698" s="441"/>
      <c r="Q698" s="441"/>
    </row>
    <row r="699" spans="15:17" s="387" customFormat="1" ht="21" customHeight="1">
      <c r="O699" s="441"/>
      <c r="P699" s="441"/>
      <c r="Q699" s="441"/>
    </row>
    <row r="700" spans="15:17" s="387" customFormat="1" ht="21" customHeight="1">
      <c r="O700" s="441"/>
      <c r="P700" s="441"/>
      <c r="Q700" s="441"/>
    </row>
    <row r="701" spans="15:17" s="387" customFormat="1" ht="21" customHeight="1">
      <c r="O701" s="441"/>
      <c r="P701" s="441"/>
      <c r="Q701" s="441"/>
    </row>
    <row r="702" spans="15:17" s="387" customFormat="1" ht="21" customHeight="1">
      <c r="O702" s="441"/>
      <c r="P702" s="441"/>
      <c r="Q702" s="441"/>
    </row>
    <row r="703" spans="15:17" s="387" customFormat="1" ht="21" customHeight="1">
      <c r="O703" s="441"/>
      <c r="P703" s="441"/>
      <c r="Q703" s="441"/>
    </row>
    <row r="704" spans="15:17" s="387" customFormat="1" ht="21" customHeight="1">
      <c r="O704" s="441"/>
      <c r="P704" s="441"/>
      <c r="Q704" s="441"/>
    </row>
    <row r="705" spans="15:17" s="387" customFormat="1" ht="21" customHeight="1">
      <c r="O705" s="441"/>
      <c r="P705" s="441"/>
      <c r="Q705" s="441"/>
    </row>
    <row r="706" spans="15:17" s="387" customFormat="1" ht="21" customHeight="1">
      <c r="O706" s="441"/>
      <c r="P706" s="441"/>
      <c r="Q706" s="441"/>
    </row>
    <row r="707" spans="15:17" s="387" customFormat="1" ht="21" customHeight="1">
      <c r="O707" s="441"/>
      <c r="P707" s="441"/>
      <c r="Q707" s="441"/>
    </row>
    <row r="708" spans="15:17" s="387" customFormat="1" ht="21" customHeight="1">
      <c r="O708" s="441"/>
      <c r="P708" s="441"/>
      <c r="Q708" s="441"/>
    </row>
    <row r="709" spans="15:17" s="387" customFormat="1" ht="21" customHeight="1">
      <c r="O709" s="441"/>
      <c r="P709" s="441"/>
      <c r="Q709" s="441"/>
    </row>
    <row r="710" spans="15:17" s="387" customFormat="1" ht="21" customHeight="1">
      <c r="O710" s="441"/>
      <c r="P710" s="441"/>
      <c r="Q710" s="441"/>
    </row>
    <row r="711" spans="15:17" s="387" customFormat="1" ht="21" customHeight="1">
      <c r="O711" s="441"/>
      <c r="P711" s="441"/>
      <c r="Q711" s="441"/>
    </row>
    <row r="712" spans="15:17" s="387" customFormat="1" ht="21" customHeight="1">
      <c r="O712" s="441"/>
      <c r="P712" s="441"/>
      <c r="Q712" s="441"/>
    </row>
    <row r="713" spans="15:17" s="387" customFormat="1" ht="21" customHeight="1">
      <c r="O713" s="441"/>
      <c r="P713" s="441"/>
      <c r="Q713" s="441"/>
    </row>
    <row r="714" spans="15:17" s="387" customFormat="1" ht="21" customHeight="1">
      <c r="O714" s="441"/>
      <c r="P714" s="441"/>
      <c r="Q714" s="441"/>
    </row>
    <row r="715" spans="15:17" s="387" customFormat="1" ht="21" customHeight="1">
      <c r="O715" s="441"/>
      <c r="P715" s="441"/>
      <c r="Q715" s="441"/>
    </row>
    <row r="716" spans="15:17" s="387" customFormat="1" ht="21" customHeight="1">
      <c r="O716" s="441"/>
      <c r="P716" s="441"/>
      <c r="Q716" s="441"/>
    </row>
    <row r="717" spans="15:17" s="387" customFormat="1" ht="21" customHeight="1">
      <c r="O717" s="441"/>
      <c r="P717" s="441"/>
      <c r="Q717" s="441"/>
    </row>
    <row r="718" spans="15:17" s="387" customFormat="1" ht="21" customHeight="1">
      <c r="O718" s="441"/>
      <c r="P718" s="441"/>
      <c r="Q718" s="441"/>
    </row>
    <row r="719" spans="15:17" s="387" customFormat="1" ht="21" customHeight="1">
      <c r="O719" s="441"/>
      <c r="P719" s="441"/>
      <c r="Q719" s="441"/>
    </row>
    <row r="720" spans="15:17" s="387" customFormat="1" ht="21" customHeight="1">
      <c r="O720" s="441"/>
      <c r="P720" s="441"/>
      <c r="Q720" s="441"/>
    </row>
    <row r="721" spans="15:17" s="387" customFormat="1" ht="21" customHeight="1">
      <c r="O721" s="441"/>
      <c r="P721" s="441"/>
      <c r="Q721" s="441"/>
    </row>
    <row r="722" spans="15:17" s="387" customFormat="1" ht="21" customHeight="1">
      <c r="O722" s="441"/>
      <c r="P722" s="441"/>
      <c r="Q722" s="441"/>
    </row>
    <row r="723" spans="15:17" s="387" customFormat="1" ht="21" customHeight="1">
      <c r="O723" s="441"/>
      <c r="P723" s="441"/>
      <c r="Q723" s="441"/>
    </row>
    <row r="724" spans="15:17" s="387" customFormat="1" ht="21" customHeight="1">
      <c r="O724" s="441"/>
      <c r="P724" s="441"/>
      <c r="Q724" s="441"/>
    </row>
    <row r="725" spans="15:17" s="387" customFormat="1" ht="21" customHeight="1">
      <c r="O725" s="441"/>
      <c r="P725" s="441"/>
      <c r="Q725" s="441"/>
    </row>
    <row r="726" spans="15:17" s="387" customFormat="1" ht="21" customHeight="1">
      <c r="O726" s="441"/>
      <c r="P726" s="441"/>
      <c r="Q726" s="441"/>
    </row>
    <row r="727" spans="15:17" s="387" customFormat="1" ht="21" customHeight="1">
      <c r="O727" s="441"/>
      <c r="P727" s="441"/>
      <c r="Q727" s="441"/>
    </row>
    <row r="728" spans="15:17" s="387" customFormat="1" ht="21" customHeight="1">
      <c r="O728" s="441"/>
      <c r="P728" s="441"/>
      <c r="Q728" s="441"/>
    </row>
    <row r="729" spans="15:17" s="387" customFormat="1" ht="21" customHeight="1">
      <c r="O729" s="441"/>
      <c r="P729" s="441"/>
      <c r="Q729" s="441"/>
    </row>
    <row r="730" spans="15:17" s="387" customFormat="1" ht="21" customHeight="1">
      <c r="O730" s="441"/>
      <c r="P730" s="441"/>
      <c r="Q730" s="441"/>
    </row>
    <row r="731" spans="15:17" s="387" customFormat="1" ht="21" customHeight="1">
      <c r="O731" s="441"/>
      <c r="P731" s="441"/>
      <c r="Q731" s="441"/>
    </row>
    <row r="732" spans="15:17" s="387" customFormat="1" ht="21" customHeight="1">
      <c r="O732" s="441"/>
      <c r="P732" s="441"/>
      <c r="Q732" s="441"/>
    </row>
    <row r="733" spans="15:17" s="387" customFormat="1" ht="21" customHeight="1">
      <c r="O733" s="441"/>
      <c r="P733" s="441"/>
      <c r="Q733" s="441"/>
    </row>
    <row r="734" spans="15:17" s="387" customFormat="1" ht="21" customHeight="1">
      <c r="O734" s="441"/>
      <c r="P734" s="441"/>
      <c r="Q734" s="441"/>
    </row>
    <row r="735" spans="15:17" s="387" customFormat="1" ht="21" customHeight="1">
      <c r="O735" s="441"/>
      <c r="P735" s="441"/>
      <c r="Q735" s="441"/>
    </row>
    <row r="736" spans="15:17" s="387" customFormat="1" ht="21" customHeight="1">
      <c r="O736" s="441"/>
      <c r="P736" s="441"/>
      <c r="Q736" s="441"/>
    </row>
    <row r="737" spans="15:17" s="387" customFormat="1" ht="21" customHeight="1">
      <c r="O737" s="441"/>
      <c r="P737" s="441"/>
      <c r="Q737" s="441"/>
    </row>
    <row r="738" spans="15:17" s="387" customFormat="1" ht="21" customHeight="1">
      <c r="O738" s="441"/>
      <c r="P738" s="441"/>
      <c r="Q738" s="441"/>
    </row>
    <row r="739" spans="15:17" s="387" customFormat="1" ht="21" customHeight="1">
      <c r="O739" s="441"/>
      <c r="P739" s="441"/>
      <c r="Q739" s="441"/>
    </row>
    <row r="740" spans="15:17" s="387" customFormat="1" ht="21" customHeight="1">
      <c r="O740" s="441"/>
      <c r="P740" s="441"/>
      <c r="Q740" s="441"/>
    </row>
    <row r="741" spans="15:17" s="387" customFormat="1" ht="21" customHeight="1">
      <c r="O741" s="441"/>
      <c r="P741" s="441"/>
      <c r="Q741" s="441"/>
    </row>
    <row r="742" spans="15:17" s="387" customFormat="1" ht="21" customHeight="1">
      <c r="O742" s="441"/>
      <c r="P742" s="441"/>
      <c r="Q742" s="441"/>
    </row>
    <row r="743" spans="15:17" s="387" customFormat="1" ht="21" customHeight="1">
      <c r="O743" s="441"/>
      <c r="P743" s="441"/>
      <c r="Q743" s="441"/>
    </row>
    <row r="744" spans="15:17" s="387" customFormat="1" ht="21" customHeight="1">
      <c r="O744" s="441"/>
      <c r="P744" s="441"/>
      <c r="Q744" s="441"/>
    </row>
    <row r="745" spans="15:17" s="387" customFormat="1" ht="21" customHeight="1">
      <c r="O745" s="441"/>
      <c r="P745" s="441"/>
      <c r="Q745" s="441"/>
    </row>
    <row r="746" spans="15:17" s="387" customFormat="1" ht="21" customHeight="1">
      <c r="O746" s="441"/>
      <c r="P746" s="441"/>
      <c r="Q746" s="441"/>
    </row>
    <row r="747" spans="15:17" s="387" customFormat="1" ht="21" customHeight="1">
      <c r="O747" s="441"/>
      <c r="P747" s="441"/>
      <c r="Q747" s="441"/>
    </row>
    <row r="748" spans="15:17" s="387" customFormat="1" ht="21" customHeight="1">
      <c r="O748" s="441"/>
      <c r="P748" s="441"/>
      <c r="Q748" s="441"/>
    </row>
    <row r="749" spans="15:17" s="387" customFormat="1" ht="21" customHeight="1">
      <c r="O749" s="441"/>
      <c r="P749" s="441"/>
      <c r="Q749" s="441"/>
    </row>
    <row r="750" spans="15:17" s="387" customFormat="1" ht="21" customHeight="1">
      <c r="O750" s="441"/>
      <c r="P750" s="441"/>
      <c r="Q750" s="441"/>
    </row>
    <row r="751" spans="15:17" s="387" customFormat="1" ht="21" customHeight="1">
      <c r="O751" s="441"/>
      <c r="P751" s="441"/>
      <c r="Q751" s="441"/>
    </row>
    <row r="752" spans="15:17" s="387" customFormat="1" ht="21" customHeight="1">
      <c r="O752" s="441"/>
      <c r="P752" s="441"/>
      <c r="Q752" s="441"/>
    </row>
    <row r="753" spans="15:17" s="387" customFormat="1" ht="21" customHeight="1">
      <c r="O753" s="441"/>
      <c r="P753" s="441"/>
      <c r="Q753" s="441"/>
    </row>
    <row r="754" spans="15:17" s="387" customFormat="1" ht="21" customHeight="1">
      <c r="O754" s="441"/>
      <c r="P754" s="441"/>
      <c r="Q754" s="441"/>
    </row>
    <row r="755" spans="15:17" s="387" customFormat="1" ht="21" customHeight="1">
      <c r="O755" s="441"/>
      <c r="P755" s="441"/>
      <c r="Q755" s="441"/>
    </row>
    <row r="756" spans="15:17" s="387" customFormat="1" ht="21" customHeight="1">
      <c r="O756" s="441"/>
      <c r="P756" s="441"/>
      <c r="Q756" s="441"/>
    </row>
    <row r="757" spans="15:17" s="387" customFormat="1" ht="21" customHeight="1">
      <c r="O757" s="441"/>
      <c r="P757" s="441"/>
      <c r="Q757" s="441"/>
    </row>
    <row r="758" spans="15:17" s="387" customFormat="1" ht="21" customHeight="1">
      <c r="O758" s="441"/>
      <c r="P758" s="441"/>
      <c r="Q758" s="441"/>
    </row>
    <row r="759" spans="15:17" s="387" customFormat="1" ht="21" customHeight="1">
      <c r="O759" s="441"/>
      <c r="P759" s="441"/>
      <c r="Q759" s="441"/>
    </row>
    <row r="760" spans="15:17" s="387" customFormat="1" ht="21" customHeight="1">
      <c r="O760" s="441"/>
      <c r="P760" s="441"/>
      <c r="Q760" s="441"/>
    </row>
    <row r="761" spans="15:17" s="387" customFormat="1" ht="21" customHeight="1">
      <c r="O761" s="441"/>
      <c r="P761" s="441"/>
      <c r="Q761" s="441"/>
    </row>
    <row r="762" spans="15:17" s="387" customFormat="1" ht="21" customHeight="1">
      <c r="O762" s="441"/>
      <c r="P762" s="441"/>
      <c r="Q762" s="441"/>
    </row>
    <row r="763" spans="15:17" s="387" customFormat="1" ht="21" customHeight="1">
      <c r="O763" s="441"/>
      <c r="P763" s="441"/>
      <c r="Q763" s="441"/>
    </row>
    <row r="764" spans="15:17" s="387" customFormat="1" ht="21" customHeight="1">
      <c r="O764" s="441"/>
      <c r="P764" s="441"/>
      <c r="Q764" s="441"/>
    </row>
    <row r="765" spans="15:17" s="387" customFormat="1" ht="21" customHeight="1">
      <c r="O765" s="441"/>
      <c r="P765" s="441"/>
      <c r="Q765" s="441"/>
    </row>
    <row r="766" spans="15:17" s="387" customFormat="1" ht="21" customHeight="1">
      <c r="O766" s="441"/>
      <c r="P766" s="441"/>
      <c r="Q766" s="441"/>
    </row>
    <row r="767" spans="15:17" s="387" customFormat="1" ht="21" customHeight="1">
      <c r="O767" s="441"/>
      <c r="P767" s="441"/>
      <c r="Q767" s="441"/>
    </row>
    <row r="768" spans="15:17" s="387" customFormat="1" ht="21" customHeight="1">
      <c r="O768" s="441"/>
      <c r="P768" s="441"/>
      <c r="Q768" s="441"/>
    </row>
    <row r="769" spans="15:17" s="387" customFormat="1" ht="21" customHeight="1">
      <c r="O769" s="441"/>
      <c r="P769" s="441"/>
      <c r="Q769" s="441"/>
    </row>
    <row r="770" spans="15:17" s="387" customFormat="1" ht="21" customHeight="1">
      <c r="O770" s="441"/>
      <c r="P770" s="441"/>
      <c r="Q770" s="441"/>
    </row>
    <row r="771" spans="15:17" s="387" customFormat="1" ht="21" customHeight="1">
      <c r="O771" s="441"/>
      <c r="P771" s="441"/>
      <c r="Q771" s="441"/>
    </row>
    <row r="772" spans="15:17" s="387" customFormat="1" ht="21" customHeight="1">
      <c r="O772" s="441"/>
      <c r="P772" s="441"/>
      <c r="Q772" s="441"/>
    </row>
    <row r="773" spans="15:17" s="387" customFormat="1" ht="21" customHeight="1">
      <c r="O773" s="441"/>
      <c r="P773" s="441"/>
      <c r="Q773" s="441"/>
    </row>
    <row r="774" spans="15:17" s="387" customFormat="1" ht="21" customHeight="1">
      <c r="O774" s="441"/>
      <c r="P774" s="441"/>
      <c r="Q774" s="441"/>
    </row>
    <row r="775" spans="15:17" s="387" customFormat="1" ht="21" customHeight="1">
      <c r="O775" s="441"/>
      <c r="P775" s="441"/>
      <c r="Q775" s="441"/>
    </row>
    <row r="776" spans="15:17" s="387" customFormat="1" ht="21" customHeight="1">
      <c r="O776" s="441"/>
      <c r="P776" s="441"/>
      <c r="Q776" s="441"/>
    </row>
    <row r="777" spans="15:17" s="387" customFormat="1" ht="21" customHeight="1">
      <c r="O777" s="441"/>
      <c r="P777" s="441"/>
      <c r="Q777" s="441"/>
    </row>
    <row r="778" spans="15:17" s="387" customFormat="1" ht="21" customHeight="1">
      <c r="O778" s="441"/>
      <c r="P778" s="441"/>
      <c r="Q778" s="441"/>
    </row>
    <row r="779" spans="15:17" s="387" customFormat="1" ht="21" customHeight="1">
      <c r="O779" s="441"/>
      <c r="P779" s="441"/>
      <c r="Q779" s="441"/>
    </row>
    <row r="780" spans="15:17" s="387" customFormat="1" ht="21" customHeight="1">
      <c r="O780" s="441"/>
      <c r="P780" s="441"/>
      <c r="Q780" s="441"/>
    </row>
    <row r="781" spans="15:17" s="387" customFormat="1" ht="21" customHeight="1">
      <c r="O781" s="441"/>
      <c r="P781" s="441"/>
      <c r="Q781" s="441"/>
    </row>
    <row r="782" spans="15:17" s="387" customFormat="1" ht="21" customHeight="1">
      <c r="O782" s="441"/>
      <c r="P782" s="441"/>
      <c r="Q782" s="441"/>
    </row>
    <row r="783" spans="15:17" s="387" customFormat="1" ht="21" customHeight="1">
      <c r="O783" s="441"/>
      <c r="P783" s="441"/>
      <c r="Q783" s="441"/>
    </row>
    <row r="784" spans="15:17" s="387" customFormat="1" ht="21" customHeight="1">
      <c r="O784" s="441"/>
      <c r="P784" s="441"/>
      <c r="Q784" s="441"/>
    </row>
    <row r="785" spans="15:17" s="387" customFormat="1" ht="21" customHeight="1">
      <c r="O785" s="441"/>
      <c r="P785" s="441"/>
      <c r="Q785" s="441"/>
    </row>
    <row r="786" spans="15:17" s="387" customFormat="1" ht="21" customHeight="1">
      <c r="O786" s="441"/>
      <c r="P786" s="441"/>
      <c r="Q786" s="441"/>
    </row>
    <row r="787" spans="15:17" s="387" customFormat="1" ht="21" customHeight="1">
      <c r="O787" s="441"/>
      <c r="P787" s="441"/>
      <c r="Q787" s="441"/>
    </row>
    <row r="788" spans="15:17" s="387" customFormat="1" ht="21" customHeight="1">
      <c r="O788" s="441"/>
      <c r="P788" s="441"/>
      <c r="Q788" s="441"/>
    </row>
    <row r="789" spans="15:17" s="387" customFormat="1" ht="21" customHeight="1">
      <c r="O789" s="441"/>
      <c r="P789" s="441"/>
      <c r="Q789" s="441"/>
    </row>
    <row r="790" spans="15:17" s="387" customFormat="1" ht="21" customHeight="1">
      <c r="O790" s="441"/>
      <c r="P790" s="441"/>
      <c r="Q790" s="441"/>
    </row>
    <row r="791" spans="15:17" s="387" customFormat="1" ht="21" customHeight="1">
      <c r="O791" s="441"/>
      <c r="P791" s="441"/>
      <c r="Q791" s="441"/>
    </row>
    <row r="792" spans="15:17" s="387" customFormat="1" ht="21" customHeight="1">
      <c r="O792" s="441"/>
      <c r="P792" s="441"/>
      <c r="Q792" s="441"/>
    </row>
    <row r="793" spans="15:17" s="387" customFormat="1" ht="21" customHeight="1">
      <c r="O793" s="441"/>
      <c r="P793" s="441"/>
      <c r="Q793" s="441"/>
    </row>
    <row r="794" spans="15:17" s="387" customFormat="1" ht="21" customHeight="1">
      <c r="O794" s="441"/>
      <c r="P794" s="441"/>
      <c r="Q794" s="441"/>
    </row>
    <row r="795" spans="15:17" s="387" customFormat="1" ht="21" customHeight="1">
      <c r="O795" s="441"/>
      <c r="P795" s="441"/>
      <c r="Q795" s="441"/>
    </row>
    <row r="796" spans="15:17" s="387" customFormat="1" ht="21" customHeight="1">
      <c r="O796" s="441"/>
      <c r="P796" s="441"/>
      <c r="Q796" s="441"/>
    </row>
    <row r="797" spans="15:17" s="387" customFormat="1" ht="21" customHeight="1">
      <c r="O797" s="441"/>
      <c r="P797" s="441"/>
      <c r="Q797" s="441"/>
    </row>
    <row r="798" spans="15:17" s="387" customFormat="1" ht="21" customHeight="1">
      <c r="O798" s="441"/>
      <c r="P798" s="441"/>
      <c r="Q798" s="441"/>
    </row>
    <row r="799" spans="15:17" s="387" customFormat="1" ht="21" customHeight="1">
      <c r="O799" s="441"/>
      <c r="P799" s="441"/>
      <c r="Q799" s="441"/>
    </row>
    <row r="800" spans="15:17" s="387" customFormat="1" ht="21" customHeight="1">
      <c r="O800" s="441"/>
      <c r="P800" s="441"/>
      <c r="Q800" s="441"/>
    </row>
    <row r="801" spans="15:17" s="387" customFormat="1" ht="21" customHeight="1">
      <c r="O801" s="441"/>
      <c r="P801" s="441"/>
      <c r="Q801" s="441"/>
    </row>
    <row r="802" spans="15:17" s="387" customFormat="1" ht="21" customHeight="1">
      <c r="O802" s="441"/>
      <c r="P802" s="441"/>
      <c r="Q802" s="441"/>
    </row>
    <row r="803" spans="15:17" s="387" customFormat="1" ht="21" customHeight="1">
      <c r="O803" s="441"/>
      <c r="P803" s="441"/>
      <c r="Q803" s="441"/>
    </row>
    <row r="804" spans="15:17" s="387" customFormat="1" ht="21" customHeight="1">
      <c r="O804" s="441"/>
      <c r="P804" s="441"/>
      <c r="Q804" s="441"/>
    </row>
    <row r="805" spans="15:17" s="387" customFormat="1" ht="21" customHeight="1">
      <c r="O805" s="441"/>
      <c r="P805" s="441"/>
      <c r="Q805" s="441"/>
    </row>
    <row r="806" spans="15:17" s="387" customFormat="1" ht="21" customHeight="1">
      <c r="O806" s="441"/>
      <c r="P806" s="441"/>
      <c r="Q806" s="441"/>
    </row>
    <row r="807" spans="15:17" s="387" customFormat="1" ht="21" customHeight="1">
      <c r="O807" s="441"/>
      <c r="P807" s="441"/>
      <c r="Q807" s="441"/>
    </row>
    <row r="808" spans="15:17" s="387" customFormat="1" ht="21" customHeight="1">
      <c r="O808" s="441"/>
      <c r="P808" s="441"/>
      <c r="Q808" s="441"/>
    </row>
    <row r="809" spans="15:17" s="387" customFormat="1" ht="21" customHeight="1">
      <c r="O809" s="441"/>
      <c r="P809" s="441"/>
      <c r="Q809" s="441"/>
    </row>
    <row r="810" spans="15:17" s="387" customFormat="1" ht="21" customHeight="1">
      <c r="O810" s="441"/>
      <c r="P810" s="441"/>
      <c r="Q810" s="441"/>
    </row>
    <row r="811" spans="15:17" s="387" customFormat="1" ht="21" customHeight="1">
      <c r="O811" s="441"/>
      <c r="P811" s="441"/>
      <c r="Q811" s="441"/>
    </row>
    <row r="812" spans="15:17" s="387" customFormat="1" ht="21" customHeight="1">
      <c r="O812" s="441"/>
      <c r="P812" s="441"/>
      <c r="Q812" s="441"/>
    </row>
    <row r="813" spans="15:17" s="387" customFormat="1" ht="21" customHeight="1">
      <c r="O813" s="441"/>
      <c r="P813" s="441"/>
      <c r="Q813" s="441"/>
    </row>
    <row r="814" spans="15:17" s="387" customFormat="1" ht="21" customHeight="1">
      <c r="O814" s="441"/>
      <c r="P814" s="441"/>
      <c r="Q814" s="441"/>
    </row>
    <row r="815" spans="15:17" s="387" customFormat="1" ht="21" customHeight="1">
      <c r="O815" s="441"/>
      <c r="P815" s="441"/>
      <c r="Q815" s="441"/>
    </row>
    <row r="816" spans="15:17" s="387" customFormat="1" ht="21" customHeight="1">
      <c r="O816" s="441"/>
      <c r="P816" s="441"/>
      <c r="Q816" s="441"/>
    </row>
    <row r="817" spans="15:17" s="387" customFormat="1" ht="21" customHeight="1">
      <c r="O817" s="441"/>
      <c r="P817" s="441"/>
      <c r="Q817" s="441"/>
    </row>
    <row r="818" spans="15:17" s="387" customFormat="1" ht="21" customHeight="1">
      <c r="O818" s="441"/>
      <c r="P818" s="441"/>
      <c r="Q818" s="441"/>
    </row>
    <row r="819" spans="15:17" s="387" customFormat="1" ht="21" customHeight="1">
      <c r="O819" s="441"/>
      <c r="P819" s="441"/>
      <c r="Q819" s="441"/>
    </row>
    <row r="820" spans="15:17" s="387" customFormat="1" ht="21" customHeight="1">
      <c r="O820" s="441"/>
      <c r="P820" s="441"/>
      <c r="Q820" s="441"/>
    </row>
    <row r="821" spans="15:17" s="387" customFormat="1" ht="21" customHeight="1">
      <c r="O821" s="441"/>
      <c r="P821" s="441"/>
      <c r="Q821" s="441"/>
    </row>
    <row r="822" spans="15:17" s="387" customFormat="1" ht="21" customHeight="1">
      <c r="O822" s="441"/>
      <c r="P822" s="441"/>
      <c r="Q822" s="441"/>
    </row>
    <row r="823" spans="15:17" s="387" customFormat="1" ht="21" customHeight="1">
      <c r="O823" s="441"/>
      <c r="P823" s="441"/>
      <c r="Q823" s="441"/>
    </row>
    <row r="824" spans="15:17" s="387" customFormat="1" ht="21" customHeight="1">
      <c r="O824" s="441"/>
      <c r="P824" s="441"/>
      <c r="Q824" s="441"/>
    </row>
    <row r="825" spans="15:17" s="387" customFormat="1" ht="21" customHeight="1">
      <c r="O825" s="441"/>
      <c r="P825" s="441"/>
      <c r="Q825" s="441"/>
    </row>
    <row r="826" spans="15:17" s="387" customFormat="1" ht="21" customHeight="1">
      <c r="O826" s="441"/>
      <c r="P826" s="441"/>
      <c r="Q826" s="441"/>
    </row>
    <row r="827" spans="15:17" s="387" customFormat="1" ht="21" customHeight="1">
      <c r="O827" s="441"/>
      <c r="P827" s="441"/>
      <c r="Q827" s="441"/>
    </row>
    <row r="828" spans="15:17" s="387" customFormat="1" ht="21" customHeight="1">
      <c r="O828" s="441"/>
      <c r="P828" s="441"/>
      <c r="Q828" s="441"/>
    </row>
    <row r="829" spans="15:17" s="387" customFormat="1" ht="21" customHeight="1">
      <c r="O829" s="441"/>
      <c r="P829" s="441"/>
      <c r="Q829" s="441"/>
    </row>
    <row r="830" spans="15:17" s="387" customFormat="1" ht="21" customHeight="1">
      <c r="O830" s="441"/>
      <c r="P830" s="441"/>
      <c r="Q830" s="441"/>
    </row>
    <row r="831" spans="15:17" s="387" customFormat="1" ht="21" customHeight="1">
      <c r="O831" s="441"/>
      <c r="P831" s="441"/>
      <c r="Q831" s="441"/>
    </row>
    <row r="832" spans="15:17" s="387" customFormat="1" ht="21" customHeight="1">
      <c r="O832" s="441"/>
      <c r="P832" s="441"/>
      <c r="Q832" s="441"/>
    </row>
    <row r="833" spans="15:17" s="387" customFormat="1" ht="21" customHeight="1">
      <c r="O833" s="441"/>
      <c r="P833" s="441"/>
      <c r="Q833" s="441"/>
    </row>
    <row r="834" spans="15:17" s="387" customFormat="1" ht="21" customHeight="1">
      <c r="O834" s="441"/>
      <c r="P834" s="441"/>
      <c r="Q834" s="441"/>
    </row>
    <row r="835" spans="15:17" s="387" customFormat="1" ht="21" customHeight="1">
      <c r="O835" s="441"/>
      <c r="P835" s="441"/>
      <c r="Q835" s="441"/>
    </row>
    <row r="836" spans="15:17" s="387" customFormat="1" ht="21" customHeight="1">
      <c r="O836" s="441"/>
      <c r="P836" s="441"/>
      <c r="Q836" s="441"/>
    </row>
    <row r="837" spans="15:17" s="387" customFormat="1" ht="21" customHeight="1">
      <c r="O837" s="441"/>
      <c r="P837" s="441"/>
      <c r="Q837" s="441"/>
    </row>
    <row r="838" spans="15:17" s="387" customFormat="1" ht="21" customHeight="1">
      <c r="O838" s="441"/>
      <c r="P838" s="441"/>
      <c r="Q838" s="441"/>
    </row>
    <row r="839" spans="15:17" s="387" customFormat="1" ht="21" customHeight="1">
      <c r="O839" s="441"/>
      <c r="P839" s="441"/>
      <c r="Q839" s="441"/>
    </row>
    <row r="840" spans="15:17" s="387" customFormat="1" ht="21" customHeight="1">
      <c r="O840" s="441"/>
      <c r="P840" s="441"/>
      <c r="Q840" s="441"/>
    </row>
    <row r="841" spans="15:17" s="387" customFormat="1" ht="21" customHeight="1">
      <c r="O841" s="441"/>
      <c r="P841" s="441"/>
      <c r="Q841" s="441"/>
    </row>
    <row r="842" spans="15:17" s="387" customFormat="1" ht="21" customHeight="1">
      <c r="O842" s="441"/>
      <c r="P842" s="441"/>
      <c r="Q842" s="441"/>
    </row>
    <row r="843" spans="15:17" s="387" customFormat="1" ht="21" customHeight="1">
      <c r="O843" s="441"/>
      <c r="P843" s="441"/>
      <c r="Q843" s="441"/>
    </row>
    <row r="844" spans="15:17" s="387" customFormat="1" ht="21" customHeight="1">
      <c r="O844" s="441"/>
      <c r="P844" s="441"/>
      <c r="Q844" s="441"/>
    </row>
    <row r="845" spans="15:17" s="387" customFormat="1" ht="21" customHeight="1">
      <c r="O845" s="441"/>
      <c r="P845" s="441"/>
      <c r="Q845" s="441"/>
    </row>
    <row r="846" spans="15:17" s="387" customFormat="1" ht="21" customHeight="1">
      <c r="O846" s="441"/>
      <c r="P846" s="441"/>
      <c r="Q846" s="441"/>
    </row>
    <row r="847" spans="15:17" s="387" customFormat="1" ht="21" customHeight="1">
      <c r="O847" s="441"/>
      <c r="P847" s="441"/>
      <c r="Q847" s="441"/>
    </row>
    <row r="848" spans="15:17" s="387" customFormat="1" ht="21" customHeight="1">
      <c r="O848" s="441"/>
      <c r="P848" s="441"/>
      <c r="Q848" s="441"/>
    </row>
    <row r="849" spans="15:17" s="387" customFormat="1" ht="21" customHeight="1">
      <c r="O849" s="441"/>
      <c r="P849" s="441"/>
      <c r="Q849" s="441"/>
    </row>
    <row r="850" spans="15:17" s="387" customFormat="1" ht="21" customHeight="1">
      <c r="O850" s="441"/>
      <c r="P850" s="441"/>
      <c r="Q850" s="441"/>
    </row>
    <row r="851" spans="15:17" s="387" customFormat="1" ht="21" customHeight="1">
      <c r="O851" s="441"/>
      <c r="P851" s="441"/>
      <c r="Q851" s="441"/>
    </row>
    <row r="852" spans="15:17" s="387" customFormat="1" ht="21" customHeight="1">
      <c r="O852" s="441"/>
      <c r="P852" s="441"/>
      <c r="Q852" s="441"/>
    </row>
    <row r="853" spans="15:17" s="387" customFormat="1" ht="21" customHeight="1">
      <c r="O853" s="441"/>
      <c r="P853" s="441"/>
      <c r="Q853" s="441"/>
    </row>
    <row r="854" spans="15:17" s="387" customFormat="1" ht="21" customHeight="1">
      <c r="O854" s="441"/>
      <c r="P854" s="441"/>
      <c r="Q854" s="441"/>
    </row>
    <row r="855" spans="15:17" s="387" customFormat="1" ht="21" customHeight="1">
      <c r="O855" s="441"/>
      <c r="P855" s="441"/>
      <c r="Q855" s="441"/>
    </row>
    <row r="856" spans="15:17" s="387" customFormat="1" ht="21" customHeight="1">
      <c r="O856" s="441"/>
      <c r="P856" s="441"/>
      <c r="Q856" s="441"/>
    </row>
    <row r="857" spans="15:17" s="387" customFormat="1" ht="21" customHeight="1">
      <c r="O857" s="441"/>
      <c r="P857" s="441"/>
      <c r="Q857" s="441"/>
    </row>
    <row r="858" spans="15:17" s="387" customFormat="1" ht="21" customHeight="1">
      <c r="O858" s="441"/>
      <c r="P858" s="441"/>
      <c r="Q858" s="441"/>
    </row>
    <row r="859" spans="15:17" s="387" customFormat="1" ht="21" customHeight="1">
      <c r="O859" s="441"/>
      <c r="P859" s="441"/>
      <c r="Q859" s="441"/>
    </row>
    <row r="860" spans="15:17" s="387" customFormat="1" ht="21" customHeight="1">
      <c r="O860" s="441"/>
      <c r="P860" s="441"/>
      <c r="Q860" s="441"/>
    </row>
    <row r="861" spans="15:17" s="387" customFormat="1" ht="21" customHeight="1">
      <c r="O861" s="441"/>
      <c r="P861" s="441"/>
      <c r="Q861" s="441"/>
    </row>
    <row r="862" spans="15:17" s="387" customFormat="1" ht="21" customHeight="1">
      <c r="O862" s="441"/>
      <c r="P862" s="441"/>
      <c r="Q862" s="441"/>
    </row>
    <row r="863" spans="15:17" s="387" customFormat="1" ht="21" customHeight="1">
      <c r="O863" s="441"/>
      <c r="P863" s="441"/>
      <c r="Q863" s="441"/>
    </row>
    <row r="864" spans="15:17" s="387" customFormat="1" ht="21" customHeight="1">
      <c r="O864" s="441"/>
      <c r="P864" s="441"/>
      <c r="Q864" s="441"/>
    </row>
    <row r="865" spans="15:17" s="387" customFormat="1" ht="21" customHeight="1">
      <c r="O865" s="441"/>
      <c r="P865" s="441"/>
      <c r="Q865" s="441"/>
    </row>
    <row r="866" spans="15:17" s="387" customFormat="1" ht="21" customHeight="1">
      <c r="O866" s="441"/>
      <c r="P866" s="441"/>
      <c r="Q866" s="441"/>
    </row>
    <row r="867" spans="15:17" s="387" customFormat="1" ht="21" customHeight="1">
      <c r="O867" s="441"/>
      <c r="P867" s="441"/>
      <c r="Q867" s="441"/>
    </row>
    <row r="868" spans="15:17" s="387" customFormat="1" ht="21" customHeight="1">
      <c r="O868" s="441"/>
      <c r="P868" s="441"/>
      <c r="Q868" s="441"/>
    </row>
    <row r="869" spans="15:17" s="387" customFormat="1" ht="21" customHeight="1">
      <c r="O869" s="441"/>
      <c r="P869" s="441"/>
      <c r="Q869" s="441"/>
    </row>
    <row r="870" spans="15:17" s="387" customFormat="1" ht="21" customHeight="1">
      <c r="O870" s="441"/>
      <c r="P870" s="441"/>
      <c r="Q870" s="441"/>
    </row>
    <row r="871" spans="15:17" s="387" customFormat="1" ht="21" customHeight="1">
      <c r="O871" s="441"/>
      <c r="P871" s="441"/>
      <c r="Q871" s="441"/>
    </row>
    <row r="872" spans="15:17" s="387" customFormat="1" ht="21" customHeight="1">
      <c r="O872" s="441"/>
      <c r="P872" s="441"/>
      <c r="Q872" s="441"/>
    </row>
    <row r="873" spans="15:17" s="387" customFormat="1" ht="21" customHeight="1">
      <c r="O873" s="441"/>
      <c r="P873" s="441"/>
      <c r="Q873" s="441"/>
    </row>
    <row r="874" spans="15:17" s="387" customFormat="1" ht="21" customHeight="1">
      <c r="O874" s="441"/>
      <c r="P874" s="441"/>
      <c r="Q874" s="441"/>
    </row>
    <row r="875" spans="15:17" s="387" customFormat="1" ht="21" customHeight="1">
      <c r="O875" s="441"/>
      <c r="P875" s="441"/>
      <c r="Q875" s="441"/>
    </row>
    <row r="876" spans="15:17" s="387" customFormat="1" ht="21" customHeight="1">
      <c r="O876" s="441"/>
      <c r="P876" s="441"/>
      <c r="Q876" s="441"/>
    </row>
    <row r="877" spans="15:17" s="387" customFormat="1" ht="21" customHeight="1">
      <c r="O877" s="441"/>
      <c r="P877" s="441"/>
      <c r="Q877" s="441"/>
    </row>
    <row r="878" spans="15:17" s="387" customFormat="1" ht="21" customHeight="1">
      <c r="O878" s="441"/>
      <c r="P878" s="441"/>
      <c r="Q878" s="441"/>
    </row>
    <row r="879" spans="15:17" s="387" customFormat="1" ht="21" customHeight="1">
      <c r="O879" s="441"/>
      <c r="P879" s="441"/>
      <c r="Q879" s="441"/>
    </row>
    <row r="880" spans="15:17" s="387" customFormat="1" ht="21" customHeight="1">
      <c r="O880" s="441"/>
      <c r="P880" s="441"/>
      <c r="Q880" s="441"/>
    </row>
    <row r="881" spans="15:17" s="387" customFormat="1" ht="21" customHeight="1">
      <c r="O881" s="441"/>
      <c r="P881" s="441"/>
      <c r="Q881" s="441"/>
    </row>
    <row r="882" spans="15:17" s="387" customFormat="1" ht="21" customHeight="1">
      <c r="O882" s="441"/>
      <c r="P882" s="441"/>
      <c r="Q882" s="441"/>
    </row>
    <row r="883" spans="15:17" s="387" customFormat="1" ht="21" customHeight="1">
      <c r="O883" s="441"/>
      <c r="P883" s="441"/>
      <c r="Q883" s="441"/>
    </row>
    <row r="884" spans="15:17" s="387" customFormat="1" ht="21" customHeight="1">
      <c r="O884" s="441"/>
      <c r="P884" s="441"/>
      <c r="Q884" s="441"/>
    </row>
    <row r="885" spans="15:17" s="387" customFormat="1" ht="21" customHeight="1">
      <c r="O885" s="441"/>
      <c r="P885" s="441"/>
      <c r="Q885" s="441"/>
    </row>
    <row r="886" spans="15:17" s="387" customFormat="1" ht="21" customHeight="1">
      <c r="O886" s="441"/>
      <c r="P886" s="441"/>
      <c r="Q886" s="441"/>
    </row>
    <row r="887" spans="15:17" s="387" customFormat="1" ht="21" customHeight="1">
      <c r="O887" s="441"/>
      <c r="P887" s="441"/>
      <c r="Q887" s="441"/>
    </row>
    <row r="888" spans="15:17" s="387" customFormat="1" ht="21" customHeight="1">
      <c r="O888" s="441"/>
      <c r="P888" s="441"/>
      <c r="Q888" s="441"/>
    </row>
    <row r="889" spans="15:17" s="387" customFormat="1" ht="21" customHeight="1">
      <c r="O889" s="441"/>
      <c r="P889" s="441"/>
      <c r="Q889" s="441"/>
    </row>
    <row r="890" spans="15:17" s="387" customFormat="1" ht="21" customHeight="1">
      <c r="O890" s="441"/>
      <c r="P890" s="441"/>
      <c r="Q890" s="441"/>
    </row>
    <row r="891" spans="15:17" s="387" customFormat="1" ht="21" customHeight="1">
      <c r="O891" s="441"/>
      <c r="P891" s="441"/>
      <c r="Q891" s="441"/>
    </row>
    <row r="892" spans="15:17" s="387" customFormat="1" ht="21" customHeight="1">
      <c r="O892" s="441"/>
      <c r="P892" s="441"/>
      <c r="Q892" s="441"/>
    </row>
    <row r="893" spans="15:17" s="387" customFormat="1" ht="21" customHeight="1">
      <c r="O893" s="441"/>
      <c r="P893" s="441"/>
      <c r="Q893" s="441"/>
    </row>
    <row r="894" spans="15:17" s="387" customFormat="1" ht="21" customHeight="1">
      <c r="O894" s="441"/>
      <c r="P894" s="441"/>
      <c r="Q894" s="441"/>
    </row>
    <row r="895" spans="15:17" s="387" customFormat="1" ht="21" customHeight="1">
      <c r="O895" s="441"/>
      <c r="P895" s="441"/>
      <c r="Q895" s="441"/>
    </row>
    <row r="896" spans="15:17" s="387" customFormat="1" ht="21" customHeight="1">
      <c r="O896" s="441"/>
      <c r="P896" s="441"/>
      <c r="Q896" s="441"/>
    </row>
    <row r="897" spans="15:17" s="387" customFormat="1" ht="21" customHeight="1">
      <c r="O897" s="441"/>
      <c r="P897" s="441"/>
      <c r="Q897" s="441"/>
    </row>
    <row r="898" spans="15:17" s="387" customFormat="1" ht="21" customHeight="1">
      <c r="O898" s="441"/>
      <c r="P898" s="441"/>
      <c r="Q898" s="441"/>
    </row>
    <row r="899" spans="15:17" s="387" customFormat="1" ht="21" customHeight="1">
      <c r="O899" s="441"/>
      <c r="P899" s="441"/>
      <c r="Q899" s="441"/>
    </row>
    <row r="900" spans="15:17" s="387" customFormat="1" ht="21" customHeight="1">
      <c r="O900" s="441"/>
      <c r="P900" s="441"/>
      <c r="Q900" s="441"/>
    </row>
    <row r="901" spans="15:17" s="387" customFormat="1" ht="21" customHeight="1">
      <c r="O901" s="441"/>
      <c r="P901" s="441"/>
      <c r="Q901" s="441"/>
    </row>
    <row r="902" spans="15:17" s="387" customFormat="1" ht="21" customHeight="1">
      <c r="O902" s="441"/>
      <c r="P902" s="441"/>
      <c r="Q902" s="441"/>
    </row>
    <row r="903" spans="15:17" s="387" customFormat="1" ht="21" customHeight="1">
      <c r="O903" s="441"/>
      <c r="P903" s="441"/>
      <c r="Q903" s="441"/>
    </row>
    <row r="904" spans="15:17" s="387" customFormat="1" ht="21" customHeight="1">
      <c r="O904" s="441"/>
      <c r="P904" s="441"/>
      <c r="Q904" s="441"/>
    </row>
    <row r="905" spans="15:17" s="387" customFormat="1" ht="21" customHeight="1">
      <c r="O905" s="441"/>
      <c r="P905" s="441"/>
      <c r="Q905" s="441"/>
    </row>
    <row r="906" spans="15:17" s="387" customFormat="1" ht="21" customHeight="1">
      <c r="O906" s="441"/>
      <c r="P906" s="441"/>
      <c r="Q906" s="441"/>
    </row>
    <row r="907" spans="15:17" s="387" customFormat="1" ht="21" customHeight="1">
      <c r="O907" s="441"/>
      <c r="P907" s="441"/>
      <c r="Q907" s="441"/>
    </row>
    <row r="908" spans="15:17" s="387" customFormat="1" ht="21" customHeight="1">
      <c r="O908" s="441"/>
      <c r="P908" s="441"/>
      <c r="Q908" s="441"/>
    </row>
    <row r="909" spans="15:17" s="387" customFormat="1" ht="21" customHeight="1">
      <c r="O909" s="441"/>
      <c r="P909" s="441"/>
      <c r="Q909" s="441"/>
    </row>
    <row r="910" spans="15:17" s="387" customFormat="1" ht="21" customHeight="1">
      <c r="O910" s="441"/>
      <c r="P910" s="441"/>
      <c r="Q910" s="441"/>
    </row>
    <row r="911" spans="15:17" s="387" customFormat="1" ht="21" customHeight="1">
      <c r="O911" s="441"/>
      <c r="P911" s="441"/>
      <c r="Q911" s="441"/>
    </row>
    <row r="912" spans="15:17" s="387" customFormat="1" ht="21" customHeight="1">
      <c r="O912" s="441"/>
      <c r="P912" s="441"/>
      <c r="Q912" s="441"/>
    </row>
    <row r="913" spans="15:17" s="387" customFormat="1" ht="21" customHeight="1">
      <c r="O913" s="441"/>
      <c r="P913" s="441"/>
      <c r="Q913" s="441"/>
    </row>
    <row r="914" spans="15:17" s="387" customFormat="1" ht="21" customHeight="1">
      <c r="O914" s="441"/>
      <c r="P914" s="441"/>
      <c r="Q914" s="441"/>
    </row>
    <row r="915" spans="15:17" s="387" customFormat="1" ht="21" customHeight="1">
      <c r="O915" s="441"/>
      <c r="P915" s="441"/>
      <c r="Q915" s="441"/>
    </row>
    <row r="916" spans="15:17" s="387" customFormat="1" ht="21" customHeight="1">
      <c r="O916" s="441"/>
      <c r="P916" s="441"/>
      <c r="Q916" s="441"/>
    </row>
    <row r="917" spans="15:17" s="387" customFormat="1" ht="21" customHeight="1">
      <c r="O917" s="441"/>
      <c r="P917" s="441"/>
      <c r="Q917" s="441"/>
    </row>
    <row r="918" spans="15:17" s="387" customFormat="1" ht="21" customHeight="1">
      <c r="O918" s="441"/>
      <c r="P918" s="441"/>
      <c r="Q918" s="441"/>
    </row>
    <row r="919" spans="15:17" s="387" customFormat="1" ht="21" customHeight="1">
      <c r="O919" s="441"/>
      <c r="P919" s="441"/>
      <c r="Q919" s="441"/>
    </row>
    <row r="920" spans="15:17" s="387" customFormat="1" ht="21" customHeight="1">
      <c r="O920" s="441"/>
      <c r="P920" s="441"/>
      <c r="Q920" s="441"/>
    </row>
    <row r="921" spans="15:17" s="387" customFormat="1" ht="21" customHeight="1">
      <c r="O921" s="441"/>
      <c r="P921" s="441"/>
      <c r="Q921" s="441"/>
    </row>
    <row r="922" spans="15:17" s="387" customFormat="1" ht="21" customHeight="1">
      <c r="O922" s="441"/>
      <c r="P922" s="441"/>
      <c r="Q922" s="441"/>
    </row>
    <row r="923" spans="15:17" s="387" customFormat="1" ht="21" customHeight="1">
      <c r="O923" s="441"/>
      <c r="P923" s="441"/>
      <c r="Q923" s="441"/>
    </row>
    <row r="924" spans="15:17" s="387" customFormat="1" ht="21" customHeight="1">
      <c r="O924" s="441"/>
      <c r="P924" s="441"/>
      <c r="Q924" s="441"/>
    </row>
    <row r="925" spans="15:17" s="387" customFormat="1" ht="21" customHeight="1">
      <c r="O925" s="441"/>
      <c r="P925" s="441"/>
      <c r="Q925" s="441"/>
    </row>
    <row r="926" spans="15:17" s="387" customFormat="1" ht="21" customHeight="1">
      <c r="O926" s="441"/>
      <c r="P926" s="441"/>
      <c r="Q926" s="441"/>
    </row>
    <row r="927" spans="15:17" s="387" customFormat="1" ht="21" customHeight="1">
      <c r="O927" s="441"/>
      <c r="P927" s="441"/>
      <c r="Q927" s="441"/>
    </row>
    <row r="928" spans="15:17" s="387" customFormat="1" ht="21" customHeight="1">
      <c r="O928" s="441"/>
      <c r="P928" s="441"/>
      <c r="Q928" s="441"/>
    </row>
    <row r="929" spans="15:17" s="387" customFormat="1" ht="21" customHeight="1">
      <c r="O929" s="441"/>
      <c r="P929" s="441"/>
      <c r="Q929" s="441"/>
    </row>
    <row r="930" spans="15:17" s="387" customFormat="1" ht="21" customHeight="1">
      <c r="O930" s="441"/>
      <c r="P930" s="441"/>
      <c r="Q930" s="441"/>
    </row>
    <row r="931" spans="15:17" s="387" customFormat="1" ht="21" customHeight="1">
      <c r="O931" s="441"/>
      <c r="P931" s="441"/>
      <c r="Q931" s="441"/>
    </row>
    <row r="932" spans="15:17" s="387" customFormat="1" ht="21" customHeight="1">
      <c r="O932" s="441"/>
      <c r="P932" s="441"/>
      <c r="Q932" s="441"/>
    </row>
    <row r="933" spans="15:17" s="387" customFormat="1" ht="21" customHeight="1">
      <c r="O933" s="441"/>
      <c r="P933" s="441"/>
      <c r="Q933" s="441"/>
    </row>
    <row r="934" spans="15:17" s="387" customFormat="1" ht="21" customHeight="1">
      <c r="O934" s="441"/>
      <c r="P934" s="441"/>
      <c r="Q934" s="441"/>
    </row>
    <row r="935" spans="15:17" s="387" customFormat="1" ht="21" customHeight="1">
      <c r="O935" s="441"/>
      <c r="P935" s="441"/>
      <c r="Q935" s="441"/>
    </row>
    <row r="936" spans="15:17" s="387" customFormat="1" ht="21" customHeight="1">
      <c r="O936" s="441"/>
      <c r="P936" s="441"/>
      <c r="Q936" s="441"/>
    </row>
    <row r="937" spans="15:17" s="387" customFormat="1" ht="21" customHeight="1">
      <c r="O937" s="441"/>
      <c r="P937" s="441"/>
      <c r="Q937" s="441"/>
    </row>
    <row r="938" spans="15:17" s="387" customFormat="1" ht="21" customHeight="1">
      <c r="O938" s="441"/>
      <c r="P938" s="441"/>
      <c r="Q938" s="441"/>
    </row>
    <row r="939" spans="15:17" s="387" customFormat="1" ht="21" customHeight="1">
      <c r="O939" s="441"/>
      <c r="P939" s="441"/>
      <c r="Q939" s="441"/>
    </row>
    <row r="940" spans="15:17" s="387" customFormat="1" ht="21" customHeight="1">
      <c r="O940" s="441"/>
      <c r="P940" s="441"/>
      <c r="Q940" s="441"/>
    </row>
    <row r="941" spans="15:17" s="387" customFormat="1" ht="21" customHeight="1">
      <c r="O941" s="441"/>
      <c r="P941" s="441"/>
      <c r="Q941" s="441"/>
    </row>
    <row r="942" spans="15:17" s="387" customFormat="1" ht="21" customHeight="1">
      <c r="O942" s="441"/>
      <c r="P942" s="441"/>
      <c r="Q942" s="441"/>
    </row>
    <row r="943" spans="15:17" s="387" customFormat="1" ht="21" customHeight="1">
      <c r="O943" s="441"/>
      <c r="P943" s="441"/>
      <c r="Q943" s="441"/>
    </row>
    <row r="944" spans="15:17" s="387" customFormat="1" ht="21" customHeight="1">
      <c r="O944" s="441"/>
      <c r="P944" s="441"/>
      <c r="Q944" s="441"/>
    </row>
    <row r="945" spans="15:17" s="387" customFormat="1" ht="21" customHeight="1">
      <c r="O945" s="441"/>
      <c r="P945" s="441"/>
      <c r="Q945" s="441"/>
    </row>
    <row r="946" spans="15:17" s="387" customFormat="1" ht="21" customHeight="1">
      <c r="O946" s="441"/>
      <c r="P946" s="441"/>
      <c r="Q946" s="441"/>
    </row>
    <row r="947" spans="15:17" s="387" customFormat="1" ht="21" customHeight="1">
      <c r="O947" s="441"/>
      <c r="P947" s="441"/>
      <c r="Q947" s="441"/>
    </row>
    <row r="948" spans="15:17" s="387" customFormat="1" ht="21" customHeight="1">
      <c r="O948" s="441"/>
      <c r="P948" s="441"/>
      <c r="Q948" s="441"/>
    </row>
    <row r="949" spans="15:17" s="387" customFormat="1" ht="21" customHeight="1">
      <c r="O949" s="441"/>
      <c r="P949" s="441"/>
      <c r="Q949" s="441"/>
    </row>
    <row r="950" spans="15:17" s="387" customFormat="1" ht="21" customHeight="1">
      <c r="O950" s="441"/>
      <c r="P950" s="441"/>
      <c r="Q950" s="441"/>
    </row>
    <row r="951" spans="15:17" s="387" customFormat="1" ht="21" customHeight="1">
      <c r="O951" s="441"/>
      <c r="P951" s="441"/>
      <c r="Q951" s="441"/>
    </row>
    <row r="952" spans="15:17" s="387" customFormat="1" ht="21" customHeight="1">
      <c r="O952" s="441"/>
      <c r="P952" s="441"/>
      <c r="Q952" s="441"/>
    </row>
    <row r="953" spans="15:17" s="387" customFormat="1" ht="21" customHeight="1">
      <c r="O953" s="441"/>
      <c r="P953" s="441"/>
      <c r="Q953" s="441"/>
    </row>
    <row r="954" spans="15:17" s="387" customFormat="1" ht="21" customHeight="1">
      <c r="O954" s="441"/>
      <c r="P954" s="441"/>
      <c r="Q954" s="441"/>
    </row>
    <row r="955" spans="15:17" s="387" customFormat="1" ht="21" customHeight="1">
      <c r="O955" s="441"/>
      <c r="P955" s="441"/>
      <c r="Q955" s="441"/>
    </row>
    <row r="956" spans="15:17" s="387" customFormat="1" ht="21" customHeight="1">
      <c r="O956" s="441"/>
      <c r="P956" s="441"/>
      <c r="Q956" s="441"/>
    </row>
    <row r="957" spans="15:17" s="387" customFormat="1" ht="21" customHeight="1">
      <c r="O957" s="441"/>
      <c r="P957" s="441"/>
      <c r="Q957" s="441"/>
    </row>
    <row r="958" spans="15:17" s="387" customFormat="1" ht="21" customHeight="1">
      <c r="O958" s="441"/>
      <c r="P958" s="441"/>
      <c r="Q958" s="441"/>
    </row>
    <row r="959" spans="15:17" s="387" customFormat="1" ht="21" customHeight="1">
      <c r="O959" s="441"/>
      <c r="P959" s="441"/>
      <c r="Q959" s="441"/>
    </row>
    <row r="960" spans="15:17" s="387" customFormat="1" ht="21" customHeight="1">
      <c r="O960" s="441"/>
      <c r="P960" s="441"/>
      <c r="Q960" s="441"/>
    </row>
    <row r="961" spans="15:17" s="387" customFormat="1" ht="21" customHeight="1">
      <c r="O961" s="441"/>
      <c r="P961" s="441"/>
      <c r="Q961" s="441"/>
    </row>
    <row r="962" spans="15:17" s="387" customFormat="1" ht="21" customHeight="1">
      <c r="O962" s="441"/>
      <c r="P962" s="441"/>
      <c r="Q962" s="441"/>
    </row>
    <row r="963" spans="15:17" s="387" customFormat="1" ht="21" customHeight="1">
      <c r="O963" s="441"/>
      <c r="P963" s="441"/>
      <c r="Q963" s="441"/>
    </row>
    <row r="964" spans="15:17" s="387" customFormat="1" ht="21" customHeight="1">
      <c r="O964" s="441"/>
      <c r="P964" s="441"/>
      <c r="Q964" s="441"/>
    </row>
    <row r="965" spans="15:17" s="387" customFormat="1" ht="21" customHeight="1">
      <c r="O965" s="441"/>
      <c r="P965" s="441"/>
      <c r="Q965" s="441"/>
    </row>
    <row r="966" spans="15:17" s="387" customFormat="1" ht="21" customHeight="1">
      <c r="O966" s="441"/>
      <c r="P966" s="441"/>
      <c r="Q966" s="441"/>
    </row>
    <row r="967" spans="15:17" s="387" customFormat="1" ht="21" customHeight="1">
      <c r="O967" s="441"/>
      <c r="P967" s="441"/>
      <c r="Q967" s="441"/>
    </row>
    <row r="968" spans="15:17" s="387" customFormat="1" ht="21" customHeight="1">
      <c r="O968" s="441"/>
      <c r="P968" s="441"/>
      <c r="Q968" s="441"/>
    </row>
    <row r="969" spans="15:17" s="387" customFormat="1" ht="21" customHeight="1">
      <c r="O969" s="441"/>
      <c r="P969" s="441"/>
      <c r="Q969" s="441"/>
    </row>
    <row r="970" spans="15:17" s="387" customFormat="1" ht="21" customHeight="1">
      <c r="O970" s="441"/>
      <c r="P970" s="441"/>
      <c r="Q970" s="441"/>
    </row>
    <row r="971" spans="15:17" s="387" customFormat="1" ht="21" customHeight="1">
      <c r="O971" s="441"/>
      <c r="P971" s="441"/>
      <c r="Q971" s="441"/>
    </row>
    <row r="972" spans="15:17" s="387" customFormat="1" ht="21" customHeight="1">
      <c r="O972" s="441"/>
      <c r="P972" s="441"/>
      <c r="Q972" s="441"/>
    </row>
    <row r="973" spans="15:17" s="387" customFormat="1" ht="21" customHeight="1">
      <c r="O973" s="441"/>
      <c r="P973" s="441"/>
      <c r="Q973" s="441"/>
    </row>
    <row r="974" spans="15:17" s="387" customFormat="1" ht="21" customHeight="1">
      <c r="O974" s="441"/>
      <c r="P974" s="441"/>
      <c r="Q974" s="441"/>
    </row>
    <row r="975" spans="15:17" s="387" customFormat="1" ht="21" customHeight="1">
      <c r="O975" s="441"/>
      <c r="P975" s="441"/>
      <c r="Q975" s="441"/>
    </row>
    <row r="976" spans="15:17" s="387" customFormat="1" ht="21" customHeight="1">
      <c r="O976" s="441"/>
      <c r="P976" s="441"/>
      <c r="Q976" s="441"/>
    </row>
    <row r="977" spans="15:17" s="387" customFormat="1" ht="21" customHeight="1">
      <c r="O977" s="441"/>
      <c r="P977" s="441"/>
      <c r="Q977" s="441"/>
    </row>
    <row r="978" spans="15:17" s="387" customFormat="1" ht="21" customHeight="1">
      <c r="O978" s="441"/>
      <c r="P978" s="441"/>
      <c r="Q978" s="441"/>
    </row>
    <row r="979" spans="15:17" s="387" customFormat="1" ht="21" customHeight="1">
      <c r="O979" s="441"/>
      <c r="P979" s="441"/>
      <c r="Q979" s="441"/>
    </row>
    <row r="980" spans="15:17" s="387" customFormat="1" ht="21" customHeight="1">
      <c r="O980" s="441"/>
      <c r="P980" s="441"/>
      <c r="Q980" s="441"/>
    </row>
    <row r="981" spans="15:17" s="387" customFormat="1" ht="21" customHeight="1">
      <c r="O981" s="441"/>
      <c r="P981" s="441"/>
      <c r="Q981" s="441"/>
    </row>
    <row r="982" spans="15:17" s="387" customFormat="1" ht="21" customHeight="1">
      <c r="O982" s="441"/>
      <c r="P982" s="441"/>
      <c r="Q982" s="441"/>
    </row>
    <row r="983" spans="15:17" s="387" customFormat="1" ht="21" customHeight="1">
      <c r="O983" s="441"/>
      <c r="P983" s="441"/>
      <c r="Q983" s="441"/>
    </row>
    <row r="984" spans="15:17" s="387" customFormat="1" ht="21" customHeight="1">
      <c r="O984" s="441"/>
      <c r="P984" s="441"/>
      <c r="Q984" s="441"/>
    </row>
    <row r="985" spans="15:17" s="387" customFormat="1" ht="21" customHeight="1">
      <c r="O985" s="441"/>
      <c r="P985" s="441"/>
      <c r="Q985" s="441"/>
    </row>
    <row r="986" spans="15:17" s="387" customFormat="1" ht="21" customHeight="1">
      <c r="O986" s="441"/>
      <c r="P986" s="441"/>
      <c r="Q986" s="441"/>
    </row>
    <row r="987" spans="15:17" s="387" customFormat="1" ht="21" customHeight="1">
      <c r="O987" s="441"/>
      <c r="P987" s="441"/>
      <c r="Q987" s="441"/>
    </row>
    <row r="988" spans="15:17" s="387" customFormat="1" ht="21" customHeight="1">
      <c r="O988" s="441"/>
      <c r="P988" s="441"/>
      <c r="Q988" s="441"/>
    </row>
    <row r="989" spans="15:17" s="387" customFormat="1" ht="21" customHeight="1">
      <c r="O989" s="441"/>
      <c r="P989" s="441"/>
      <c r="Q989" s="441"/>
    </row>
    <row r="990" spans="15:17" s="387" customFormat="1" ht="21" customHeight="1">
      <c r="O990" s="441"/>
      <c r="P990" s="441"/>
      <c r="Q990" s="441"/>
    </row>
    <row r="991" spans="15:17" s="387" customFormat="1" ht="21" customHeight="1">
      <c r="O991" s="441"/>
      <c r="P991" s="441"/>
      <c r="Q991" s="441"/>
    </row>
    <row r="992" spans="15:17" s="387" customFormat="1" ht="21" customHeight="1">
      <c r="O992" s="441"/>
      <c r="P992" s="441"/>
      <c r="Q992" s="441"/>
    </row>
    <row r="993" spans="15:17" s="387" customFormat="1" ht="21" customHeight="1">
      <c r="O993" s="441"/>
      <c r="P993" s="441"/>
      <c r="Q993" s="441"/>
    </row>
    <row r="994" spans="15:17" s="387" customFormat="1" ht="21" customHeight="1">
      <c r="O994" s="441"/>
      <c r="P994" s="441"/>
      <c r="Q994" s="441"/>
    </row>
    <row r="995" spans="15:17" s="387" customFormat="1" ht="21" customHeight="1">
      <c r="O995" s="441"/>
      <c r="P995" s="441"/>
      <c r="Q995" s="441"/>
    </row>
    <row r="996" spans="15:17" s="387" customFormat="1" ht="21" customHeight="1">
      <c r="O996" s="441"/>
      <c r="P996" s="441"/>
      <c r="Q996" s="441"/>
    </row>
    <row r="997" spans="15:17" s="387" customFormat="1" ht="21" customHeight="1">
      <c r="O997" s="441"/>
      <c r="P997" s="441"/>
      <c r="Q997" s="441"/>
    </row>
    <row r="998" spans="15:17" s="387" customFormat="1" ht="21" customHeight="1">
      <c r="O998" s="441"/>
      <c r="P998" s="441"/>
      <c r="Q998" s="441"/>
    </row>
    <row r="999" spans="15:17" s="387" customFormat="1" ht="21" customHeight="1">
      <c r="O999" s="441"/>
      <c r="P999" s="441"/>
      <c r="Q999" s="441"/>
    </row>
    <row r="1000" spans="15:17" s="387" customFormat="1" ht="21" customHeight="1">
      <c r="O1000" s="441"/>
      <c r="P1000" s="441"/>
      <c r="Q1000" s="441"/>
    </row>
    <row r="1001" spans="15:17" s="387" customFormat="1" ht="21" customHeight="1">
      <c r="O1001" s="441"/>
      <c r="P1001" s="441"/>
      <c r="Q1001" s="441"/>
    </row>
    <row r="1002" spans="15:17" s="387" customFormat="1" ht="21" customHeight="1">
      <c r="O1002" s="441"/>
      <c r="P1002" s="441"/>
      <c r="Q1002" s="441"/>
    </row>
    <row r="1003" spans="15:17" s="387" customFormat="1" ht="21" customHeight="1">
      <c r="O1003" s="441"/>
      <c r="P1003" s="441"/>
      <c r="Q1003" s="441"/>
    </row>
    <row r="1004" spans="15:17" s="387" customFormat="1" ht="21" customHeight="1">
      <c r="O1004" s="441"/>
      <c r="P1004" s="441"/>
      <c r="Q1004" s="441"/>
    </row>
    <row r="1005" spans="15:17" s="387" customFormat="1" ht="21" customHeight="1">
      <c r="O1005" s="441"/>
      <c r="P1005" s="441"/>
      <c r="Q1005" s="441"/>
    </row>
    <row r="1006" spans="15:17" s="387" customFormat="1" ht="21" customHeight="1">
      <c r="O1006" s="441"/>
      <c r="P1006" s="441"/>
      <c r="Q1006" s="441"/>
    </row>
    <row r="1007" spans="15:17" s="387" customFormat="1" ht="21" customHeight="1">
      <c r="O1007" s="441"/>
      <c r="P1007" s="441"/>
      <c r="Q1007" s="441"/>
    </row>
    <row r="1008" spans="15:17" s="387" customFormat="1" ht="21" customHeight="1">
      <c r="O1008" s="441"/>
      <c r="P1008" s="441"/>
      <c r="Q1008" s="441"/>
    </row>
    <row r="1009" spans="15:17" s="387" customFormat="1" ht="21" customHeight="1">
      <c r="O1009" s="441"/>
      <c r="P1009" s="441"/>
      <c r="Q1009" s="441"/>
    </row>
    <row r="1010" spans="15:17" s="387" customFormat="1" ht="21" customHeight="1">
      <c r="O1010" s="441"/>
      <c r="P1010" s="441"/>
      <c r="Q1010" s="441"/>
    </row>
    <row r="1011" spans="15:17" s="387" customFormat="1" ht="21" customHeight="1">
      <c r="O1011" s="441"/>
      <c r="P1011" s="441"/>
      <c r="Q1011" s="441"/>
    </row>
    <row r="1012" spans="15:17" s="387" customFormat="1" ht="21" customHeight="1">
      <c r="O1012" s="441"/>
      <c r="P1012" s="441"/>
      <c r="Q1012" s="441"/>
    </row>
    <row r="1013" spans="15:17" s="387" customFormat="1" ht="21" customHeight="1">
      <c r="O1013" s="441"/>
      <c r="P1013" s="441"/>
      <c r="Q1013" s="441"/>
    </row>
    <row r="1014" spans="15:17" s="387" customFormat="1" ht="21" customHeight="1">
      <c r="O1014" s="441"/>
      <c r="P1014" s="441"/>
      <c r="Q1014" s="441"/>
    </row>
    <row r="1015" spans="15:17" s="387" customFormat="1" ht="21" customHeight="1">
      <c r="O1015" s="441"/>
      <c r="P1015" s="441"/>
      <c r="Q1015" s="441"/>
    </row>
    <row r="1016" spans="15:17" s="387" customFormat="1" ht="21" customHeight="1">
      <c r="O1016" s="441"/>
      <c r="P1016" s="441"/>
      <c r="Q1016" s="441"/>
    </row>
    <row r="1017" spans="15:17" s="387" customFormat="1" ht="21" customHeight="1">
      <c r="O1017" s="441"/>
      <c r="P1017" s="441"/>
      <c r="Q1017" s="441"/>
    </row>
    <row r="1018" spans="15:17" s="387" customFormat="1" ht="21" customHeight="1">
      <c r="O1018" s="441"/>
      <c r="P1018" s="441"/>
      <c r="Q1018" s="441"/>
    </row>
    <row r="1019" spans="15:17" s="387" customFormat="1" ht="21" customHeight="1">
      <c r="O1019" s="441"/>
      <c r="P1019" s="441"/>
      <c r="Q1019" s="441"/>
    </row>
    <row r="1020" spans="15:17" s="387" customFormat="1" ht="21" customHeight="1">
      <c r="O1020" s="441"/>
      <c r="P1020" s="441"/>
      <c r="Q1020" s="441"/>
    </row>
    <row r="1021" spans="15:17" s="387" customFormat="1" ht="21" customHeight="1">
      <c r="O1021" s="441"/>
      <c r="P1021" s="441"/>
      <c r="Q1021" s="441"/>
    </row>
    <row r="1022" spans="15:17" s="387" customFormat="1" ht="21" customHeight="1">
      <c r="O1022" s="441"/>
      <c r="P1022" s="441"/>
      <c r="Q1022" s="441"/>
    </row>
    <row r="1023" spans="15:17" s="387" customFormat="1" ht="21" customHeight="1">
      <c r="O1023" s="441"/>
      <c r="P1023" s="441"/>
      <c r="Q1023" s="441"/>
    </row>
    <row r="1024" spans="15:17" s="387" customFormat="1" ht="21" customHeight="1">
      <c r="O1024" s="441"/>
      <c r="P1024" s="441"/>
      <c r="Q1024" s="441"/>
    </row>
    <row r="1025" spans="15:17" s="387" customFormat="1" ht="21" customHeight="1">
      <c r="O1025" s="441"/>
      <c r="P1025" s="441"/>
      <c r="Q1025" s="441"/>
    </row>
    <row r="1026" spans="15:17" s="387" customFormat="1" ht="21" customHeight="1">
      <c r="O1026" s="441"/>
      <c r="P1026" s="441"/>
      <c r="Q1026" s="441"/>
    </row>
    <row r="1027" spans="15:17" s="387" customFormat="1" ht="21" customHeight="1">
      <c r="O1027" s="441"/>
      <c r="P1027" s="441"/>
      <c r="Q1027" s="441"/>
    </row>
    <row r="1028" spans="15:17" s="387" customFormat="1" ht="21" customHeight="1">
      <c r="O1028" s="441"/>
      <c r="P1028" s="441"/>
      <c r="Q1028" s="441"/>
    </row>
    <row r="1029" spans="15:17" s="387" customFormat="1" ht="21" customHeight="1">
      <c r="O1029" s="441"/>
      <c r="P1029" s="441"/>
      <c r="Q1029" s="441"/>
    </row>
    <row r="1030" spans="15:17" s="387" customFormat="1" ht="21" customHeight="1">
      <c r="O1030" s="441"/>
      <c r="P1030" s="441"/>
      <c r="Q1030" s="441"/>
    </row>
    <row r="1031" spans="15:17" s="387" customFormat="1" ht="21" customHeight="1">
      <c r="O1031" s="441"/>
      <c r="P1031" s="441"/>
      <c r="Q1031" s="441"/>
    </row>
    <row r="1032" spans="15:17" s="387" customFormat="1" ht="21" customHeight="1">
      <c r="O1032" s="441"/>
      <c r="P1032" s="441"/>
      <c r="Q1032" s="441"/>
    </row>
    <row r="1033" spans="15:17" s="387" customFormat="1" ht="21" customHeight="1">
      <c r="O1033" s="441"/>
      <c r="P1033" s="441"/>
      <c r="Q1033" s="441"/>
    </row>
    <row r="1034" spans="15:17" s="387" customFormat="1" ht="21" customHeight="1">
      <c r="O1034" s="441"/>
      <c r="P1034" s="441"/>
      <c r="Q1034" s="441"/>
    </row>
    <row r="1035" spans="15:17" s="387" customFormat="1" ht="21" customHeight="1">
      <c r="O1035" s="441"/>
      <c r="P1035" s="441"/>
      <c r="Q1035" s="441"/>
    </row>
    <row r="1036" spans="15:17" s="387" customFormat="1" ht="21" customHeight="1">
      <c r="O1036" s="441"/>
      <c r="P1036" s="441"/>
      <c r="Q1036" s="441"/>
    </row>
    <row r="1037" spans="15:17" s="387" customFormat="1" ht="21" customHeight="1">
      <c r="O1037" s="441"/>
      <c r="P1037" s="441"/>
      <c r="Q1037" s="441"/>
    </row>
    <row r="1038" spans="15:17" s="387" customFormat="1" ht="21" customHeight="1">
      <c r="O1038" s="441"/>
      <c r="P1038" s="441"/>
      <c r="Q1038" s="441"/>
    </row>
    <row r="1039" spans="15:17" s="387" customFormat="1" ht="21" customHeight="1">
      <c r="O1039" s="441"/>
      <c r="P1039" s="441"/>
      <c r="Q1039" s="441"/>
    </row>
    <row r="1040" spans="15:17" s="387" customFormat="1" ht="21" customHeight="1">
      <c r="O1040" s="441"/>
      <c r="P1040" s="441"/>
      <c r="Q1040" s="441"/>
    </row>
    <row r="1041" spans="15:17" s="387" customFormat="1" ht="21" customHeight="1">
      <c r="O1041" s="441"/>
      <c r="P1041" s="441"/>
      <c r="Q1041" s="441"/>
    </row>
    <row r="1042" spans="15:17" s="387" customFormat="1" ht="21" customHeight="1">
      <c r="O1042" s="441"/>
      <c r="P1042" s="441"/>
      <c r="Q1042" s="441"/>
    </row>
    <row r="1043" spans="15:17" s="387" customFormat="1" ht="21" customHeight="1">
      <c r="O1043" s="441"/>
      <c r="P1043" s="441"/>
      <c r="Q1043" s="441"/>
    </row>
    <row r="1044" spans="15:17" s="387" customFormat="1" ht="21" customHeight="1">
      <c r="O1044" s="441"/>
      <c r="P1044" s="441"/>
      <c r="Q1044" s="441"/>
    </row>
    <row r="1045" spans="15:17" s="387" customFormat="1" ht="21" customHeight="1">
      <c r="O1045" s="441"/>
      <c r="P1045" s="441"/>
      <c r="Q1045" s="441"/>
    </row>
    <row r="1046" spans="15:17" s="387" customFormat="1" ht="21" customHeight="1">
      <c r="O1046" s="441"/>
      <c r="P1046" s="441"/>
      <c r="Q1046" s="441"/>
    </row>
    <row r="1047" spans="15:17" s="387" customFormat="1" ht="21" customHeight="1">
      <c r="O1047" s="441"/>
      <c r="P1047" s="441"/>
      <c r="Q1047" s="441"/>
    </row>
    <row r="1048" spans="15:17" s="387" customFormat="1" ht="21" customHeight="1">
      <c r="O1048" s="441"/>
      <c r="P1048" s="441"/>
      <c r="Q1048" s="441"/>
    </row>
    <row r="1049" spans="15:17" s="387" customFormat="1" ht="21" customHeight="1">
      <c r="O1049" s="441"/>
      <c r="P1049" s="441"/>
      <c r="Q1049" s="441"/>
    </row>
    <row r="1050" spans="15:17" s="387" customFormat="1" ht="21" customHeight="1">
      <c r="O1050" s="441"/>
      <c r="P1050" s="441"/>
      <c r="Q1050" s="441"/>
    </row>
    <row r="1051" spans="15:17" s="387" customFormat="1" ht="21" customHeight="1">
      <c r="O1051" s="441"/>
      <c r="P1051" s="441"/>
      <c r="Q1051" s="441"/>
    </row>
    <row r="1052" spans="15:17" s="387" customFormat="1" ht="21" customHeight="1">
      <c r="O1052" s="441"/>
      <c r="P1052" s="441"/>
      <c r="Q1052" s="441"/>
    </row>
    <row r="1053" spans="15:17" s="387" customFormat="1" ht="21" customHeight="1">
      <c r="O1053" s="441"/>
      <c r="P1053" s="441"/>
      <c r="Q1053" s="441"/>
    </row>
    <row r="1054" spans="15:17" s="387" customFormat="1" ht="21" customHeight="1">
      <c r="O1054" s="441"/>
      <c r="P1054" s="441"/>
      <c r="Q1054" s="441"/>
    </row>
    <row r="1055" spans="15:17" s="387" customFormat="1" ht="21" customHeight="1">
      <c r="O1055" s="441"/>
      <c r="P1055" s="441"/>
      <c r="Q1055" s="441"/>
    </row>
    <row r="1056" spans="15:17" s="387" customFormat="1" ht="21" customHeight="1">
      <c r="O1056" s="441"/>
      <c r="P1056" s="441"/>
      <c r="Q1056" s="441"/>
    </row>
    <row r="1057" spans="15:17" s="387" customFormat="1" ht="21" customHeight="1">
      <c r="O1057" s="441"/>
      <c r="P1057" s="441"/>
      <c r="Q1057" s="441"/>
    </row>
    <row r="1058" spans="15:17" s="387" customFormat="1" ht="21" customHeight="1">
      <c r="O1058" s="441"/>
      <c r="P1058" s="441"/>
      <c r="Q1058" s="441"/>
    </row>
    <row r="1059" spans="15:17" s="387" customFormat="1" ht="21" customHeight="1">
      <c r="O1059" s="441"/>
      <c r="P1059" s="441"/>
      <c r="Q1059" s="441"/>
    </row>
    <row r="1060" spans="15:17" s="387" customFormat="1" ht="21" customHeight="1">
      <c r="O1060" s="441"/>
      <c r="P1060" s="441"/>
      <c r="Q1060" s="441"/>
    </row>
    <row r="1061" spans="15:17" s="387" customFormat="1" ht="21" customHeight="1">
      <c r="O1061" s="441"/>
      <c r="P1061" s="441"/>
      <c r="Q1061" s="441"/>
    </row>
    <row r="1062" spans="15:17" s="387" customFormat="1" ht="21" customHeight="1">
      <c r="O1062" s="441"/>
      <c r="P1062" s="441"/>
      <c r="Q1062" s="441"/>
    </row>
    <row r="1063" spans="15:17" s="387" customFormat="1" ht="21" customHeight="1">
      <c r="O1063" s="441"/>
      <c r="P1063" s="441"/>
      <c r="Q1063" s="441"/>
    </row>
    <row r="1064" spans="15:17" s="387" customFormat="1" ht="21" customHeight="1">
      <c r="O1064" s="441"/>
      <c r="P1064" s="441"/>
      <c r="Q1064" s="441"/>
    </row>
    <row r="1065" spans="15:17" s="387" customFormat="1" ht="21" customHeight="1">
      <c r="O1065" s="441"/>
      <c r="P1065" s="441"/>
      <c r="Q1065" s="441"/>
    </row>
    <row r="1066" spans="15:17" s="387" customFormat="1" ht="21" customHeight="1">
      <c r="O1066" s="441"/>
      <c r="P1066" s="441"/>
      <c r="Q1066" s="441"/>
    </row>
    <row r="1067" spans="15:17" s="387" customFormat="1" ht="21" customHeight="1">
      <c r="O1067" s="441"/>
      <c r="P1067" s="441"/>
      <c r="Q1067" s="441"/>
    </row>
    <row r="1068" spans="15:17" s="387" customFormat="1" ht="21" customHeight="1">
      <c r="O1068" s="441"/>
      <c r="P1068" s="441"/>
      <c r="Q1068" s="441"/>
    </row>
    <row r="1069" spans="15:17" s="387" customFormat="1" ht="21" customHeight="1">
      <c r="O1069" s="441"/>
      <c r="P1069" s="441"/>
      <c r="Q1069" s="441"/>
    </row>
    <row r="1070" spans="15:17" s="387" customFormat="1" ht="21" customHeight="1">
      <c r="O1070" s="441"/>
      <c r="P1070" s="441"/>
      <c r="Q1070" s="441"/>
    </row>
    <row r="1071" spans="15:17" s="387" customFormat="1" ht="21" customHeight="1">
      <c r="O1071" s="441"/>
      <c r="P1071" s="441"/>
      <c r="Q1071" s="441"/>
    </row>
    <row r="1072" spans="15:17" s="387" customFormat="1" ht="21" customHeight="1">
      <c r="O1072" s="441"/>
      <c r="P1072" s="441"/>
      <c r="Q1072" s="441"/>
    </row>
    <row r="1073" spans="15:17" s="387" customFormat="1" ht="21" customHeight="1">
      <c r="O1073" s="441"/>
      <c r="P1073" s="441"/>
      <c r="Q1073" s="441"/>
    </row>
    <row r="1074" spans="15:17" s="387" customFormat="1" ht="21" customHeight="1">
      <c r="O1074" s="441"/>
      <c r="P1074" s="441"/>
      <c r="Q1074" s="441"/>
    </row>
    <row r="1075" spans="15:17" s="387" customFormat="1" ht="21" customHeight="1">
      <c r="O1075" s="441"/>
      <c r="P1075" s="441"/>
      <c r="Q1075" s="441"/>
    </row>
    <row r="1076" spans="15:17" s="387" customFormat="1" ht="21" customHeight="1">
      <c r="O1076" s="441"/>
      <c r="P1076" s="441"/>
      <c r="Q1076" s="441"/>
    </row>
    <row r="1077" spans="15:17" s="387" customFormat="1" ht="21" customHeight="1">
      <c r="O1077" s="441"/>
      <c r="P1077" s="441"/>
      <c r="Q1077" s="441"/>
    </row>
    <row r="1078" spans="15:17" s="387" customFormat="1" ht="21" customHeight="1">
      <c r="O1078" s="441"/>
      <c r="P1078" s="441"/>
      <c r="Q1078" s="441"/>
    </row>
    <row r="1079" spans="15:17" s="387" customFormat="1" ht="21" customHeight="1">
      <c r="O1079" s="441"/>
      <c r="P1079" s="441"/>
      <c r="Q1079" s="441"/>
    </row>
    <row r="1080" spans="15:17" s="387" customFormat="1" ht="21" customHeight="1">
      <c r="O1080" s="441"/>
      <c r="P1080" s="441"/>
      <c r="Q1080" s="441"/>
    </row>
    <row r="1081" spans="15:17" s="387" customFormat="1" ht="21" customHeight="1">
      <c r="O1081" s="441"/>
      <c r="P1081" s="441"/>
      <c r="Q1081" s="441"/>
    </row>
    <row r="1082" spans="15:17" s="387" customFormat="1" ht="21" customHeight="1">
      <c r="O1082" s="441"/>
      <c r="P1082" s="441"/>
      <c r="Q1082" s="441"/>
    </row>
    <row r="1083" spans="15:17" s="387" customFormat="1" ht="21" customHeight="1">
      <c r="O1083" s="441"/>
      <c r="P1083" s="441"/>
      <c r="Q1083" s="441"/>
    </row>
    <row r="1084" spans="15:17" s="387" customFormat="1" ht="21" customHeight="1">
      <c r="O1084" s="441"/>
      <c r="P1084" s="441"/>
      <c r="Q1084" s="441"/>
    </row>
    <row r="1085" spans="15:17" s="387" customFormat="1" ht="21" customHeight="1">
      <c r="O1085" s="441"/>
      <c r="P1085" s="441"/>
      <c r="Q1085" s="441"/>
    </row>
    <row r="1086" spans="15:17" s="387" customFormat="1" ht="21" customHeight="1">
      <c r="O1086" s="441"/>
      <c r="P1086" s="441"/>
      <c r="Q1086" s="441"/>
    </row>
    <row r="1087" spans="15:17" s="387" customFormat="1" ht="21" customHeight="1">
      <c r="O1087" s="441"/>
      <c r="P1087" s="441"/>
      <c r="Q1087" s="441"/>
    </row>
    <row r="1088" spans="15:17" s="387" customFormat="1" ht="21" customHeight="1">
      <c r="O1088" s="441"/>
      <c r="P1088" s="441"/>
      <c r="Q1088" s="441"/>
    </row>
    <row r="1089" spans="15:17" s="387" customFormat="1" ht="21" customHeight="1">
      <c r="O1089" s="441"/>
      <c r="P1089" s="441"/>
      <c r="Q1089" s="441"/>
    </row>
    <row r="1090" spans="15:17" s="387" customFormat="1" ht="21" customHeight="1">
      <c r="O1090" s="441"/>
      <c r="P1090" s="441"/>
      <c r="Q1090" s="441"/>
    </row>
    <row r="1091" spans="15:17" s="387" customFormat="1" ht="21" customHeight="1">
      <c r="O1091" s="441"/>
      <c r="P1091" s="441"/>
      <c r="Q1091" s="441"/>
    </row>
    <row r="1092" spans="15:17" s="387" customFormat="1" ht="21" customHeight="1">
      <c r="O1092" s="441"/>
      <c r="P1092" s="441"/>
      <c r="Q1092" s="441"/>
    </row>
    <row r="1093" spans="15:17" s="387" customFormat="1" ht="21" customHeight="1">
      <c r="O1093" s="441"/>
      <c r="P1093" s="441"/>
      <c r="Q1093" s="441"/>
    </row>
    <row r="1094" spans="15:17" s="387" customFormat="1" ht="21" customHeight="1">
      <c r="O1094" s="441"/>
      <c r="P1094" s="441"/>
      <c r="Q1094" s="441"/>
    </row>
    <row r="1095" spans="15:17" s="387" customFormat="1" ht="21" customHeight="1">
      <c r="O1095" s="441"/>
      <c r="P1095" s="441"/>
      <c r="Q1095" s="441"/>
    </row>
    <row r="1096" spans="15:17" s="387" customFormat="1" ht="21" customHeight="1">
      <c r="O1096" s="441"/>
      <c r="P1096" s="441"/>
      <c r="Q1096" s="441"/>
    </row>
    <row r="1097" spans="15:17" s="387" customFormat="1" ht="21" customHeight="1">
      <c r="O1097" s="441"/>
      <c r="P1097" s="441"/>
      <c r="Q1097" s="441"/>
    </row>
    <row r="1098" spans="15:17" s="387" customFormat="1" ht="21" customHeight="1">
      <c r="O1098" s="441"/>
      <c r="P1098" s="441"/>
      <c r="Q1098" s="441"/>
    </row>
    <row r="1099" spans="15:17" s="387" customFormat="1" ht="21" customHeight="1">
      <c r="O1099" s="441"/>
      <c r="P1099" s="441"/>
      <c r="Q1099" s="441"/>
    </row>
    <row r="1100" spans="15:17" s="387" customFormat="1" ht="21" customHeight="1">
      <c r="O1100" s="441"/>
      <c r="P1100" s="441"/>
      <c r="Q1100" s="441"/>
    </row>
    <row r="1101" spans="15:17" s="387" customFormat="1" ht="21" customHeight="1">
      <c r="O1101" s="441"/>
      <c r="P1101" s="441"/>
      <c r="Q1101" s="441"/>
    </row>
    <row r="1102" spans="15:17" s="387" customFormat="1" ht="21" customHeight="1">
      <c r="O1102" s="441"/>
      <c r="P1102" s="441"/>
      <c r="Q1102" s="441"/>
    </row>
    <row r="1103" spans="15:17" s="387" customFormat="1" ht="21" customHeight="1">
      <c r="O1103" s="441"/>
      <c r="P1103" s="441"/>
      <c r="Q1103" s="441"/>
    </row>
    <row r="1104" spans="15:17" s="387" customFormat="1" ht="21" customHeight="1">
      <c r="O1104" s="441"/>
      <c r="P1104" s="441"/>
      <c r="Q1104" s="441"/>
    </row>
    <row r="1105" spans="15:17" s="387" customFormat="1" ht="21" customHeight="1">
      <c r="O1105" s="441"/>
      <c r="P1105" s="441"/>
      <c r="Q1105" s="441"/>
    </row>
    <row r="1106" spans="15:17" s="387" customFormat="1" ht="21" customHeight="1">
      <c r="O1106" s="441"/>
      <c r="P1106" s="441"/>
      <c r="Q1106" s="441"/>
    </row>
    <row r="1107" spans="15:17" s="387" customFormat="1" ht="21" customHeight="1">
      <c r="O1107" s="441"/>
      <c r="P1107" s="441"/>
      <c r="Q1107" s="441"/>
    </row>
    <row r="1108" spans="15:17" s="387" customFormat="1" ht="21" customHeight="1">
      <c r="O1108" s="441"/>
      <c r="P1108" s="441"/>
      <c r="Q1108" s="441"/>
    </row>
    <row r="1109" spans="15:17" s="387" customFormat="1" ht="21" customHeight="1">
      <c r="O1109" s="441"/>
      <c r="P1109" s="441"/>
      <c r="Q1109" s="441"/>
    </row>
    <row r="1110" spans="15:17" s="387" customFormat="1" ht="21" customHeight="1">
      <c r="O1110" s="441"/>
      <c r="P1110" s="441"/>
      <c r="Q1110" s="441"/>
    </row>
    <row r="1111" spans="15:17" s="387" customFormat="1" ht="21" customHeight="1">
      <c r="O1111" s="441"/>
      <c r="P1111" s="441"/>
      <c r="Q1111" s="441"/>
    </row>
    <row r="1112" spans="15:17" s="387" customFormat="1" ht="21" customHeight="1">
      <c r="O1112" s="441"/>
      <c r="P1112" s="441"/>
      <c r="Q1112" s="441"/>
    </row>
    <row r="1113" spans="15:17" s="387" customFormat="1" ht="21" customHeight="1">
      <c r="O1113" s="441"/>
      <c r="P1113" s="441"/>
      <c r="Q1113" s="441"/>
    </row>
    <row r="1114" spans="15:17" s="387" customFormat="1" ht="21" customHeight="1">
      <c r="O1114" s="441"/>
      <c r="P1114" s="441"/>
      <c r="Q1114" s="441"/>
    </row>
    <row r="1115" spans="15:17" s="387" customFormat="1" ht="21" customHeight="1">
      <c r="O1115" s="441"/>
      <c r="P1115" s="441"/>
      <c r="Q1115" s="441"/>
    </row>
    <row r="1116" spans="15:17" s="387" customFormat="1" ht="21" customHeight="1">
      <c r="O1116" s="441"/>
      <c r="P1116" s="441"/>
      <c r="Q1116" s="441"/>
    </row>
    <row r="1117" spans="15:17" s="387" customFormat="1" ht="21" customHeight="1">
      <c r="O1117" s="441"/>
      <c r="P1117" s="441"/>
      <c r="Q1117" s="441"/>
    </row>
    <row r="1118" spans="15:17" s="387" customFormat="1" ht="21" customHeight="1">
      <c r="O1118" s="441"/>
      <c r="P1118" s="441"/>
      <c r="Q1118" s="441"/>
    </row>
    <row r="1119" spans="15:17" s="387" customFormat="1" ht="21" customHeight="1">
      <c r="O1119" s="441"/>
      <c r="P1119" s="441"/>
      <c r="Q1119" s="441"/>
    </row>
    <row r="1120" spans="15:17" s="387" customFormat="1" ht="21" customHeight="1">
      <c r="O1120" s="441"/>
      <c r="P1120" s="441"/>
      <c r="Q1120" s="441"/>
    </row>
    <row r="1121" spans="15:17" s="387" customFormat="1" ht="21" customHeight="1">
      <c r="O1121" s="441"/>
      <c r="P1121" s="441"/>
      <c r="Q1121" s="441"/>
    </row>
    <row r="1122" spans="15:17" s="387" customFormat="1" ht="21" customHeight="1">
      <c r="O1122" s="441"/>
      <c r="P1122" s="441"/>
      <c r="Q1122" s="441"/>
    </row>
    <row r="1123" spans="15:17" s="387" customFormat="1" ht="21" customHeight="1">
      <c r="O1123" s="441"/>
      <c r="P1123" s="441"/>
      <c r="Q1123" s="441"/>
    </row>
    <row r="1124" spans="15:17" s="387" customFormat="1" ht="21" customHeight="1">
      <c r="O1124" s="441"/>
      <c r="P1124" s="441"/>
      <c r="Q1124" s="441"/>
    </row>
    <row r="1125" spans="15:17" s="387" customFormat="1" ht="21" customHeight="1">
      <c r="O1125" s="441"/>
      <c r="P1125" s="441"/>
      <c r="Q1125" s="441"/>
    </row>
    <row r="1126" spans="15:17" s="387" customFormat="1" ht="21" customHeight="1">
      <c r="O1126" s="441"/>
      <c r="P1126" s="441"/>
      <c r="Q1126" s="441"/>
    </row>
    <row r="1127" spans="15:17" s="387" customFormat="1" ht="21" customHeight="1">
      <c r="O1127" s="441"/>
      <c r="P1127" s="441"/>
      <c r="Q1127" s="441"/>
    </row>
    <row r="1128" spans="15:17" s="387" customFormat="1" ht="21" customHeight="1">
      <c r="O1128" s="441"/>
      <c r="P1128" s="441"/>
      <c r="Q1128" s="441"/>
    </row>
    <row r="1129" spans="15:17" s="387" customFormat="1" ht="21" customHeight="1">
      <c r="O1129" s="441"/>
      <c r="P1129" s="441"/>
      <c r="Q1129" s="441"/>
    </row>
    <row r="1130" spans="15:17" s="387" customFormat="1" ht="21" customHeight="1">
      <c r="O1130" s="441"/>
      <c r="P1130" s="441"/>
      <c r="Q1130" s="441"/>
    </row>
    <row r="1131" spans="15:17" s="387" customFormat="1" ht="21" customHeight="1">
      <c r="O1131" s="441"/>
      <c r="P1131" s="441"/>
      <c r="Q1131" s="441"/>
    </row>
    <row r="1132" spans="15:17" s="387" customFormat="1" ht="21" customHeight="1">
      <c r="O1132" s="441"/>
      <c r="P1132" s="441"/>
      <c r="Q1132" s="441"/>
    </row>
    <row r="1133" spans="15:17" s="387" customFormat="1" ht="21" customHeight="1">
      <c r="O1133" s="441"/>
      <c r="P1133" s="441"/>
      <c r="Q1133" s="441"/>
    </row>
    <row r="1134" spans="15:17" s="387" customFormat="1" ht="21" customHeight="1">
      <c r="O1134" s="441"/>
      <c r="P1134" s="441"/>
      <c r="Q1134" s="441"/>
    </row>
    <row r="1135" spans="15:17" s="387" customFormat="1" ht="21" customHeight="1">
      <c r="O1135" s="441"/>
      <c r="P1135" s="441"/>
      <c r="Q1135" s="441"/>
    </row>
    <row r="1136" spans="15:17" s="387" customFormat="1" ht="21" customHeight="1">
      <c r="O1136" s="441"/>
      <c r="P1136" s="441"/>
      <c r="Q1136" s="441"/>
    </row>
    <row r="1137" spans="15:17" s="387" customFormat="1" ht="21" customHeight="1">
      <c r="O1137" s="441"/>
      <c r="P1137" s="441"/>
      <c r="Q1137" s="441"/>
    </row>
    <row r="1138" spans="15:17" s="387" customFormat="1" ht="21" customHeight="1">
      <c r="O1138" s="441"/>
      <c r="P1138" s="441"/>
      <c r="Q1138" s="441"/>
    </row>
    <row r="1139" spans="15:17" s="387" customFormat="1" ht="21" customHeight="1">
      <c r="O1139" s="441"/>
      <c r="P1139" s="441"/>
      <c r="Q1139" s="441"/>
    </row>
    <row r="1140" spans="15:17" s="387" customFormat="1" ht="21" customHeight="1">
      <c r="O1140" s="441"/>
      <c r="P1140" s="441"/>
      <c r="Q1140" s="441"/>
    </row>
    <row r="1141" spans="15:17" s="387" customFormat="1" ht="21" customHeight="1">
      <c r="O1141" s="441"/>
      <c r="P1141" s="441"/>
      <c r="Q1141" s="441"/>
    </row>
    <row r="1142" spans="15:17" s="387" customFormat="1" ht="21" customHeight="1">
      <c r="O1142" s="441"/>
      <c r="P1142" s="441"/>
      <c r="Q1142" s="441"/>
    </row>
    <row r="1143" spans="15:17" s="387" customFormat="1" ht="21" customHeight="1">
      <c r="O1143" s="441"/>
      <c r="P1143" s="441"/>
      <c r="Q1143" s="441"/>
    </row>
    <row r="1144" spans="15:17" s="387" customFormat="1" ht="21" customHeight="1">
      <c r="O1144" s="441"/>
      <c r="P1144" s="441"/>
      <c r="Q1144" s="441"/>
    </row>
    <row r="1145" spans="15:17" s="387" customFormat="1" ht="21" customHeight="1">
      <c r="O1145" s="441"/>
      <c r="P1145" s="441"/>
      <c r="Q1145" s="441"/>
    </row>
    <row r="1146" spans="15:17" s="387" customFormat="1" ht="21" customHeight="1">
      <c r="O1146" s="441"/>
      <c r="P1146" s="441"/>
      <c r="Q1146" s="441"/>
    </row>
    <row r="1147" spans="15:17" s="387" customFormat="1" ht="21" customHeight="1">
      <c r="O1147" s="441"/>
      <c r="P1147" s="441"/>
      <c r="Q1147" s="441"/>
    </row>
    <row r="1148" spans="15:17" s="387" customFormat="1" ht="21" customHeight="1">
      <c r="O1148" s="441"/>
      <c r="P1148" s="441"/>
      <c r="Q1148" s="441"/>
    </row>
    <row r="1149" spans="15:17" s="387" customFormat="1" ht="21" customHeight="1">
      <c r="O1149" s="441"/>
      <c r="P1149" s="441"/>
      <c r="Q1149" s="441"/>
    </row>
    <row r="1150" spans="15:17" s="387" customFormat="1" ht="21" customHeight="1">
      <c r="O1150" s="441"/>
      <c r="P1150" s="441"/>
      <c r="Q1150" s="441"/>
    </row>
    <row r="1151" spans="15:17" s="387" customFormat="1" ht="21" customHeight="1">
      <c r="O1151" s="441"/>
      <c r="P1151" s="441"/>
      <c r="Q1151" s="441"/>
    </row>
    <row r="1152" spans="15:17" s="387" customFormat="1" ht="21" customHeight="1">
      <c r="O1152" s="441"/>
      <c r="P1152" s="441"/>
      <c r="Q1152" s="441"/>
    </row>
    <row r="1153" spans="15:17" s="387" customFormat="1" ht="21" customHeight="1">
      <c r="O1153" s="441"/>
      <c r="P1153" s="441"/>
      <c r="Q1153" s="441"/>
    </row>
    <row r="1154" spans="15:17" s="387" customFormat="1" ht="21" customHeight="1">
      <c r="O1154" s="441"/>
      <c r="P1154" s="441"/>
      <c r="Q1154" s="441"/>
    </row>
    <row r="1155" spans="15:17" s="387" customFormat="1" ht="21" customHeight="1">
      <c r="O1155" s="441"/>
      <c r="P1155" s="441"/>
      <c r="Q1155" s="441"/>
    </row>
    <row r="1156" spans="15:17" s="387" customFormat="1" ht="21" customHeight="1">
      <c r="O1156" s="441"/>
      <c r="P1156" s="441"/>
      <c r="Q1156" s="441"/>
    </row>
    <row r="1157" spans="15:17" s="387" customFormat="1" ht="21" customHeight="1">
      <c r="O1157" s="441"/>
      <c r="P1157" s="441"/>
      <c r="Q1157" s="441"/>
    </row>
    <row r="1158" spans="15:17" s="387" customFormat="1" ht="21" customHeight="1">
      <c r="O1158" s="441"/>
      <c r="P1158" s="441"/>
      <c r="Q1158" s="441"/>
    </row>
    <row r="1159" spans="15:17" s="387" customFormat="1" ht="21" customHeight="1">
      <c r="O1159" s="441"/>
      <c r="P1159" s="441"/>
      <c r="Q1159" s="441"/>
    </row>
    <row r="1160" spans="15:17" s="387" customFormat="1" ht="21" customHeight="1">
      <c r="O1160" s="441"/>
      <c r="P1160" s="441"/>
      <c r="Q1160" s="441"/>
    </row>
    <row r="1161" spans="15:17" s="387" customFormat="1" ht="21" customHeight="1">
      <c r="O1161" s="441"/>
      <c r="P1161" s="441"/>
      <c r="Q1161" s="441"/>
    </row>
    <row r="1162" spans="15:17" s="387" customFormat="1" ht="21" customHeight="1">
      <c r="O1162" s="441"/>
      <c r="P1162" s="441"/>
      <c r="Q1162" s="441"/>
    </row>
    <row r="1163" spans="15:17" s="387" customFormat="1" ht="21" customHeight="1">
      <c r="O1163" s="441"/>
      <c r="P1163" s="441"/>
      <c r="Q1163" s="441"/>
    </row>
    <row r="1164" spans="15:17" s="387" customFormat="1" ht="21" customHeight="1">
      <c r="O1164" s="441"/>
      <c r="P1164" s="441"/>
      <c r="Q1164" s="441"/>
    </row>
    <row r="1165" spans="15:17" s="387" customFormat="1" ht="21" customHeight="1">
      <c r="O1165" s="441"/>
      <c r="P1165" s="441"/>
      <c r="Q1165" s="441"/>
    </row>
    <row r="1166" spans="15:17" s="387" customFormat="1" ht="21" customHeight="1">
      <c r="O1166" s="441"/>
      <c r="P1166" s="441"/>
      <c r="Q1166" s="441"/>
    </row>
    <row r="1167" spans="15:17" s="387" customFormat="1" ht="21" customHeight="1">
      <c r="O1167" s="441"/>
      <c r="P1167" s="441"/>
      <c r="Q1167" s="441"/>
    </row>
    <row r="1168" spans="15:17" s="387" customFormat="1" ht="21" customHeight="1">
      <c r="O1168" s="441"/>
      <c r="P1168" s="441"/>
      <c r="Q1168" s="441"/>
    </row>
    <row r="1169" spans="15:17" s="387" customFormat="1" ht="21" customHeight="1">
      <c r="O1169" s="441"/>
      <c r="P1169" s="441"/>
      <c r="Q1169" s="441"/>
    </row>
    <row r="1170" spans="15:17" s="387" customFormat="1" ht="21" customHeight="1">
      <c r="O1170" s="441"/>
      <c r="P1170" s="441"/>
      <c r="Q1170" s="441"/>
    </row>
    <row r="1171" spans="15:17" s="387" customFormat="1" ht="21" customHeight="1">
      <c r="O1171" s="441"/>
      <c r="P1171" s="441"/>
      <c r="Q1171" s="441"/>
    </row>
    <row r="1172" spans="15:17" s="387" customFormat="1" ht="21" customHeight="1">
      <c r="O1172" s="441"/>
      <c r="P1172" s="441"/>
      <c r="Q1172" s="441"/>
    </row>
    <row r="1173" spans="15:17" s="387" customFormat="1" ht="21" customHeight="1">
      <c r="O1173" s="441"/>
      <c r="P1173" s="441"/>
      <c r="Q1173" s="441"/>
    </row>
    <row r="1174" spans="15:17" s="387" customFormat="1" ht="21" customHeight="1">
      <c r="O1174" s="441"/>
      <c r="P1174" s="441"/>
      <c r="Q1174" s="441"/>
    </row>
    <row r="1175" spans="15:17" s="387" customFormat="1" ht="21" customHeight="1">
      <c r="O1175" s="441"/>
      <c r="P1175" s="441"/>
      <c r="Q1175" s="441"/>
    </row>
    <row r="1176" spans="15:17" s="387" customFormat="1" ht="21" customHeight="1">
      <c r="O1176" s="441"/>
      <c r="P1176" s="441"/>
      <c r="Q1176" s="441"/>
    </row>
    <row r="1177" spans="15:17" s="387" customFormat="1" ht="21" customHeight="1">
      <c r="O1177" s="441"/>
      <c r="P1177" s="441"/>
      <c r="Q1177" s="441"/>
    </row>
    <row r="1178" spans="15:17" s="387" customFormat="1" ht="21" customHeight="1">
      <c r="O1178" s="441"/>
      <c r="P1178" s="441"/>
      <c r="Q1178" s="441"/>
    </row>
    <row r="1179" spans="15:17" s="387" customFormat="1" ht="21" customHeight="1">
      <c r="O1179" s="441"/>
      <c r="P1179" s="441"/>
      <c r="Q1179" s="441"/>
    </row>
    <row r="1180" spans="15:17" s="387" customFormat="1" ht="21" customHeight="1">
      <c r="O1180" s="441"/>
      <c r="P1180" s="441"/>
      <c r="Q1180" s="441"/>
    </row>
    <row r="1181" spans="15:17" s="387" customFormat="1" ht="21" customHeight="1">
      <c r="O1181" s="441"/>
      <c r="P1181" s="441"/>
      <c r="Q1181" s="441"/>
    </row>
    <row r="1182" spans="15:17" s="387" customFormat="1" ht="21" customHeight="1">
      <c r="O1182" s="441"/>
      <c r="P1182" s="441"/>
      <c r="Q1182" s="441"/>
    </row>
    <row r="1183" spans="15:17" s="387" customFormat="1" ht="21" customHeight="1">
      <c r="O1183" s="441"/>
      <c r="P1183" s="441"/>
      <c r="Q1183" s="441"/>
    </row>
    <row r="1184" spans="15:17" s="387" customFormat="1" ht="21" customHeight="1">
      <c r="O1184" s="441"/>
      <c r="P1184" s="441"/>
      <c r="Q1184" s="441"/>
    </row>
    <row r="1185" spans="15:17" s="387" customFormat="1" ht="21" customHeight="1">
      <c r="O1185" s="441"/>
      <c r="P1185" s="441"/>
      <c r="Q1185" s="441"/>
    </row>
    <row r="1186" spans="15:17" s="387" customFormat="1" ht="21" customHeight="1">
      <c r="O1186" s="441"/>
      <c r="P1186" s="441"/>
      <c r="Q1186" s="441"/>
    </row>
    <row r="1187" spans="15:17" s="387" customFormat="1" ht="21" customHeight="1">
      <c r="O1187" s="441"/>
      <c r="P1187" s="441"/>
      <c r="Q1187" s="441"/>
    </row>
    <row r="1188" spans="15:17" s="387" customFormat="1" ht="21" customHeight="1">
      <c r="O1188" s="441"/>
      <c r="P1188" s="441"/>
      <c r="Q1188" s="441"/>
    </row>
    <row r="1189" spans="15:17" s="387" customFormat="1" ht="21" customHeight="1">
      <c r="O1189" s="441"/>
      <c r="P1189" s="441"/>
      <c r="Q1189" s="441"/>
    </row>
    <row r="1190" spans="15:17" s="387" customFormat="1" ht="21" customHeight="1">
      <c r="O1190" s="441"/>
      <c r="P1190" s="441"/>
      <c r="Q1190" s="441"/>
    </row>
    <row r="1191" spans="15:17" s="387" customFormat="1" ht="21" customHeight="1">
      <c r="O1191" s="441"/>
      <c r="P1191" s="441"/>
      <c r="Q1191" s="441"/>
    </row>
    <row r="1192" spans="15:17" s="387" customFormat="1" ht="21" customHeight="1">
      <c r="O1192" s="441"/>
      <c r="P1192" s="441"/>
      <c r="Q1192" s="441"/>
    </row>
    <row r="1193" spans="15:17" s="387" customFormat="1" ht="21" customHeight="1">
      <c r="O1193" s="441"/>
      <c r="P1193" s="441"/>
      <c r="Q1193" s="441"/>
    </row>
    <row r="1194" spans="15:17" s="387" customFormat="1" ht="21" customHeight="1">
      <c r="O1194" s="441"/>
      <c r="P1194" s="441"/>
      <c r="Q1194" s="441"/>
    </row>
    <row r="1195" spans="15:17" s="387" customFormat="1" ht="21" customHeight="1">
      <c r="O1195" s="441"/>
      <c r="P1195" s="441"/>
      <c r="Q1195" s="441"/>
    </row>
    <row r="1196" spans="15:17" s="387" customFormat="1" ht="21" customHeight="1">
      <c r="O1196" s="441"/>
      <c r="P1196" s="441"/>
      <c r="Q1196" s="441"/>
    </row>
    <row r="1197" spans="15:17" s="387" customFormat="1" ht="21" customHeight="1">
      <c r="O1197" s="441"/>
      <c r="P1197" s="441"/>
      <c r="Q1197" s="441"/>
    </row>
    <row r="1198" spans="15:17" s="387" customFormat="1" ht="21" customHeight="1">
      <c r="O1198" s="441"/>
      <c r="P1198" s="441"/>
      <c r="Q1198" s="441"/>
    </row>
    <row r="1199" spans="15:17" s="387" customFormat="1" ht="21" customHeight="1">
      <c r="O1199" s="441"/>
      <c r="P1199" s="441"/>
      <c r="Q1199" s="441"/>
    </row>
    <row r="1200" spans="15:17" s="387" customFormat="1" ht="21" customHeight="1">
      <c r="O1200" s="441"/>
      <c r="P1200" s="441"/>
      <c r="Q1200" s="441"/>
    </row>
    <row r="1201" spans="15:17" s="387" customFormat="1" ht="21" customHeight="1">
      <c r="O1201" s="441"/>
      <c r="P1201" s="441"/>
      <c r="Q1201" s="441"/>
    </row>
    <row r="1202" spans="15:17" s="387" customFormat="1" ht="21" customHeight="1">
      <c r="O1202" s="441"/>
      <c r="P1202" s="441"/>
      <c r="Q1202" s="441"/>
    </row>
    <row r="1203" spans="15:17" s="387" customFormat="1" ht="21" customHeight="1">
      <c r="O1203" s="441"/>
      <c r="P1203" s="441"/>
      <c r="Q1203" s="441"/>
    </row>
    <row r="1204" spans="15:17" s="387" customFormat="1" ht="21" customHeight="1">
      <c r="O1204" s="441"/>
      <c r="P1204" s="441"/>
      <c r="Q1204" s="441"/>
    </row>
    <row r="1205" spans="15:17" s="387" customFormat="1" ht="21" customHeight="1">
      <c r="O1205" s="441"/>
      <c r="P1205" s="441"/>
      <c r="Q1205" s="441"/>
    </row>
    <row r="1206" spans="15:17" s="387" customFormat="1" ht="21" customHeight="1">
      <c r="O1206" s="441"/>
      <c r="P1206" s="441"/>
      <c r="Q1206" s="441"/>
    </row>
    <row r="1207" spans="15:17" s="387" customFormat="1" ht="21" customHeight="1">
      <c r="O1207" s="441"/>
      <c r="P1207" s="441"/>
      <c r="Q1207" s="441"/>
    </row>
    <row r="1208" spans="15:17" s="387" customFormat="1" ht="21" customHeight="1">
      <c r="O1208" s="441"/>
      <c r="P1208" s="441"/>
      <c r="Q1208" s="441"/>
    </row>
    <row r="1209" spans="15:17" s="387" customFormat="1" ht="21" customHeight="1">
      <c r="O1209" s="441"/>
      <c r="P1209" s="441"/>
      <c r="Q1209" s="441"/>
    </row>
    <row r="1210" spans="15:17" s="387" customFormat="1" ht="21" customHeight="1">
      <c r="O1210" s="441"/>
      <c r="P1210" s="441"/>
      <c r="Q1210" s="441"/>
    </row>
    <row r="1211" spans="15:17" s="387" customFormat="1" ht="21" customHeight="1">
      <c r="O1211" s="441"/>
      <c r="P1211" s="441"/>
      <c r="Q1211" s="441"/>
    </row>
    <row r="1212" spans="15:17" s="387" customFormat="1" ht="21" customHeight="1">
      <c r="O1212" s="441"/>
      <c r="P1212" s="441"/>
      <c r="Q1212" s="441"/>
    </row>
    <row r="1213" spans="15:17" s="387" customFormat="1" ht="21" customHeight="1">
      <c r="O1213" s="441"/>
      <c r="P1213" s="441"/>
      <c r="Q1213" s="441"/>
    </row>
    <row r="1214" spans="15:17" s="387" customFormat="1" ht="21" customHeight="1">
      <c r="O1214" s="441"/>
      <c r="P1214" s="441"/>
      <c r="Q1214" s="441"/>
    </row>
    <row r="1215" spans="15:17" s="387" customFormat="1" ht="21" customHeight="1">
      <c r="O1215" s="441"/>
      <c r="P1215" s="441"/>
      <c r="Q1215" s="441"/>
    </row>
  </sheetData>
  <sheetProtection algorithmName="SHA-512" hashValue="/nB+yF6BarP7VP/zU3EPci8F5Bbudl67tOpmIQq+XqjTozIEu2UV3tEDDmCLivE8o0rz9hr5bbu4haega/QnPw==" saltValue="38mUQKPR2BqAYJBGliYgcA==" spinCount="100000" sheet="1" objects="1" scenarios="1"/>
  <mergeCells count="537">
    <mergeCell ref="R52:S60"/>
    <mergeCell ref="R128:S130"/>
    <mergeCell ref="R133:S133"/>
    <mergeCell ref="R134:S134"/>
    <mergeCell ref="R135:S135"/>
    <mergeCell ref="R136:S136"/>
    <mergeCell ref="R137:S137"/>
    <mergeCell ref="R138:S138"/>
    <mergeCell ref="R139:S139"/>
    <mergeCell ref="R93:S94"/>
    <mergeCell ref="R95:S95"/>
    <mergeCell ref="R66:S72"/>
    <mergeCell ref="R76:S77"/>
    <mergeCell ref="R87:S92"/>
    <mergeCell ref="R80:S81"/>
    <mergeCell ref="R167:S168"/>
    <mergeCell ref="R166:S166"/>
    <mergeCell ref="R156:S163"/>
    <mergeCell ref="K156:K163"/>
    <mergeCell ref="R141:S142"/>
    <mergeCell ref="R143:S146"/>
    <mergeCell ref="K148:K149"/>
    <mergeCell ref="R148:S149"/>
    <mergeCell ref="R147:S147"/>
    <mergeCell ref="P156:P159"/>
    <mergeCell ref="Q156:Q159"/>
    <mergeCell ref="N156:N159"/>
    <mergeCell ref="O156:O159"/>
    <mergeCell ref="N148:N149"/>
    <mergeCell ref="O148:O149"/>
    <mergeCell ref="P148:P149"/>
    <mergeCell ref="M141:M142"/>
    <mergeCell ref="N141:N142"/>
    <mergeCell ref="O141:O142"/>
    <mergeCell ref="P141:P142"/>
    <mergeCell ref="Q141:Q142"/>
    <mergeCell ref="N154:N155"/>
    <mergeCell ref="O154:O155"/>
    <mergeCell ref="Q150:Q151"/>
    <mergeCell ref="K96:K99"/>
    <mergeCell ref="R96:S99"/>
    <mergeCell ref="K108:K109"/>
    <mergeCell ref="R108:S109"/>
    <mergeCell ref="K110:K113"/>
    <mergeCell ref="R110:S113"/>
    <mergeCell ref="P100:P103"/>
    <mergeCell ref="Q100:Q103"/>
    <mergeCell ref="R84:S84"/>
    <mergeCell ref="K85:K86"/>
    <mergeCell ref="R85:S86"/>
    <mergeCell ref="K87:K88"/>
    <mergeCell ref="K89:K90"/>
    <mergeCell ref="K91:K92"/>
    <mergeCell ref="L85:L86"/>
    <mergeCell ref="Q85:Q86"/>
    <mergeCell ref="M85:M86"/>
    <mergeCell ref="N85:N86"/>
    <mergeCell ref="O85:O86"/>
    <mergeCell ref="P85:P86"/>
    <mergeCell ref="Q89:Q90"/>
    <mergeCell ref="R82:S83"/>
    <mergeCell ref="R73:S75"/>
    <mergeCell ref="K71:K72"/>
    <mergeCell ref="Q82:Q83"/>
    <mergeCell ref="N74:N75"/>
    <mergeCell ref="O74:O75"/>
    <mergeCell ref="P74:P75"/>
    <mergeCell ref="Q74:Q75"/>
    <mergeCell ref="Q76:Q77"/>
    <mergeCell ref="R50:S51"/>
    <mergeCell ref="K52:K53"/>
    <mergeCell ref="K54:K55"/>
    <mergeCell ref="K56:K58"/>
    <mergeCell ref="K59:K60"/>
    <mergeCell ref="K61:K65"/>
    <mergeCell ref="R61:S65"/>
    <mergeCell ref="Q50:Q51"/>
    <mergeCell ref="Q56:Q58"/>
    <mergeCell ref="L56:L58"/>
    <mergeCell ref="M56:M58"/>
    <mergeCell ref="N56:N58"/>
    <mergeCell ref="O56:O58"/>
    <mergeCell ref="P56:P58"/>
    <mergeCell ref="P54:P55"/>
    <mergeCell ref="N61:N65"/>
    <mergeCell ref="M54:M55"/>
    <mergeCell ref="M59:M60"/>
    <mergeCell ref="N59:N60"/>
    <mergeCell ref="O59:O60"/>
    <mergeCell ref="P59:P60"/>
    <mergeCell ref="O61:O65"/>
    <mergeCell ref="P61:P65"/>
    <mergeCell ref="Q59:Q60"/>
    <mergeCell ref="R18:S21"/>
    <mergeCell ref="R38:S39"/>
    <mergeCell ref="R40:S41"/>
    <mergeCell ref="P50:P51"/>
    <mergeCell ref="N54:N55"/>
    <mergeCell ref="O54:O55"/>
    <mergeCell ref="C38:C41"/>
    <mergeCell ref="B56:B58"/>
    <mergeCell ref="C56:C58"/>
    <mergeCell ref="Q54:Q55"/>
    <mergeCell ref="Q38:Q41"/>
    <mergeCell ref="N50:N51"/>
    <mergeCell ref="O50:O51"/>
    <mergeCell ref="N46:N49"/>
    <mergeCell ref="O46:O49"/>
    <mergeCell ref="P46:P49"/>
    <mergeCell ref="Q46:Q49"/>
    <mergeCell ref="K38:K41"/>
    <mergeCell ref="K50:K51"/>
    <mergeCell ref="L38:L41"/>
    <mergeCell ref="M38:M41"/>
    <mergeCell ref="N38:N41"/>
    <mergeCell ref="O38:O41"/>
    <mergeCell ref="P38:P41"/>
    <mergeCell ref="O1:S1"/>
    <mergeCell ref="H15:H16"/>
    <mergeCell ref="I15:I16"/>
    <mergeCell ref="C15:C16"/>
    <mergeCell ref="D15:D16"/>
    <mergeCell ref="E15:E16"/>
    <mergeCell ref="F15:F16"/>
    <mergeCell ref="G15:G16"/>
    <mergeCell ref="O15:Q15"/>
    <mergeCell ref="J15:J16"/>
    <mergeCell ref="L15:L16"/>
    <mergeCell ref="M15:M16"/>
    <mergeCell ref="N15:N16"/>
    <mergeCell ref="R15:S16"/>
    <mergeCell ref="A2:S2"/>
    <mergeCell ref="A12:S12"/>
    <mergeCell ref="A50:A51"/>
    <mergeCell ref="B50:B51"/>
    <mergeCell ref="C50:C51"/>
    <mergeCell ref="L50:L51"/>
    <mergeCell ref="M50:M51"/>
    <mergeCell ref="A38:A41"/>
    <mergeCell ref="K15:K16"/>
    <mergeCell ref="B15:B16"/>
    <mergeCell ref="A15:A16"/>
    <mergeCell ref="B38:B41"/>
    <mergeCell ref="A30:A33"/>
    <mergeCell ref="B30:B33"/>
    <mergeCell ref="C30:C33"/>
    <mergeCell ref="L30:L33"/>
    <mergeCell ref="M30:M33"/>
    <mergeCell ref="A46:A49"/>
    <mergeCell ref="B46:B49"/>
    <mergeCell ref="C46:C49"/>
    <mergeCell ref="L46:L49"/>
    <mergeCell ref="M46:M49"/>
    <mergeCell ref="K18:K21"/>
    <mergeCell ref="L34:L37"/>
    <mergeCell ref="M34:M37"/>
    <mergeCell ref="A52:A53"/>
    <mergeCell ref="B52:B53"/>
    <mergeCell ref="Q52:Q53"/>
    <mergeCell ref="C52:C53"/>
    <mergeCell ref="L52:L53"/>
    <mergeCell ref="M52:M53"/>
    <mergeCell ref="N52:N53"/>
    <mergeCell ref="O52:O53"/>
    <mergeCell ref="P52:P53"/>
    <mergeCell ref="B59:B60"/>
    <mergeCell ref="C59:C60"/>
    <mergeCell ref="L59:L60"/>
    <mergeCell ref="A54:A55"/>
    <mergeCell ref="B54:B55"/>
    <mergeCell ref="C54:C55"/>
    <mergeCell ref="A56:A58"/>
    <mergeCell ref="A61:A65"/>
    <mergeCell ref="B61:B65"/>
    <mergeCell ref="C61:C65"/>
    <mergeCell ref="A59:A60"/>
    <mergeCell ref="L54:L55"/>
    <mergeCell ref="Q61:Q65"/>
    <mergeCell ref="L61:L65"/>
    <mergeCell ref="M61:M65"/>
    <mergeCell ref="M67:M68"/>
    <mergeCell ref="N67:N68"/>
    <mergeCell ref="O67:O68"/>
    <mergeCell ref="P67:P68"/>
    <mergeCell ref="Q67:Q68"/>
    <mergeCell ref="A67:A68"/>
    <mergeCell ref="B67:B68"/>
    <mergeCell ref="C67:C68"/>
    <mergeCell ref="L67:L68"/>
    <mergeCell ref="K67:K68"/>
    <mergeCell ref="K69:K70"/>
    <mergeCell ref="Q69:Q70"/>
    <mergeCell ref="A71:A72"/>
    <mergeCell ref="B71:B72"/>
    <mergeCell ref="C71:C72"/>
    <mergeCell ref="L71:L72"/>
    <mergeCell ref="C69:C70"/>
    <mergeCell ref="L69:L70"/>
    <mergeCell ref="M69:M70"/>
    <mergeCell ref="N69:N70"/>
    <mergeCell ref="O69:O70"/>
    <mergeCell ref="P69:P70"/>
    <mergeCell ref="A69:A70"/>
    <mergeCell ref="B69:B70"/>
    <mergeCell ref="M71:M72"/>
    <mergeCell ref="N71:N72"/>
    <mergeCell ref="O71:O72"/>
    <mergeCell ref="P71:P72"/>
    <mergeCell ref="Q71:Q72"/>
    <mergeCell ref="B179:D179"/>
    <mergeCell ref="B180:D180"/>
    <mergeCell ref="L76:L77"/>
    <mergeCell ref="M76:M77"/>
    <mergeCell ref="N76:N77"/>
    <mergeCell ref="O76:O77"/>
    <mergeCell ref="P76:P77"/>
    <mergeCell ref="Q80:Q81"/>
    <mergeCell ref="K167:K168"/>
    <mergeCell ref="N89:N90"/>
    <mergeCell ref="O89:O90"/>
    <mergeCell ref="P89:P90"/>
    <mergeCell ref="O91:O92"/>
    <mergeCell ref="P91:P92"/>
    <mergeCell ref="Q96:Q99"/>
    <mergeCell ref="P154:P155"/>
    <mergeCell ref="Q154:Q155"/>
    <mergeCell ref="N150:N151"/>
    <mergeCell ref="O150:O151"/>
    <mergeCell ref="P150:P151"/>
    <mergeCell ref="N152:N153"/>
    <mergeCell ref="O152:O153"/>
    <mergeCell ref="P152:P153"/>
    <mergeCell ref="Q152:Q153"/>
    <mergeCell ref="B74:B75"/>
    <mergeCell ref="C74:C75"/>
    <mergeCell ref="L74:L75"/>
    <mergeCell ref="M74:M75"/>
    <mergeCell ref="B170:D170"/>
    <mergeCell ref="B171:D171"/>
    <mergeCell ref="B172:D172"/>
    <mergeCell ref="C91:C92"/>
    <mergeCell ref="L91:L92"/>
    <mergeCell ref="M91:M92"/>
    <mergeCell ref="C89:C90"/>
    <mergeCell ref="L89:L90"/>
    <mergeCell ref="M89:M90"/>
    <mergeCell ref="K93:K94"/>
    <mergeCell ref="B156:B159"/>
    <mergeCell ref="C156:C159"/>
    <mergeCell ref="L156:L159"/>
    <mergeCell ref="M156:M159"/>
    <mergeCell ref="C148:C149"/>
    <mergeCell ref="L148:L149"/>
    <mergeCell ref="M148:M149"/>
    <mergeCell ref="K141:K142"/>
    <mergeCell ref="K143:K146"/>
    <mergeCell ref="K74:K75"/>
    <mergeCell ref="A74:A75"/>
    <mergeCell ref="B177:D177"/>
    <mergeCell ref="B178:D178"/>
    <mergeCell ref="B173:D173"/>
    <mergeCell ref="B174:D174"/>
    <mergeCell ref="B175:D175"/>
    <mergeCell ref="B176:D176"/>
    <mergeCell ref="A169:D169"/>
    <mergeCell ref="A82:A83"/>
    <mergeCell ref="C82:C83"/>
    <mergeCell ref="C76:C77"/>
    <mergeCell ref="A85:A86"/>
    <mergeCell ref="B85:B86"/>
    <mergeCell ref="C85:C86"/>
    <mergeCell ref="A89:A90"/>
    <mergeCell ref="B89:B90"/>
    <mergeCell ref="B108:B109"/>
    <mergeCell ref="C108:C109"/>
    <mergeCell ref="B96:B99"/>
    <mergeCell ref="C96:C99"/>
    <mergeCell ref="B126:B127"/>
    <mergeCell ref="C126:C127"/>
    <mergeCell ref="A141:A142"/>
    <mergeCell ref="B141:B142"/>
    <mergeCell ref="A76:A77"/>
    <mergeCell ref="B76:B77"/>
    <mergeCell ref="P82:P83"/>
    <mergeCell ref="N80:N81"/>
    <mergeCell ref="O80:O81"/>
    <mergeCell ref="P80:P81"/>
    <mergeCell ref="B82:B83"/>
    <mergeCell ref="A80:A81"/>
    <mergeCell ref="N82:N83"/>
    <mergeCell ref="O82:O83"/>
    <mergeCell ref="B80:B81"/>
    <mergeCell ref="C80:C81"/>
    <mergeCell ref="L80:L81"/>
    <mergeCell ref="M80:M81"/>
    <mergeCell ref="L82:L83"/>
    <mergeCell ref="M82:M83"/>
    <mergeCell ref="K76:K77"/>
    <mergeCell ref="K80:K81"/>
    <mergeCell ref="K82:K83"/>
    <mergeCell ref="A87:A88"/>
    <mergeCell ref="B87:B88"/>
    <mergeCell ref="C87:C88"/>
    <mergeCell ref="L87:L88"/>
    <mergeCell ref="M87:M88"/>
    <mergeCell ref="N87:N88"/>
    <mergeCell ref="O87:O88"/>
    <mergeCell ref="P87:P88"/>
    <mergeCell ref="Q87:Q88"/>
    <mergeCell ref="A108:A109"/>
    <mergeCell ref="P108:P109"/>
    <mergeCell ref="Q108:Q109"/>
    <mergeCell ref="M108:M109"/>
    <mergeCell ref="N108:N109"/>
    <mergeCell ref="O108:O109"/>
    <mergeCell ref="A96:A99"/>
    <mergeCell ref="A93:A94"/>
    <mergeCell ref="A91:A92"/>
    <mergeCell ref="B93:B94"/>
    <mergeCell ref="Q91:Q92"/>
    <mergeCell ref="Q93:Q94"/>
    <mergeCell ref="C93:C94"/>
    <mergeCell ref="L93:L94"/>
    <mergeCell ref="M93:M94"/>
    <mergeCell ref="N93:N94"/>
    <mergeCell ref="O93:O94"/>
    <mergeCell ref="P93:P94"/>
    <mergeCell ref="B91:B92"/>
    <mergeCell ref="N91:N92"/>
    <mergeCell ref="L100:L103"/>
    <mergeCell ref="M100:M103"/>
    <mergeCell ref="N100:N103"/>
    <mergeCell ref="O100:O103"/>
    <mergeCell ref="A126:A127"/>
    <mergeCell ref="P126:P127"/>
    <mergeCell ref="Q126:Q127"/>
    <mergeCell ref="M126:M127"/>
    <mergeCell ref="N126:N127"/>
    <mergeCell ref="O126:O127"/>
    <mergeCell ref="A118:A121"/>
    <mergeCell ref="B118:B121"/>
    <mergeCell ref="C118:C121"/>
    <mergeCell ref="L118:L121"/>
    <mergeCell ref="A122:A125"/>
    <mergeCell ref="B122:B125"/>
    <mergeCell ref="C122:C125"/>
    <mergeCell ref="L122:L125"/>
    <mergeCell ref="M122:M125"/>
    <mergeCell ref="K118:K121"/>
    <mergeCell ref="K126:K127"/>
    <mergeCell ref="A131:A132"/>
    <mergeCell ref="A128:A130"/>
    <mergeCell ref="B128:B130"/>
    <mergeCell ref="C128:C130"/>
    <mergeCell ref="L128:L130"/>
    <mergeCell ref="P131:P132"/>
    <mergeCell ref="Q131:Q132"/>
    <mergeCell ref="M131:M132"/>
    <mergeCell ref="N131:N132"/>
    <mergeCell ref="O131:O132"/>
    <mergeCell ref="K128:K130"/>
    <mergeCell ref="K131:K132"/>
    <mergeCell ref="A154:A155"/>
    <mergeCell ref="B154:B155"/>
    <mergeCell ref="C154:C155"/>
    <mergeCell ref="L154:L155"/>
    <mergeCell ref="M154:M155"/>
    <mergeCell ref="A150:A151"/>
    <mergeCell ref="B150:B151"/>
    <mergeCell ref="C150:C151"/>
    <mergeCell ref="L150:L151"/>
    <mergeCell ref="M150:M151"/>
    <mergeCell ref="A152:A153"/>
    <mergeCell ref="B152:B153"/>
    <mergeCell ref="C152:C153"/>
    <mergeCell ref="L152:L153"/>
    <mergeCell ref="M152:M153"/>
    <mergeCell ref="Q160:Q161"/>
    <mergeCell ref="A162:A163"/>
    <mergeCell ref="B162:B163"/>
    <mergeCell ref="C162:C163"/>
    <mergeCell ref="L162:L163"/>
    <mergeCell ref="M162:M163"/>
    <mergeCell ref="C160:C161"/>
    <mergeCell ref="L160:L161"/>
    <mergeCell ref="M160:M161"/>
    <mergeCell ref="N160:N161"/>
    <mergeCell ref="O160:O161"/>
    <mergeCell ref="P160:P161"/>
    <mergeCell ref="A160:A161"/>
    <mergeCell ref="A170:A180"/>
    <mergeCell ref="A11:E11"/>
    <mergeCell ref="A1:K1"/>
    <mergeCell ref="B184:D184"/>
    <mergeCell ref="Q110:Q113"/>
    <mergeCell ref="Q148:Q149"/>
    <mergeCell ref="A156:A159"/>
    <mergeCell ref="M167:M168"/>
    <mergeCell ref="N167:N168"/>
    <mergeCell ref="O167:O168"/>
    <mergeCell ref="P167:P168"/>
    <mergeCell ref="Q167:Q168"/>
    <mergeCell ref="A167:A168"/>
    <mergeCell ref="B167:B168"/>
    <mergeCell ref="C167:C168"/>
    <mergeCell ref="L167:L168"/>
    <mergeCell ref="B160:B161"/>
    <mergeCell ref="A110:A113"/>
    <mergeCell ref="B110:B113"/>
    <mergeCell ref="C110:C113"/>
    <mergeCell ref="N162:N163"/>
    <mergeCell ref="O162:O163"/>
    <mergeCell ref="P162:P163"/>
    <mergeCell ref="Q162:Q163"/>
    <mergeCell ref="S154:S155"/>
    <mergeCell ref="A18:A21"/>
    <mergeCell ref="B18:B21"/>
    <mergeCell ref="C18:C21"/>
    <mergeCell ref="L18:L21"/>
    <mergeCell ref="M18:M21"/>
    <mergeCell ref="N18:N21"/>
    <mergeCell ref="O18:O21"/>
    <mergeCell ref="P18:P21"/>
    <mergeCell ref="Q18:Q21"/>
    <mergeCell ref="A22:A25"/>
    <mergeCell ref="B22:B25"/>
    <mergeCell ref="C22:C25"/>
    <mergeCell ref="L22:L25"/>
    <mergeCell ref="M22:M25"/>
    <mergeCell ref="N22:N25"/>
    <mergeCell ref="O22:O25"/>
    <mergeCell ref="P22:P25"/>
    <mergeCell ref="Q22:Q25"/>
    <mergeCell ref="S22:S25"/>
    <mergeCell ref="A148:A149"/>
    <mergeCell ref="B148:B149"/>
    <mergeCell ref="C141:C142"/>
    <mergeCell ref="O34:O37"/>
    <mergeCell ref="Q34:Q37"/>
    <mergeCell ref="S34:S37"/>
    <mergeCell ref="S26:S29"/>
    <mergeCell ref="A26:A29"/>
    <mergeCell ref="B26:B29"/>
    <mergeCell ref="C26:C29"/>
    <mergeCell ref="L26:L29"/>
    <mergeCell ref="M26:M29"/>
    <mergeCell ref="N26:N29"/>
    <mergeCell ref="O26:O29"/>
    <mergeCell ref="P26:P29"/>
    <mergeCell ref="Q26:Q29"/>
    <mergeCell ref="R17:S17"/>
    <mergeCell ref="R22:R25"/>
    <mergeCell ref="A42:A45"/>
    <mergeCell ref="B42:B45"/>
    <mergeCell ref="C42:C45"/>
    <mergeCell ref="L42:L45"/>
    <mergeCell ref="M42:M45"/>
    <mergeCell ref="N42:N45"/>
    <mergeCell ref="O42:O45"/>
    <mergeCell ref="P42:P45"/>
    <mergeCell ref="Q42:Q45"/>
    <mergeCell ref="S42:S45"/>
    <mergeCell ref="R30:R33"/>
    <mergeCell ref="R34:R37"/>
    <mergeCell ref="N30:N33"/>
    <mergeCell ref="O30:O33"/>
    <mergeCell ref="P30:P33"/>
    <mergeCell ref="Q30:Q33"/>
    <mergeCell ref="S30:S33"/>
    <mergeCell ref="A34:A37"/>
    <mergeCell ref="B34:B37"/>
    <mergeCell ref="C34:C37"/>
    <mergeCell ref="N34:N37"/>
    <mergeCell ref="P34:P37"/>
    <mergeCell ref="S46:S49"/>
    <mergeCell ref="A114:A117"/>
    <mergeCell ref="B114:B117"/>
    <mergeCell ref="C114:C117"/>
    <mergeCell ref="L114:L117"/>
    <mergeCell ref="M114:M117"/>
    <mergeCell ref="N114:N117"/>
    <mergeCell ref="O114:O117"/>
    <mergeCell ref="P114:P117"/>
    <mergeCell ref="Q114:Q117"/>
    <mergeCell ref="A100:A103"/>
    <mergeCell ref="B100:B103"/>
    <mergeCell ref="L108:L109"/>
    <mergeCell ref="M96:M99"/>
    <mergeCell ref="N96:N99"/>
    <mergeCell ref="O96:O99"/>
    <mergeCell ref="P96:P99"/>
    <mergeCell ref="L110:L113"/>
    <mergeCell ref="M110:M113"/>
    <mergeCell ref="N110:N113"/>
    <mergeCell ref="O110:O113"/>
    <mergeCell ref="P110:P113"/>
    <mergeCell ref="L96:L99"/>
    <mergeCell ref="C100:C103"/>
    <mergeCell ref="S152:S153"/>
    <mergeCell ref="A104:A107"/>
    <mergeCell ref="B104:B107"/>
    <mergeCell ref="C104:C107"/>
    <mergeCell ref="L104:L107"/>
    <mergeCell ref="M104:M107"/>
    <mergeCell ref="N104:N107"/>
    <mergeCell ref="O104:O107"/>
    <mergeCell ref="P104:P107"/>
    <mergeCell ref="Q104:Q107"/>
    <mergeCell ref="A143:A146"/>
    <mergeCell ref="B143:B146"/>
    <mergeCell ref="C143:C146"/>
    <mergeCell ref="L143:L146"/>
    <mergeCell ref="M143:M146"/>
    <mergeCell ref="N143:N146"/>
    <mergeCell ref="O143:O146"/>
    <mergeCell ref="P143:P146"/>
    <mergeCell ref="Q143:Q146"/>
    <mergeCell ref="L141:L142"/>
    <mergeCell ref="B131:B132"/>
    <mergeCell ref="C131:C132"/>
    <mergeCell ref="L131:L132"/>
    <mergeCell ref="M128:M130"/>
    <mergeCell ref="S150:S151"/>
    <mergeCell ref="N128:N130"/>
    <mergeCell ref="O128:O130"/>
    <mergeCell ref="P128:P130"/>
    <mergeCell ref="Q128:Q130"/>
    <mergeCell ref="L126:L127"/>
    <mergeCell ref="M118:M121"/>
    <mergeCell ref="N118:N121"/>
    <mergeCell ref="O118:O121"/>
    <mergeCell ref="P118:P121"/>
    <mergeCell ref="Q118:Q121"/>
    <mergeCell ref="R118:S121"/>
    <mergeCell ref="R126:S127"/>
    <mergeCell ref="R131:S132"/>
    <mergeCell ref="R140:S140"/>
  </mergeCells>
  <phoneticPr fontId="17" type="noConversion"/>
  <conditionalFormatting sqref="G16:J16 E15:L15">
    <cfRule type="dataBar" priority="1">
      <dataBar>
        <cfvo type="min"/>
        <cfvo type="max"/>
        <color rgb="FF638EC6"/>
      </dataBar>
      <extLst>
        <ext xmlns:x14="http://schemas.microsoft.com/office/spreadsheetml/2009/9/main" uri="{B025F937-C7B1-47D3-B67F-A62EFF666E3E}">
          <x14:id>{5E72D44D-575F-4455-A977-4C6A112ECFEF}</x14:id>
        </ext>
      </extLst>
    </cfRule>
  </conditionalFormatting>
  <pageMargins left="0.7" right="0.7" top="0.75" bottom="0.75" header="0.3" footer="0.3"/>
  <pageSetup paperSize="8" scale="62" fitToHeight="0" orientation="landscape" r:id="rId1"/>
  <extLst>
    <ext xmlns:x14="http://schemas.microsoft.com/office/spreadsheetml/2009/9/main" uri="{78C0D931-6437-407d-A8EE-F0AAD7539E65}">
      <x14:conditionalFormattings>
        <x14:conditionalFormatting xmlns:xm="http://schemas.microsoft.com/office/excel/2006/main">
          <x14:cfRule type="dataBar" id="{5E72D44D-575F-4455-A977-4C6A112ECFEF}">
            <x14:dataBar minLength="0" maxLength="100" border="1" negativeBarBorderColorSameAsPositive="0">
              <x14:cfvo type="autoMin"/>
              <x14:cfvo type="autoMax"/>
              <x14:borderColor rgb="FF638EC6"/>
              <x14:negativeFillColor rgb="FFFF0000"/>
              <x14:negativeBorderColor rgb="FFFF0000"/>
              <x14:axisColor rgb="FF000000"/>
            </x14:dataBar>
          </x14:cfRule>
          <xm:sqref>G16:J16 E15:L15</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5829-7614-4D50-80EA-7A43FFF8033C}">
  <dimension ref="A1:CB1215"/>
  <sheetViews>
    <sheetView zoomScale="80" zoomScaleNormal="80" workbookViewId="0">
      <pane xSplit="7" ySplit="22" topLeftCell="H64" activePane="bottomRight" state="frozen"/>
      <selection activeCell="A2" sqref="A2"/>
      <selection pane="topRight" activeCell="L2" sqref="L2"/>
      <selection pane="bottomLeft" activeCell="A8" sqref="A8"/>
      <selection pane="bottomRight" activeCell="L69" sqref="L69:L70"/>
    </sheetView>
  </sheetViews>
  <sheetFormatPr defaultColWidth="9.109375" defaultRowHeight="42" customHeight="1"/>
  <cols>
    <col min="1" max="1" width="17" style="383" customWidth="1"/>
    <col min="2" max="2" width="28.44140625" style="383" customWidth="1"/>
    <col min="3" max="3" width="4.33203125" style="383" customWidth="1"/>
    <col min="4" max="4" width="8.44140625" style="383" customWidth="1"/>
    <col min="5" max="6" width="10.6640625" style="386" hidden="1" customWidth="1"/>
    <col min="7" max="7" width="12.88671875" style="383" hidden="1" customWidth="1"/>
    <col min="8" max="8" width="16.21875" style="383" customWidth="1"/>
    <col min="9" max="9" width="14.33203125" style="383" customWidth="1"/>
    <col min="10" max="10" width="13" style="383" customWidth="1"/>
    <col min="11" max="11" width="13.88671875" style="383" customWidth="1"/>
    <col min="12" max="12" width="60" style="383" customWidth="1"/>
    <col min="13" max="13" width="10.6640625" style="383" customWidth="1"/>
    <col min="14" max="14" width="30.5546875" style="383" customWidth="1"/>
    <col min="15" max="17" width="6.33203125" style="383" customWidth="1"/>
    <col min="18" max="18" width="31.33203125" style="383" customWidth="1"/>
    <col min="19" max="19" width="35.33203125" style="383" hidden="1" customWidth="1"/>
    <col min="20" max="20" width="9.109375" style="383"/>
    <col min="21" max="22" width="8.88671875" customWidth="1"/>
    <col min="23" max="16384" width="9.109375" style="383"/>
  </cols>
  <sheetData>
    <row r="1" spans="1:22" ht="13.2" customHeight="1">
      <c r="A1" s="1935" t="s">
        <v>2829</v>
      </c>
      <c r="B1" s="1935"/>
      <c r="C1" s="1935"/>
      <c r="D1" s="1935"/>
      <c r="E1" s="1935"/>
      <c r="F1" s="1935"/>
      <c r="G1" s="1935"/>
      <c r="H1" s="1935"/>
      <c r="I1" s="382"/>
      <c r="J1" s="382"/>
      <c r="K1" s="382"/>
      <c r="L1" s="382"/>
      <c r="O1" s="1985"/>
      <c r="P1" s="1985"/>
      <c r="Q1" s="1985"/>
      <c r="R1" s="1985"/>
      <c r="U1" s="383"/>
      <c r="V1" s="383"/>
    </row>
    <row r="2" spans="1:22" ht="49.2" customHeight="1">
      <c r="A2" s="2276" t="s">
        <v>3777</v>
      </c>
      <c r="B2" s="2277"/>
      <c r="C2" s="2277"/>
      <c r="D2" s="2277"/>
      <c r="E2" s="2277"/>
      <c r="F2" s="2277"/>
      <c r="G2" s="2277"/>
      <c r="H2" s="2277"/>
      <c r="I2" s="2277"/>
      <c r="J2" s="2277"/>
      <c r="K2" s="2277"/>
      <c r="L2" s="2277"/>
      <c r="M2" s="2277"/>
      <c r="N2" s="2277"/>
      <c r="O2" s="2277"/>
      <c r="P2" s="2277"/>
      <c r="Q2" s="2277"/>
      <c r="R2" s="2277"/>
      <c r="U2" s="383"/>
      <c r="V2" s="383"/>
    </row>
    <row r="3" spans="1:22" ht="10.8" customHeight="1">
      <c r="A3" s="559"/>
      <c r="B3" s="545"/>
      <c r="C3" s="545"/>
      <c r="D3" s="545"/>
      <c r="E3" s="545"/>
      <c r="F3" s="545"/>
      <c r="G3" s="545"/>
      <c r="H3" s="545"/>
      <c r="I3" s="545"/>
      <c r="J3" s="545"/>
      <c r="K3" s="545"/>
      <c r="L3" s="545"/>
      <c r="M3" s="545"/>
      <c r="N3" s="545"/>
      <c r="O3" s="545"/>
      <c r="P3" s="545"/>
      <c r="Q3" s="545"/>
      <c r="R3" s="545"/>
      <c r="U3" s="383"/>
      <c r="V3" s="383"/>
    </row>
    <row r="4" spans="1:22" ht="12.6" customHeight="1">
      <c r="A4" s="383" t="str">
        <f>A23</f>
        <v>10.01.01 (T)</v>
      </c>
      <c r="B4" s="383" t="str">
        <f>B23</f>
        <v xml:space="preserve">Gerinti keleivių vežimo sąlygas bei skatinti darnesnį ir patogesnį judėjimą </v>
      </c>
      <c r="E4" s="383"/>
      <c r="F4" s="383"/>
      <c r="L4" s="1936"/>
      <c r="M4" s="1936"/>
      <c r="N4" s="1936"/>
      <c r="O4" s="1936"/>
      <c r="P4" s="1936"/>
      <c r="Q4" s="1936"/>
      <c r="R4" s="1936"/>
      <c r="U4" s="383"/>
      <c r="V4" s="383"/>
    </row>
    <row r="5" spans="1:22" ht="11.4" customHeight="1">
      <c r="A5" s="383" t="str">
        <f>A34</f>
        <v>10.01.02.(T)</v>
      </c>
      <c r="B5" s="2277" t="str">
        <f>B34</f>
        <v>Skatinti bemotorio transporto pasirinkimą ir pėsčiųjų judumą</v>
      </c>
      <c r="C5" s="2277"/>
      <c r="D5" s="2277"/>
      <c r="E5" s="2277"/>
      <c r="F5" s="2277"/>
      <c r="G5" s="2277"/>
      <c r="H5" s="2277"/>
      <c r="I5" s="2277"/>
      <c r="J5" s="2277"/>
      <c r="K5" s="2277"/>
      <c r="U5" s="383"/>
      <c r="V5" s="383"/>
    </row>
    <row r="6" spans="1:22" ht="13.2" customHeight="1">
      <c r="A6" s="383" t="str">
        <f>A62</f>
        <v>10.02.03.(T)</v>
      </c>
      <c r="B6" s="2277" t="str">
        <f>B62</f>
        <v>Atnaujinti (rekonstruoti) Visagino viešuosius, ūkinius pastatus</v>
      </c>
      <c r="C6" s="2277"/>
      <c r="D6" s="2277"/>
      <c r="E6" s="2277"/>
      <c r="F6" s="2277"/>
      <c r="G6" s="2277"/>
      <c r="H6" s="2277"/>
      <c r="I6" s="2277"/>
      <c r="J6" s="2277"/>
      <c r="K6" s="2277"/>
      <c r="U6" s="383"/>
      <c r="V6" s="383"/>
    </row>
    <row r="7" spans="1:22" ht="11.4" customHeight="1">
      <c r="A7" s="383" t="str">
        <f>A80</f>
        <v>10.02.04.(T)</v>
      </c>
      <c r="B7" s="383" t="str">
        <f>B80</f>
        <v>Renovuoti ir įrengti automobilių stovėjimo, dviračių ir pėsčiųjų takus, sporto ir laisvalaikio aikšteles</v>
      </c>
      <c r="E7" s="383"/>
      <c r="F7" s="383"/>
      <c r="L7" s="1936"/>
      <c r="M7" s="1936"/>
      <c r="N7" s="1936"/>
      <c r="U7" s="383"/>
      <c r="V7" s="383"/>
    </row>
    <row r="8" spans="1:22" ht="12" customHeight="1">
      <c r="A8" s="383" t="str">
        <f>A104</f>
        <v>10.02.05.(T)</v>
      </c>
      <c r="B8" s="383" t="str">
        <f>B104</f>
        <v>Remontuoti ir prižiūrėti savivaldybės turtą</v>
      </c>
      <c r="E8" s="383"/>
      <c r="F8" s="383"/>
      <c r="U8" s="383"/>
      <c r="V8" s="383"/>
    </row>
    <row r="9" spans="1:22" ht="10.199999999999999" customHeight="1">
      <c r="A9" s="383" t="str">
        <f>A127</f>
        <v>10.02.06. (T)</v>
      </c>
      <c r="B9" s="383" t="str">
        <f>B127</f>
        <v>Vykdyti Visagino savivaldybės daugiabučių namų atnaujinimo (modernizavimo) programą</v>
      </c>
      <c r="E9" s="383"/>
      <c r="F9" s="383"/>
      <c r="U9" s="383"/>
      <c r="V9" s="383"/>
    </row>
    <row r="10" spans="1:22" ht="13.2" customHeight="1">
      <c r="A10" s="383" t="str">
        <f>A130</f>
        <v>10.02.07. (T)</v>
      </c>
      <c r="B10" s="2277" t="str">
        <f>B130</f>
        <v>Įgyvendinti savivaldybės infrastruktūros plėtros įstatymo nuostatas</v>
      </c>
      <c r="C10" s="2277"/>
      <c r="D10" s="2277"/>
      <c r="E10" s="2277"/>
      <c r="F10" s="2277"/>
      <c r="G10" s="2277"/>
      <c r="H10" s="2277"/>
      <c r="I10" s="2277"/>
      <c r="J10" s="2277"/>
      <c r="K10" s="2277"/>
      <c r="U10" s="383"/>
      <c r="V10" s="383"/>
    </row>
    <row r="11" spans="1:22" ht="12.6" customHeight="1">
      <c r="A11" s="383" t="str">
        <f>A133</f>
        <v>10.03.01. (T)</v>
      </c>
      <c r="B11" s="2277" t="str">
        <f>B133</f>
        <v>Tvarkyti gyvenamąją aplinką, administruoti gatvių apšvietimo paslaugas</v>
      </c>
      <c r="C11" s="2277"/>
      <c r="D11" s="2277"/>
      <c r="E11" s="2277"/>
      <c r="F11" s="2277"/>
      <c r="G11" s="2277"/>
      <c r="H11" s="2277"/>
      <c r="I11" s="2277"/>
      <c r="J11" s="2277"/>
      <c r="K11" s="2277"/>
      <c r="U11" s="383"/>
      <c r="V11" s="383"/>
    </row>
    <row r="12" spans="1:22" ht="12" customHeight="1">
      <c r="A12" s="383" t="str">
        <f>A154</f>
        <v>10.03.02. (T)</v>
      </c>
      <c r="B12" s="2277" t="str">
        <f>B154</f>
        <v>Vykdyti kapinių priežiūros darbus</v>
      </c>
      <c r="C12" s="2277"/>
      <c r="D12" s="2277"/>
      <c r="E12" s="2277"/>
      <c r="F12" s="2277"/>
      <c r="G12" s="2277"/>
      <c r="H12" s="2277"/>
      <c r="I12" s="2277"/>
      <c r="J12" s="2277"/>
      <c r="K12" s="2277"/>
      <c r="U12" s="383"/>
      <c r="V12" s="383"/>
    </row>
    <row r="13" spans="1:22" ht="10.8" customHeight="1">
      <c r="A13" s="383" t="str">
        <f>A160</f>
        <v>10.03.03. (T)</v>
      </c>
      <c r="B13" s="2277" t="str">
        <f>B160</f>
        <v>Tvarkyti savivaldybės kaimiškųjų vietovių infrastruktūrą</v>
      </c>
      <c r="C13" s="2277"/>
      <c r="D13" s="2277"/>
      <c r="E13" s="2277"/>
      <c r="F13" s="2277"/>
      <c r="G13" s="2277"/>
      <c r="H13" s="2277"/>
      <c r="I13" s="2277"/>
      <c r="J13" s="2277"/>
      <c r="K13" s="2277"/>
      <c r="U13" s="383"/>
      <c r="V13" s="383"/>
    </row>
    <row r="14" spans="1:22" ht="10.199999999999999" customHeight="1">
      <c r="A14" s="383" t="str">
        <f>A163</f>
        <v>10.03.04.(T)</v>
      </c>
      <c r="B14" s="383" t="str">
        <f>B163</f>
        <v>Tvarkyti (likviduoti) turtą, 
Visagino savivaldybės tarybos  pripažintą netinkamu naudoti dėl fizinio ir funkcinio (technologinio) nusidėvėjimo</v>
      </c>
      <c r="E14" s="383"/>
      <c r="F14" s="383"/>
      <c r="U14" s="383"/>
      <c r="V14" s="383"/>
    </row>
    <row r="15" spans="1:22" ht="12.6" customHeight="1">
      <c r="A15" s="383" t="str">
        <f>A166</f>
        <v>10.03.05. (T)</v>
      </c>
      <c r="B15" s="383" t="str">
        <f>B166</f>
        <v xml:space="preserve"> Plėsti, prižiūrėti ir modernizuoti teritorijas, įrengiant reikalingą infrastrukūrą</v>
      </c>
      <c r="E15" s="383"/>
      <c r="F15" s="383"/>
      <c r="U15" s="383"/>
      <c r="V15" s="383"/>
    </row>
    <row r="16" spans="1:22" ht="12.6" customHeight="1">
      <c r="A16" s="387"/>
      <c r="B16" s="387"/>
      <c r="C16" s="387"/>
      <c r="D16" s="387"/>
      <c r="E16" s="387"/>
      <c r="F16" s="387"/>
      <c r="G16" s="387"/>
      <c r="H16" s="387"/>
      <c r="I16" s="387"/>
      <c r="J16" s="387"/>
      <c r="K16" s="387"/>
      <c r="U16" s="383"/>
      <c r="V16" s="383"/>
    </row>
    <row r="17" spans="1:22" ht="18.600000000000001" customHeight="1">
      <c r="A17" s="1936" t="s">
        <v>1463</v>
      </c>
      <c r="B17" s="1936"/>
      <c r="C17" s="1936"/>
      <c r="D17" s="1936"/>
      <c r="E17" s="1936"/>
      <c r="F17" s="419"/>
      <c r="G17" s="419"/>
      <c r="H17" s="401"/>
      <c r="I17" s="382"/>
      <c r="J17" s="382"/>
      <c r="K17" s="382"/>
      <c r="L17" s="382"/>
      <c r="O17" s="381"/>
      <c r="P17" s="381"/>
      <c r="Q17" s="381"/>
      <c r="R17" s="381"/>
      <c r="U17" s="383"/>
      <c r="V17" s="383"/>
    </row>
    <row r="18" spans="1:22" ht="60.6" customHeight="1">
      <c r="A18" s="1936" t="s">
        <v>3904</v>
      </c>
      <c r="B18" s="1936"/>
      <c r="C18" s="1936"/>
      <c r="D18" s="1936"/>
      <c r="E18" s="1936"/>
      <c r="F18" s="1936"/>
      <c r="G18" s="1936"/>
      <c r="H18" s="1936"/>
      <c r="I18" s="1936"/>
      <c r="J18" s="1936"/>
      <c r="K18" s="1936"/>
      <c r="L18" s="1936"/>
      <c r="M18" s="1936"/>
      <c r="N18" s="1936"/>
      <c r="O18" s="1936"/>
      <c r="P18" s="1936"/>
      <c r="Q18" s="1936"/>
      <c r="R18" s="1936"/>
      <c r="U18" s="383"/>
      <c r="V18" s="383"/>
    </row>
    <row r="19" spans="1:22" ht="12" customHeight="1">
      <c r="A19" s="419"/>
      <c r="B19" s="419"/>
      <c r="C19" s="419"/>
      <c r="D19" s="419"/>
      <c r="E19" s="419"/>
      <c r="F19" s="419"/>
      <c r="G19" s="419"/>
      <c r="H19" s="381"/>
      <c r="I19" s="382"/>
      <c r="J19" s="382"/>
      <c r="K19" s="382"/>
      <c r="L19" s="382"/>
      <c r="O19" s="381"/>
      <c r="P19" s="381"/>
      <c r="Q19" s="381"/>
      <c r="R19" s="381"/>
      <c r="U19" s="383"/>
      <c r="V19" s="383"/>
    </row>
    <row r="20" spans="1:22" ht="13.8" customHeight="1">
      <c r="A20" s="1936" t="s">
        <v>3877</v>
      </c>
      <c r="B20" s="1936"/>
      <c r="C20" s="1936"/>
      <c r="D20" s="1936"/>
      <c r="E20" s="1936"/>
      <c r="F20" s="1936"/>
      <c r="G20" s="1936"/>
      <c r="H20" s="1936"/>
      <c r="I20" s="1936"/>
      <c r="J20" s="1936"/>
      <c r="K20" s="1936"/>
      <c r="L20" s="1936"/>
      <c r="M20" s="1936"/>
      <c r="N20" s="1936"/>
      <c r="O20" s="1936"/>
      <c r="P20" s="1936"/>
      <c r="Q20" s="1936"/>
      <c r="R20" s="1936"/>
      <c r="U20" s="383"/>
      <c r="V20" s="383"/>
    </row>
    <row r="21" spans="1:22" s="1004" customFormat="1" ht="42" customHeight="1">
      <c r="A21" s="2330" t="s">
        <v>999</v>
      </c>
      <c r="B21" s="2330" t="s">
        <v>2550</v>
      </c>
      <c r="C21" s="2327" t="s">
        <v>1368</v>
      </c>
      <c r="D21" s="2257" t="s">
        <v>1369</v>
      </c>
      <c r="E21" s="1732" t="s">
        <v>1388</v>
      </c>
      <c r="F21" s="1730" t="s">
        <v>1499</v>
      </c>
      <c r="G21" s="1996" t="s">
        <v>1385</v>
      </c>
      <c r="H21" s="1775" t="s">
        <v>1386</v>
      </c>
      <c r="I21" s="1722" t="s">
        <v>1370</v>
      </c>
      <c r="J21" s="1770" t="s">
        <v>1387</v>
      </c>
      <c r="K21" s="1775" t="s">
        <v>2596</v>
      </c>
      <c r="L21" s="1988" t="s">
        <v>3908</v>
      </c>
      <c r="M21" s="1724" t="s">
        <v>1000</v>
      </c>
      <c r="N21" s="1724" t="s">
        <v>1390</v>
      </c>
      <c r="O21" s="1780" t="s">
        <v>1001</v>
      </c>
      <c r="P21" s="1780"/>
      <c r="Q21" s="1780"/>
      <c r="R21" s="1780" t="s">
        <v>1002</v>
      </c>
    </row>
    <row r="22" spans="1:22" s="1004" customFormat="1" ht="42" customHeight="1">
      <c r="A22" s="2331"/>
      <c r="B22" s="2331"/>
      <c r="C22" s="2328"/>
      <c r="D22" s="2329"/>
      <c r="E22" s="1967"/>
      <c r="F22" s="1731"/>
      <c r="G22" s="1968"/>
      <c r="H22" s="1722"/>
      <c r="I22" s="1808"/>
      <c r="J22" s="1995"/>
      <c r="K22" s="1775"/>
      <c r="L22" s="1998"/>
      <c r="M22" s="1725"/>
      <c r="N22" s="1725"/>
      <c r="O22" s="1007">
        <v>2024</v>
      </c>
      <c r="P22" s="1007">
        <v>2025</v>
      </c>
      <c r="Q22" s="1007">
        <v>2026</v>
      </c>
      <c r="R22" s="1780"/>
    </row>
    <row r="23" spans="1:22" ht="42" customHeight="1">
      <c r="A23" s="740" t="s">
        <v>2781</v>
      </c>
      <c r="B23" s="664" t="s">
        <v>3346</v>
      </c>
      <c r="C23" s="740"/>
      <c r="D23" s="740"/>
      <c r="E23" s="741">
        <f>SUM(E25,E27,E29,E33)</f>
        <v>516.6</v>
      </c>
      <c r="F23" s="1074">
        <f>H23/E23-1</f>
        <v>3.2520325203251321E-3</v>
      </c>
      <c r="G23" s="741">
        <f t="shared" ref="G23" si="0">SUM(G25,G27,G29,G33)</f>
        <v>509.67999999999995</v>
      </c>
      <c r="H23" s="795">
        <f>SUM(H25,H27,H29,H33)</f>
        <v>518.28</v>
      </c>
      <c r="I23" s="795">
        <f t="shared" ref="I23:J23" si="1">SUM(I25,I27,I29,I33)</f>
        <v>520.67999999999995</v>
      </c>
      <c r="J23" s="795">
        <f t="shared" si="1"/>
        <v>520.67999999999995</v>
      </c>
      <c r="K23" s="871" t="s">
        <v>2960</v>
      </c>
      <c r="L23" s="740"/>
      <c r="M23" s="759" t="s">
        <v>2132</v>
      </c>
      <c r="N23" s="759" t="s">
        <v>3132</v>
      </c>
      <c r="O23" s="759" t="s">
        <v>3133</v>
      </c>
      <c r="P23" s="759" t="s">
        <v>3134</v>
      </c>
      <c r="Q23" s="759" t="s">
        <v>613</v>
      </c>
      <c r="R23" s="759" t="s">
        <v>3132</v>
      </c>
      <c r="U23" s="383"/>
      <c r="V23" s="383"/>
    </row>
    <row r="24" spans="1:22" ht="84.6" customHeight="1">
      <c r="A24" s="1914" t="s">
        <v>2777</v>
      </c>
      <c r="B24" s="1890" t="s">
        <v>1642</v>
      </c>
      <c r="C24" s="1980">
        <v>188711925</v>
      </c>
      <c r="D24" s="943" t="s">
        <v>668</v>
      </c>
      <c r="E24" s="745">
        <v>184</v>
      </c>
      <c r="F24" s="1153">
        <f t="shared" ref="F24:F38" si="2">H24/E24-1</f>
        <v>3.2608695652173836E-2</v>
      </c>
      <c r="G24" s="745">
        <v>204</v>
      </c>
      <c r="H24" s="745">
        <v>190</v>
      </c>
      <c r="I24" s="745">
        <v>214</v>
      </c>
      <c r="J24" s="745">
        <v>214</v>
      </c>
      <c r="K24" s="1654" t="s">
        <v>2961</v>
      </c>
      <c r="L24" s="1993" t="s">
        <v>3905</v>
      </c>
      <c r="M24" s="1890" t="s">
        <v>2133</v>
      </c>
      <c r="N24" s="1663" t="s">
        <v>2236</v>
      </c>
      <c r="O24" s="1866" t="s">
        <v>1839</v>
      </c>
      <c r="P24" s="1866" t="s">
        <v>1839</v>
      </c>
      <c r="Q24" s="1866" t="s">
        <v>1839</v>
      </c>
      <c r="R24" s="1663" t="s">
        <v>3315</v>
      </c>
      <c r="U24" s="383"/>
      <c r="V24" s="383"/>
    </row>
    <row r="25" spans="1:22" ht="52.2" customHeight="1">
      <c r="A25" s="1905"/>
      <c r="B25" s="1893"/>
      <c r="C25" s="1981"/>
      <c r="D25" s="1011" t="s">
        <v>1372</v>
      </c>
      <c r="E25" s="962">
        <f>E24</f>
        <v>184</v>
      </c>
      <c r="F25" s="963">
        <f t="shared" si="2"/>
        <v>3.2608695652173836E-2</v>
      </c>
      <c r="G25" s="962">
        <f t="shared" ref="G25:J25" si="3">G24</f>
        <v>204</v>
      </c>
      <c r="H25" s="962">
        <f t="shared" si="3"/>
        <v>190</v>
      </c>
      <c r="I25" s="962">
        <f t="shared" si="3"/>
        <v>214</v>
      </c>
      <c r="J25" s="962">
        <f t="shared" si="3"/>
        <v>214</v>
      </c>
      <c r="K25" s="1886"/>
      <c r="L25" s="2338"/>
      <c r="M25" s="1893"/>
      <c r="N25" s="1663"/>
      <c r="O25" s="1866"/>
      <c r="P25" s="1866"/>
      <c r="Q25" s="1866"/>
      <c r="R25" s="1663"/>
      <c r="U25" s="383"/>
      <c r="V25" s="383"/>
    </row>
    <row r="26" spans="1:22" ht="24" customHeight="1">
      <c r="A26" s="1905" t="s">
        <v>2778</v>
      </c>
      <c r="B26" s="1900" t="s">
        <v>1643</v>
      </c>
      <c r="C26" s="1896">
        <v>188711925</v>
      </c>
      <c r="D26" s="956" t="s">
        <v>668</v>
      </c>
      <c r="E26" s="1469">
        <v>0</v>
      </c>
      <c r="F26" s="1126"/>
      <c r="G26" s="947">
        <v>5</v>
      </c>
      <c r="H26" s="947">
        <v>5</v>
      </c>
      <c r="I26" s="958">
        <v>5</v>
      </c>
      <c r="J26" s="959">
        <v>5</v>
      </c>
      <c r="K26" s="1886"/>
      <c r="L26" s="1902" t="s">
        <v>3580</v>
      </c>
      <c r="M26" s="1890" t="s">
        <v>2134</v>
      </c>
      <c r="N26" s="1663"/>
      <c r="O26" s="1866"/>
      <c r="P26" s="1866"/>
      <c r="Q26" s="1866"/>
      <c r="R26" s="1663"/>
      <c r="U26" s="383"/>
      <c r="V26" s="383"/>
    </row>
    <row r="27" spans="1:22" ht="32.4" customHeight="1">
      <c r="A27" s="1905"/>
      <c r="B27" s="1900"/>
      <c r="C27" s="1896"/>
      <c r="D27" s="961" t="s">
        <v>1372</v>
      </c>
      <c r="E27" s="1412">
        <f>E26</f>
        <v>0</v>
      </c>
      <c r="F27" s="963"/>
      <c r="G27" s="962">
        <f t="shared" ref="G27:J27" si="4">G26</f>
        <v>5</v>
      </c>
      <c r="H27" s="962">
        <f t="shared" si="4"/>
        <v>5</v>
      </c>
      <c r="I27" s="962">
        <f t="shared" si="4"/>
        <v>5</v>
      </c>
      <c r="J27" s="964">
        <f t="shared" si="4"/>
        <v>5</v>
      </c>
      <c r="K27" s="1655"/>
      <c r="L27" s="1956"/>
      <c r="M27" s="1893"/>
      <c r="N27" s="1664"/>
      <c r="O27" s="1680"/>
      <c r="P27" s="1680"/>
      <c r="Q27" s="1680"/>
      <c r="R27" s="1664"/>
      <c r="U27" s="383"/>
      <c r="V27" s="383"/>
    </row>
    <row r="28" spans="1:22" ht="20.399999999999999" customHeight="1">
      <c r="A28" s="1905" t="s">
        <v>2779</v>
      </c>
      <c r="B28" s="1900" t="s">
        <v>1644</v>
      </c>
      <c r="C28" s="1896" t="s">
        <v>1376</v>
      </c>
      <c r="D28" s="956" t="s">
        <v>668</v>
      </c>
      <c r="E28" s="947">
        <f>SUM(E30:E31)</f>
        <v>127.56</v>
      </c>
      <c r="F28" s="1126">
        <f t="shared" si="2"/>
        <v>-0.41988084038883666</v>
      </c>
      <c r="G28" s="947">
        <f>SUM(G30,G31)</f>
        <v>152.66999999999999</v>
      </c>
      <c r="H28" s="947">
        <f t="shared" ref="H28:J28" si="5">SUM(H30,H31)</f>
        <v>74</v>
      </c>
      <c r="I28" s="947">
        <f t="shared" si="5"/>
        <v>153.66999999999999</v>
      </c>
      <c r="J28" s="947">
        <f t="shared" si="5"/>
        <v>153.66999999999999</v>
      </c>
      <c r="K28" s="1887" t="s">
        <v>2962</v>
      </c>
      <c r="L28" s="1902" t="s">
        <v>3855</v>
      </c>
      <c r="M28" s="1890" t="s">
        <v>2135</v>
      </c>
      <c r="N28" s="1941" t="s">
        <v>946</v>
      </c>
      <c r="O28" s="1889" t="s">
        <v>2239</v>
      </c>
      <c r="P28" s="1889" t="s">
        <v>2239</v>
      </c>
      <c r="Q28" s="1889" t="s">
        <v>2239</v>
      </c>
      <c r="R28" s="1662" t="s">
        <v>3316</v>
      </c>
      <c r="U28" s="383"/>
      <c r="V28" s="383"/>
    </row>
    <row r="29" spans="1:22" ht="44.4" customHeight="1">
      <c r="A29" s="1915"/>
      <c r="B29" s="1901"/>
      <c r="C29" s="1897"/>
      <c r="D29" s="966" t="s">
        <v>1372</v>
      </c>
      <c r="E29" s="949">
        <f>E28</f>
        <v>127.56</v>
      </c>
      <c r="F29" s="963">
        <f t="shared" si="2"/>
        <v>-0.41988084038883666</v>
      </c>
      <c r="G29" s="949">
        <f t="shared" ref="G29" si="6">G28</f>
        <v>152.66999999999999</v>
      </c>
      <c r="H29" s="949">
        <f t="shared" ref="H29" si="7">H28</f>
        <v>74</v>
      </c>
      <c r="I29" s="949">
        <f t="shared" ref="I29" si="8">I28</f>
        <v>153.66999999999999</v>
      </c>
      <c r="J29" s="949">
        <f t="shared" ref="J29" si="9">J28</f>
        <v>153.66999999999999</v>
      </c>
      <c r="K29" s="1888"/>
      <c r="L29" s="1959"/>
      <c r="M29" s="1889"/>
      <c r="N29" s="1997"/>
      <c r="O29" s="1921"/>
      <c r="P29" s="1921"/>
      <c r="Q29" s="1921"/>
      <c r="R29" s="1664"/>
      <c r="U29" s="383"/>
      <c r="V29" s="383"/>
    </row>
    <row r="30" spans="1:22" ht="42" hidden="1" customHeight="1">
      <c r="A30" s="1045"/>
      <c r="B30" s="1060" t="s">
        <v>715</v>
      </c>
      <c r="C30" s="1061"/>
      <c r="D30" s="1081" t="s">
        <v>668</v>
      </c>
      <c r="E30" s="1023">
        <v>65.760000000000005</v>
      </c>
      <c r="F30" s="1490">
        <f t="shared" si="2"/>
        <v>-0.92396593673965932</v>
      </c>
      <c r="G30" s="1023">
        <v>9</v>
      </c>
      <c r="H30" s="1023">
        <v>5</v>
      </c>
      <c r="I30" s="1023">
        <v>10</v>
      </c>
      <c r="J30" s="1023">
        <v>10</v>
      </c>
      <c r="K30" s="1024"/>
      <c r="L30" s="1050"/>
      <c r="M30" s="1020"/>
      <c r="N30" s="1019" t="s">
        <v>946</v>
      </c>
      <c r="O30" s="1020"/>
      <c r="P30" s="1020"/>
      <c r="Q30" s="1020"/>
      <c r="R30" s="782"/>
      <c r="U30" s="383"/>
      <c r="V30" s="383"/>
    </row>
    <row r="31" spans="1:22" ht="42" hidden="1" customHeight="1">
      <c r="A31" s="1045"/>
      <c r="B31" s="1060" t="s">
        <v>2071</v>
      </c>
      <c r="C31" s="1061"/>
      <c r="D31" s="1081" t="s">
        <v>668</v>
      </c>
      <c r="E31" s="1023">
        <v>61.8</v>
      </c>
      <c r="F31" s="1490">
        <f t="shared" si="2"/>
        <v>0.11650485436893199</v>
      </c>
      <c r="G31" s="1023">
        <v>143.66999999999999</v>
      </c>
      <c r="H31" s="1023">
        <v>69</v>
      </c>
      <c r="I31" s="1023">
        <v>143.66999999999999</v>
      </c>
      <c r="J31" s="1023">
        <v>143.66999999999999</v>
      </c>
      <c r="K31" s="1024"/>
      <c r="L31" s="1050"/>
      <c r="M31" s="1020"/>
      <c r="N31" s="1019" t="s">
        <v>717</v>
      </c>
      <c r="O31" s="1020"/>
      <c r="P31" s="1020"/>
      <c r="Q31" s="1020"/>
      <c r="R31" s="782"/>
      <c r="U31" s="383"/>
      <c r="V31" s="383"/>
    </row>
    <row r="32" spans="1:22" ht="24.6" customHeight="1">
      <c r="A32" s="1914" t="s">
        <v>2780</v>
      </c>
      <c r="B32" s="1912" t="s">
        <v>1645</v>
      </c>
      <c r="C32" s="2332">
        <v>188701436</v>
      </c>
      <c r="D32" s="1063" t="s">
        <v>668</v>
      </c>
      <c r="E32" s="947">
        <v>205.04</v>
      </c>
      <c r="F32" s="1126">
        <f t="shared" si="2"/>
        <v>0.21576277799453769</v>
      </c>
      <c r="G32" s="947">
        <v>148.01</v>
      </c>
      <c r="H32" s="947">
        <v>249.28</v>
      </c>
      <c r="I32" s="947">
        <v>148.01</v>
      </c>
      <c r="J32" s="947">
        <v>148.01</v>
      </c>
      <c r="K32" s="2182" t="s">
        <v>3318</v>
      </c>
      <c r="L32" s="2335" t="s">
        <v>3317</v>
      </c>
      <c r="M32" s="2337" t="s">
        <v>2136</v>
      </c>
      <c r="N32" s="2334" t="s">
        <v>2237</v>
      </c>
      <c r="O32" s="2334" t="s">
        <v>2238</v>
      </c>
      <c r="P32" s="2334" t="s">
        <v>2238</v>
      </c>
      <c r="Q32" s="2334" t="s">
        <v>2238</v>
      </c>
      <c r="R32" s="2320" t="s">
        <v>3319</v>
      </c>
      <c r="U32" s="383"/>
      <c r="V32" s="383"/>
    </row>
    <row r="33" spans="1:22" ht="22.8" customHeight="1">
      <c r="A33" s="1905"/>
      <c r="B33" s="1901"/>
      <c r="C33" s="2333"/>
      <c r="D33" s="1011" t="s">
        <v>1372</v>
      </c>
      <c r="E33" s="962">
        <f>E32</f>
        <v>205.04</v>
      </c>
      <c r="F33" s="963">
        <f t="shared" si="2"/>
        <v>0.21576277799453769</v>
      </c>
      <c r="G33" s="962">
        <f t="shared" ref="G33:J33" si="10">G32</f>
        <v>148.01</v>
      </c>
      <c r="H33" s="962">
        <f t="shared" si="10"/>
        <v>249.28</v>
      </c>
      <c r="I33" s="962">
        <f t="shared" si="10"/>
        <v>148.01</v>
      </c>
      <c r="J33" s="962">
        <f t="shared" si="10"/>
        <v>148.01</v>
      </c>
      <c r="K33" s="2182"/>
      <c r="L33" s="2336"/>
      <c r="M33" s="2337"/>
      <c r="N33" s="2334"/>
      <c r="O33" s="2334"/>
      <c r="P33" s="2334"/>
      <c r="Q33" s="2334"/>
      <c r="R33" s="2320"/>
      <c r="U33" s="383"/>
      <c r="V33" s="383"/>
    </row>
    <row r="34" spans="1:22" ht="63.6" customHeight="1">
      <c r="A34" s="740" t="s">
        <v>2828</v>
      </c>
      <c r="B34" s="664" t="s">
        <v>3135</v>
      </c>
      <c r="C34" s="740"/>
      <c r="D34" s="740"/>
      <c r="E34" s="740">
        <f>SUM(E38,E44,E47,E49,E51,E57,E59,E61)</f>
        <v>3173.154</v>
      </c>
      <c r="F34" s="1074">
        <f t="shared" si="2"/>
        <v>-0.15539869795162786</v>
      </c>
      <c r="G34" s="740">
        <f t="shared" ref="G34:J34" si="11">SUM(G38,G44,G47,G49,G51,G57,G59,G61)</f>
        <v>1031.25</v>
      </c>
      <c r="H34" s="871">
        <f t="shared" si="11"/>
        <v>2680.05</v>
      </c>
      <c r="I34" s="871">
        <f t="shared" si="11"/>
        <v>4188.5</v>
      </c>
      <c r="J34" s="871">
        <f t="shared" si="11"/>
        <v>4344.5</v>
      </c>
      <c r="K34" s="871" t="s">
        <v>1269</v>
      </c>
      <c r="L34" s="740"/>
      <c r="M34" s="740" t="s">
        <v>2247</v>
      </c>
      <c r="N34" s="664" t="s">
        <v>1865</v>
      </c>
      <c r="O34" s="879">
        <v>0</v>
      </c>
      <c r="P34" s="879">
        <v>0</v>
      </c>
      <c r="Q34" s="879">
        <v>1</v>
      </c>
      <c r="R34" s="664"/>
      <c r="U34" s="383"/>
      <c r="V34" s="383"/>
    </row>
    <row r="35" spans="1:22" ht="60.6" customHeight="1">
      <c r="A35" s="1905" t="s">
        <v>3447</v>
      </c>
      <c r="B35" s="2163" t="s">
        <v>1646</v>
      </c>
      <c r="C35" s="2318">
        <v>188711925</v>
      </c>
      <c r="D35" s="1082" t="s">
        <v>66</v>
      </c>
      <c r="E35" s="965">
        <v>43.738999999999997</v>
      </c>
      <c r="F35" s="1126">
        <f t="shared" si="2"/>
        <v>12.174741077756694</v>
      </c>
      <c r="G35" s="965">
        <v>176.25</v>
      </c>
      <c r="H35" s="965">
        <v>576.25</v>
      </c>
      <c r="I35" s="1120">
        <v>687.07500000000005</v>
      </c>
      <c r="J35" s="1121">
        <v>687.07500000000005</v>
      </c>
      <c r="K35" s="1887" t="s">
        <v>2963</v>
      </c>
      <c r="L35" s="1898" t="s">
        <v>3906</v>
      </c>
      <c r="M35" s="1986" t="s">
        <v>2137</v>
      </c>
      <c r="N35" s="1986" t="s">
        <v>2074</v>
      </c>
      <c r="O35" s="1986" t="s">
        <v>613</v>
      </c>
      <c r="P35" s="1986" t="s">
        <v>613</v>
      </c>
      <c r="Q35" s="1986" t="s">
        <v>208</v>
      </c>
      <c r="R35" s="766" t="s">
        <v>3445</v>
      </c>
      <c r="U35" s="383"/>
      <c r="V35" s="383"/>
    </row>
    <row r="36" spans="1:22" ht="42" customHeight="1">
      <c r="A36" s="1905"/>
      <c r="B36" s="2156"/>
      <c r="C36" s="2256"/>
      <c r="D36" s="956" t="s">
        <v>341</v>
      </c>
      <c r="E36" s="947"/>
      <c r="F36" s="1126"/>
      <c r="G36" s="947"/>
      <c r="H36" s="947"/>
      <c r="I36" s="958">
        <v>2101.625</v>
      </c>
      <c r="J36" s="959">
        <v>2057.4250000000002</v>
      </c>
      <c r="K36" s="2012"/>
      <c r="L36" s="1899"/>
      <c r="M36" s="1987"/>
      <c r="N36" s="1987"/>
      <c r="O36" s="1987"/>
      <c r="P36" s="1987"/>
      <c r="Q36" s="1987"/>
      <c r="R36" s="2147" t="s">
        <v>3446</v>
      </c>
      <c r="U36" s="383"/>
      <c r="V36" s="383"/>
    </row>
    <row r="37" spans="1:22" ht="42" customHeight="1">
      <c r="A37" s="1905"/>
      <c r="B37" s="2156"/>
      <c r="C37" s="2256"/>
      <c r="D37" s="956" t="s">
        <v>1422</v>
      </c>
      <c r="E37" s="947"/>
      <c r="F37" s="1126"/>
      <c r="G37" s="947"/>
      <c r="H37" s="947"/>
      <c r="I37" s="958"/>
      <c r="J37" s="959"/>
      <c r="K37" s="2012"/>
      <c r="L37" s="1899"/>
      <c r="M37" s="1987"/>
      <c r="N37" s="1987"/>
      <c r="O37" s="1987"/>
      <c r="P37" s="1987"/>
      <c r="Q37" s="1987"/>
      <c r="R37" s="2184"/>
      <c r="U37" s="383"/>
      <c r="V37" s="383"/>
    </row>
    <row r="38" spans="1:22" ht="182.4" customHeight="1">
      <c r="A38" s="1905"/>
      <c r="B38" s="2156"/>
      <c r="C38" s="2256"/>
      <c r="D38" s="961" t="s">
        <v>1372</v>
      </c>
      <c r="E38" s="962">
        <f>SUM(E35:E37)</f>
        <v>43.738999999999997</v>
      </c>
      <c r="F38" s="963">
        <f t="shared" si="2"/>
        <v>12.174741077756694</v>
      </c>
      <c r="G38" s="962">
        <f t="shared" ref="G38:J38" si="12">SUM(G35:G37)</f>
        <v>176.25</v>
      </c>
      <c r="H38" s="962">
        <f t="shared" si="12"/>
        <v>576.25</v>
      </c>
      <c r="I38" s="962">
        <f t="shared" si="12"/>
        <v>2788.7</v>
      </c>
      <c r="J38" s="962">
        <f t="shared" si="12"/>
        <v>2744.5</v>
      </c>
      <c r="K38" s="1888"/>
      <c r="L38" s="1899"/>
      <c r="M38" s="2319"/>
      <c r="N38" s="2319"/>
      <c r="O38" s="2319"/>
      <c r="P38" s="2319"/>
      <c r="Q38" s="2319"/>
      <c r="R38" s="2148"/>
      <c r="U38" s="383"/>
      <c r="V38" s="383"/>
    </row>
    <row r="39" spans="1:22" ht="42" hidden="1" customHeight="1">
      <c r="A39" s="1053"/>
      <c r="B39" s="1513"/>
      <c r="C39" s="1470"/>
      <c r="D39" s="1449"/>
      <c r="E39" s="1024"/>
      <c r="F39" s="1122"/>
      <c r="G39" s="1024"/>
      <c r="H39" s="1024"/>
      <c r="I39" s="1077"/>
      <c r="J39" s="1078"/>
      <c r="K39" s="1123"/>
      <c r="L39" s="1050"/>
      <c r="M39" s="1514"/>
      <c r="N39" s="1514"/>
      <c r="O39" s="1514"/>
      <c r="P39" s="1514"/>
      <c r="Q39" s="1514"/>
      <c r="R39" s="1515"/>
      <c r="U39" s="383"/>
      <c r="V39" s="383"/>
    </row>
    <row r="40" spans="1:22" ht="42" hidden="1" customHeight="1">
      <c r="A40" s="1053"/>
      <c r="B40" s="1513"/>
      <c r="C40" s="1470"/>
      <c r="D40" s="1449"/>
      <c r="E40" s="1024"/>
      <c r="F40" s="1122"/>
      <c r="G40" s="1024"/>
      <c r="H40" s="1024"/>
      <c r="I40" s="1077"/>
      <c r="J40" s="1078"/>
      <c r="K40" s="1123"/>
      <c r="L40" s="1050"/>
      <c r="M40" s="1514"/>
      <c r="N40" s="1514"/>
      <c r="O40" s="1514"/>
      <c r="P40" s="1514"/>
      <c r="Q40" s="1514"/>
      <c r="R40" s="1515"/>
      <c r="U40" s="383"/>
      <c r="V40" s="383"/>
    </row>
    <row r="41" spans="1:22" ht="48" customHeight="1">
      <c r="A41" s="1905" t="s">
        <v>2782</v>
      </c>
      <c r="B41" s="2156" t="s">
        <v>964</v>
      </c>
      <c r="C41" s="2256">
        <v>188711925</v>
      </c>
      <c r="D41" s="1082" t="s">
        <v>66</v>
      </c>
      <c r="E41" s="947">
        <v>15</v>
      </c>
      <c r="F41" s="1126">
        <f t="shared" ref="F41:F94" si="13">(H41-E41)/E41</f>
        <v>-1</v>
      </c>
      <c r="G41" s="947">
        <v>0</v>
      </c>
      <c r="H41" s="947"/>
      <c r="I41" s="958"/>
      <c r="J41" s="959"/>
      <c r="K41" s="1887" t="s">
        <v>2964</v>
      </c>
      <c r="L41" s="1898" t="s">
        <v>3448</v>
      </c>
      <c r="M41" s="1986" t="s">
        <v>2138</v>
      </c>
      <c r="N41" s="1986" t="s">
        <v>1865</v>
      </c>
      <c r="O41" s="1986" t="s">
        <v>613</v>
      </c>
      <c r="P41" s="1986" t="s">
        <v>613</v>
      </c>
      <c r="Q41" s="1986" t="s">
        <v>613</v>
      </c>
      <c r="R41" s="1662" t="s">
        <v>2965</v>
      </c>
      <c r="U41" s="383"/>
      <c r="V41" s="383"/>
    </row>
    <row r="42" spans="1:22" ht="42" customHeight="1">
      <c r="A42" s="1905"/>
      <c r="B42" s="2156"/>
      <c r="C42" s="2256"/>
      <c r="D42" s="956" t="s">
        <v>341</v>
      </c>
      <c r="E42" s="947">
        <v>135.80000000000001</v>
      </c>
      <c r="F42" s="1126">
        <f t="shared" si="13"/>
        <v>-1</v>
      </c>
      <c r="G42" s="947"/>
      <c r="H42" s="947"/>
      <c r="I42" s="958"/>
      <c r="J42" s="959"/>
      <c r="K42" s="2012"/>
      <c r="L42" s="1899"/>
      <c r="M42" s="1987"/>
      <c r="N42" s="1987"/>
      <c r="O42" s="1987"/>
      <c r="P42" s="1987"/>
      <c r="Q42" s="1987"/>
      <c r="R42" s="1663"/>
      <c r="U42" s="383"/>
      <c r="V42" s="383"/>
    </row>
    <row r="43" spans="1:22" ht="42" customHeight="1">
      <c r="A43" s="1905"/>
      <c r="B43" s="2156"/>
      <c r="C43" s="2256"/>
      <c r="D43" s="956" t="s">
        <v>1422</v>
      </c>
      <c r="E43" s="947">
        <v>44.148000000000003</v>
      </c>
      <c r="F43" s="1126">
        <f t="shared" si="13"/>
        <v>-1</v>
      </c>
      <c r="G43" s="947"/>
      <c r="H43" s="947"/>
      <c r="I43" s="958"/>
      <c r="J43" s="959"/>
      <c r="K43" s="2012"/>
      <c r="L43" s="1899"/>
      <c r="M43" s="1987"/>
      <c r="N43" s="1987"/>
      <c r="O43" s="1987"/>
      <c r="P43" s="1987"/>
      <c r="Q43" s="1987"/>
      <c r="R43" s="1663"/>
      <c r="U43" s="383"/>
      <c r="V43" s="383"/>
    </row>
    <row r="44" spans="1:22" ht="42" customHeight="1">
      <c r="A44" s="1905"/>
      <c r="B44" s="2156"/>
      <c r="C44" s="2256"/>
      <c r="D44" s="961" t="s">
        <v>1372</v>
      </c>
      <c r="E44" s="962">
        <f>SUM(E41:E43)</f>
        <v>194.94800000000001</v>
      </c>
      <c r="F44" s="963">
        <f t="shared" si="13"/>
        <v>-1</v>
      </c>
      <c r="G44" s="962">
        <f t="shared" ref="G44:J44" si="14">SUM(G41:G43)</f>
        <v>0</v>
      </c>
      <c r="H44" s="962">
        <f t="shared" si="14"/>
        <v>0</v>
      </c>
      <c r="I44" s="962">
        <f t="shared" si="14"/>
        <v>0</v>
      </c>
      <c r="J44" s="962">
        <f t="shared" si="14"/>
        <v>0</v>
      </c>
      <c r="K44" s="1888"/>
      <c r="L44" s="1899"/>
      <c r="M44" s="1987"/>
      <c r="N44" s="1987"/>
      <c r="O44" s="1987"/>
      <c r="P44" s="1987"/>
      <c r="Q44" s="1987"/>
      <c r="R44" s="1664"/>
      <c r="U44" s="383"/>
      <c r="V44" s="383"/>
    </row>
    <row r="45" spans="1:22" ht="42" customHeight="1">
      <c r="A45" s="1905" t="s">
        <v>2783</v>
      </c>
      <c r="B45" s="2156" t="s">
        <v>1647</v>
      </c>
      <c r="C45" s="2256">
        <v>188711925</v>
      </c>
      <c r="D45" s="956" t="s">
        <v>668</v>
      </c>
      <c r="E45" s="947">
        <v>83</v>
      </c>
      <c r="F45" s="1126">
        <f t="shared" si="13"/>
        <v>0.13253012048192772</v>
      </c>
      <c r="G45" s="947">
        <v>90</v>
      </c>
      <c r="H45" s="947">
        <f>90+4</f>
        <v>94</v>
      </c>
      <c r="I45" s="958"/>
      <c r="J45" s="959"/>
      <c r="K45" s="1887" t="s">
        <v>2966</v>
      </c>
      <c r="L45" s="1898" t="s">
        <v>3449</v>
      </c>
      <c r="M45" s="1986" t="s">
        <v>2139</v>
      </c>
      <c r="N45" s="1986" t="s">
        <v>3129</v>
      </c>
      <c r="O45" s="1986" t="s">
        <v>1707</v>
      </c>
      <c r="P45" s="1986" t="s">
        <v>1707</v>
      </c>
      <c r="Q45" s="1986" t="s">
        <v>1707</v>
      </c>
      <c r="R45" s="1662" t="s">
        <v>3320</v>
      </c>
      <c r="U45" s="383"/>
      <c r="V45" s="383"/>
    </row>
    <row r="46" spans="1:22" ht="42" customHeight="1">
      <c r="A46" s="1905"/>
      <c r="B46" s="2156"/>
      <c r="C46" s="2256"/>
      <c r="D46" s="956" t="s">
        <v>1422</v>
      </c>
      <c r="E46" s="947">
        <v>1185</v>
      </c>
      <c r="F46" s="1126">
        <f t="shared" si="13"/>
        <v>-1.2827004219409322E-2</v>
      </c>
      <c r="G46" s="947"/>
      <c r="H46" s="947">
        <v>1169.8</v>
      </c>
      <c r="I46" s="958">
        <v>1169.8</v>
      </c>
      <c r="J46" s="959">
        <v>1170</v>
      </c>
      <c r="K46" s="2012"/>
      <c r="L46" s="1899"/>
      <c r="M46" s="1987"/>
      <c r="N46" s="1987"/>
      <c r="O46" s="1987"/>
      <c r="P46" s="1987"/>
      <c r="Q46" s="1987"/>
      <c r="R46" s="1663"/>
      <c r="U46" s="383"/>
      <c r="V46" s="383"/>
    </row>
    <row r="47" spans="1:22" ht="42" customHeight="1">
      <c r="A47" s="1905"/>
      <c r="B47" s="2156"/>
      <c r="C47" s="2256"/>
      <c r="D47" s="961" t="s">
        <v>1372</v>
      </c>
      <c r="E47" s="962">
        <f>SUM(E45:E46)</f>
        <v>1268</v>
      </c>
      <c r="F47" s="963">
        <f t="shared" si="13"/>
        <v>-3.3123028391167553E-3</v>
      </c>
      <c r="G47" s="962">
        <f t="shared" ref="G47:J47" si="15">SUM(G45:G46)</f>
        <v>90</v>
      </c>
      <c r="H47" s="962">
        <f t="shared" si="15"/>
        <v>1263.8</v>
      </c>
      <c r="I47" s="962">
        <f t="shared" si="15"/>
        <v>1169.8</v>
      </c>
      <c r="J47" s="962">
        <f t="shared" si="15"/>
        <v>1170</v>
      </c>
      <c r="K47" s="1888"/>
      <c r="L47" s="1899"/>
      <c r="M47" s="1987"/>
      <c r="N47" s="1987"/>
      <c r="O47" s="1987"/>
      <c r="P47" s="1987"/>
      <c r="Q47" s="1987"/>
      <c r="R47" s="1664"/>
      <c r="U47" s="383"/>
      <c r="V47" s="383"/>
    </row>
    <row r="48" spans="1:22" ht="42" customHeight="1">
      <c r="A48" s="1905" t="s">
        <v>2784</v>
      </c>
      <c r="B48" s="2156" t="s">
        <v>1648</v>
      </c>
      <c r="C48" s="2256">
        <v>188711925</v>
      </c>
      <c r="D48" s="956" t="s">
        <v>668</v>
      </c>
      <c r="E48" s="947">
        <v>58</v>
      </c>
      <c r="F48" s="1126">
        <f t="shared" si="13"/>
        <v>-0.74137931034482762</v>
      </c>
      <c r="G48" s="947">
        <v>30</v>
      </c>
      <c r="H48" s="947">
        <v>15</v>
      </c>
      <c r="I48" s="958">
        <v>30</v>
      </c>
      <c r="J48" s="959">
        <v>30</v>
      </c>
      <c r="K48" s="1887" t="s">
        <v>2967</v>
      </c>
      <c r="L48" s="1898" t="s">
        <v>3884</v>
      </c>
      <c r="M48" s="1986" t="s">
        <v>2140</v>
      </c>
      <c r="N48" s="1986" t="s">
        <v>2240</v>
      </c>
      <c r="O48" s="1986" t="s">
        <v>551</v>
      </c>
      <c r="P48" s="1986" t="s">
        <v>551</v>
      </c>
      <c r="Q48" s="1986" t="s">
        <v>551</v>
      </c>
      <c r="R48" s="1662" t="s">
        <v>3321</v>
      </c>
      <c r="U48" s="383"/>
      <c r="V48" s="383"/>
    </row>
    <row r="49" spans="1:22" ht="42" customHeight="1">
      <c r="A49" s="1905"/>
      <c r="B49" s="2156"/>
      <c r="C49" s="2256"/>
      <c r="D49" s="961" t="s">
        <v>1372</v>
      </c>
      <c r="E49" s="962">
        <f>E48</f>
        <v>58</v>
      </c>
      <c r="F49" s="963">
        <f t="shared" si="13"/>
        <v>-0.74137931034482762</v>
      </c>
      <c r="G49" s="962">
        <f t="shared" ref="G49:J49" si="16">G48</f>
        <v>30</v>
      </c>
      <c r="H49" s="962">
        <f t="shared" si="16"/>
        <v>15</v>
      </c>
      <c r="I49" s="962">
        <f t="shared" si="16"/>
        <v>30</v>
      </c>
      <c r="J49" s="962">
        <f t="shared" si="16"/>
        <v>30</v>
      </c>
      <c r="K49" s="1888"/>
      <c r="L49" s="1899"/>
      <c r="M49" s="1987"/>
      <c r="N49" s="1987"/>
      <c r="O49" s="1987"/>
      <c r="P49" s="1987"/>
      <c r="Q49" s="1987"/>
      <c r="R49" s="1664"/>
      <c r="U49" s="383"/>
      <c r="V49" s="383"/>
    </row>
    <row r="50" spans="1:22" ht="42" customHeight="1">
      <c r="A50" s="1905" t="s">
        <v>2785</v>
      </c>
      <c r="B50" s="2156" t="s">
        <v>1649</v>
      </c>
      <c r="C50" s="2256">
        <v>188711925</v>
      </c>
      <c r="D50" s="956" t="s">
        <v>668</v>
      </c>
      <c r="E50" s="947">
        <v>106.54600000000001</v>
      </c>
      <c r="F50" s="1126">
        <f t="shared" si="13"/>
        <v>-1</v>
      </c>
      <c r="G50" s="947"/>
      <c r="H50" s="947"/>
      <c r="I50" s="958"/>
      <c r="J50" s="959"/>
      <c r="K50" s="1887" t="s">
        <v>2968</v>
      </c>
      <c r="L50" s="1898" t="s">
        <v>3450</v>
      </c>
      <c r="M50" s="1986" t="s">
        <v>2141</v>
      </c>
      <c r="N50" s="1986" t="s">
        <v>2241</v>
      </c>
      <c r="O50" s="1986" t="s">
        <v>613</v>
      </c>
      <c r="P50" s="1986" t="s">
        <v>613</v>
      </c>
      <c r="Q50" s="1986" t="s">
        <v>613</v>
      </c>
      <c r="R50" s="1662" t="s">
        <v>3322</v>
      </c>
      <c r="U50" s="383"/>
      <c r="V50" s="383"/>
    </row>
    <row r="51" spans="1:22" ht="42" customHeight="1">
      <c r="A51" s="1905"/>
      <c r="B51" s="2156"/>
      <c r="C51" s="2256"/>
      <c r="D51" s="961" t="s">
        <v>1372</v>
      </c>
      <c r="E51" s="962">
        <f>E50</f>
        <v>106.54600000000001</v>
      </c>
      <c r="F51" s="963">
        <f t="shared" si="13"/>
        <v>-1</v>
      </c>
      <c r="G51" s="962">
        <f t="shared" ref="G51:J51" si="17">G50</f>
        <v>0</v>
      </c>
      <c r="H51" s="962">
        <f t="shared" si="17"/>
        <v>0</v>
      </c>
      <c r="I51" s="962">
        <f t="shared" si="17"/>
        <v>0</v>
      </c>
      <c r="J51" s="962">
        <f t="shared" si="17"/>
        <v>0</v>
      </c>
      <c r="K51" s="1888"/>
      <c r="L51" s="1899"/>
      <c r="M51" s="1987"/>
      <c r="N51" s="1987"/>
      <c r="O51" s="1987"/>
      <c r="P51" s="1987"/>
      <c r="Q51" s="1987"/>
      <c r="R51" s="1664"/>
      <c r="U51" s="383"/>
      <c r="V51" s="383"/>
    </row>
    <row r="52" spans="1:22" ht="30.6" customHeight="1">
      <c r="A52" s="1905" t="s">
        <v>2786</v>
      </c>
      <c r="B52" s="2156" t="s">
        <v>1650</v>
      </c>
      <c r="C52" s="2256">
        <v>188711925</v>
      </c>
      <c r="D52" s="956" t="s">
        <v>668</v>
      </c>
      <c r="E52" s="947">
        <v>604.05700000000002</v>
      </c>
      <c r="F52" s="1126">
        <f>H52/E52-1</f>
        <v>-0.58546627222265446</v>
      </c>
      <c r="G52" s="947">
        <v>350</v>
      </c>
      <c r="H52" s="947">
        <v>250.40199999999999</v>
      </c>
      <c r="I52" s="958"/>
      <c r="J52" s="959"/>
      <c r="K52" s="1887" t="s">
        <v>2969</v>
      </c>
      <c r="L52" s="1898" t="s">
        <v>3883</v>
      </c>
      <c r="M52" s="1986" t="s">
        <v>2142</v>
      </c>
      <c r="N52" s="1986" t="s">
        <v>2075</v>
      </c>
      <c r="O52" s="1986" t="s">
        <v>469</v>
      </c>
      <c r="P52" s="1986" t="s">
        <v>613</v>
      </c>
      <c r="Q52" s="1986" t="s">
        <v>613</v>
      </c>
      <c r="R52" s="1662" t="s">
        <v>3323</v>
      </c>
      <c r="U52" s="383"/>
      <c r="V52" s="383"/>
    </row>
    <row r="53" spans="1:22" ht="27" customHeight="1">
      <c r="A53" s="1905"/>
      <c r="B53" s="2156"/>
      <c r="C53" s="2256"/>
      <c r="D53" s="956" t="s">
        <v>341</v>
      </c>
      <c r="E53" s="947">
        <v>200.44</v>
      </c>
      <c r="F53" s="1126">
        <f t="shared" si="13"/>
        <v>-1</v>
      </c>
      <c r="G53" s="947"/>
      <c r="H53" s="947"/>
      <c r="I53" s="958"/>
      <c r="J53" s="959"/>
      <c r="K53" s="2012"/>
      <c r="L53" s="1898"/>
      <c r="M53" s="1987"/>
      <c r="N53" s="1987"/>
      <c r="O53" s="1987"/>
      <c r="P53" s="1987"/>
      <c r="Q53" s="1987"/>
      <c r="R53" s="1663"/>
      <c r="U53" s="383"/>
      <c r="V53" s="383"/>
    </row>
    <row r="54" spans="1:22" ht="17.399999999999999" customHeight="1">
      <c r="A54" s="1905"/>
      <c r="B54" s="2156"/>
      <c r="C54" s="2256"/>
      <c r="D54" s="956" t="s">
        <v>1422</v>
      </c>
      <c r="E54" s="947"/>
      <c r="F54" s="1126"/>
      <c r="G54" s="947"/>
      <c r="H54" s="947"/>
      <c r="I54" s="958"/>
      <c r="J54" s="959"/>
      <c r="K54" s="2012"/>
      <c r="L54" s="1898"/>
      <c r="M54" s="1987"/>
      <c r="N54" s="1987"/>
      <c r="O54" s="1987"/>
      <c r="P54" s="1987"/>
      <c r="Q54" s="1987"/>
      <c r="R54" s="1663"/>
      <c r="U54" s="383"/>
      <c r="V54" s="383"/>
    </row>
    <row r="55" spans="1:22" ht="22.2" customHeight="1">
      <c r="A55" s="1905"/>
      <c r="B55" s="2156"/>
      <c r="C55" s="2256"/>
      <c r="D55" s="956" t="s">
        <v>1760</v>
      </c>
      <c r="E55" s="947">
        <v>200</v>
      </c>
      <c r="F55" s="1126">
        <f t="shared" si="13"/>
        <v>-2.0099999999999341E-3</v>
      </c>
      <c r="G55" s="947"/>
      <c r="H55" s="947">
        <v>199.59800000000001</v>
      </c>
      <c r="I55" s="958"/>
      <c r="J55" s="959"/>
      <c r="K55" s="2012"/>
      <c r="L55" s="1898"/>
      <c r="M55" s="1987"/>
      <c r="N55" s="1987"/>
      <c r="O55" s="1987"/>
      <c r="P55" s="1987"/>
      <c r="Q55" s="1987"/>
      <c r="R55" s="1663"/>
      <c r="U55" s="383"/>
      <c r="V55" s="383"/>
    </row>
    <row r="56" spans="1:22" ht="23.4" customHeight="1">
      <c r="A56" s="1905"/>
      <c r="B56" s="2156"/>
      <c r="C56" s="2256"/>
      <c r="D56" s="956" t="s">
        <v>587</v>
      </c>
      <c r="E56" s="947">
        <v>16.251999999999999</v>
      </c>
      <c r="F56" s="1126">
        <f t="shared" si="13"/>
        <v>-1</v>
      </c>
      <c r="G56" s="947"/>
      <c r="H56" s="947"/>
      <c r="I56" s="958"/>
      <c r="J56" s="959"/>
      <c r="K56" s="2012"/>
      <c r="L56" s="1898"/>
      <c r="M56" s="1987"/>
      <c r="N56" s="1987"/>
      <c r="O56" s="1987"/>
      <c r="P56" s="1987"/>
      <c r="Q56" s="1987"/>
      <c r="R56" s="1663"/>
      <c r="U56" s="383"/>
      <c r="V56" s="383"/>
    </row>
    <row r="57" spans="1:22" ht="31.8" customHeight="1">
      <c r="A57" s="1905"/>
      <c r="B57" s="2156"/>
      <c r="C57" s="2256"/>
      <c r="D57" s="961" t="s">
        <v>1372</v>
      </c>
      <c r="E57" s="962">
        <f>SUM(E52:E56,)</f>
        <v>1020.749</v>
      </c>
      <c r="F57" s="963">
        <f t="shared" si="13"/>
        <v>-0.55914725363434103</v>
      </c>
      <c r="G57" s="962">
        <f t="shared" ref="G57:J57" si="18">SUM(G52:G56,)</f>
        <v>350</v>
      </c>
      <c r="H57" s="962">
        <f t="shared" si="18"/>
        <v>450</v>
      </c>
      <c r="I57" s="962">
        <f t="shared" si="18"/>
        <v>0</v>
      </c>
      <c r="J57" s="962">
        <f t="shared" si="18"/>
        <v>0</v>
      </c>
      <c r="K57" s="1888"/>
      <c r="L57" s="1899"/>
      <c r="M57" s="1987"/>
      <c r="N57" s="1987"/>
      <c r="O57" s="1987"/>
      <c r="P57" s="1987"/>
      <c r="Q57" s="1987"/>
      <c r="R57" s="1664"/>
      <c r="U57" s="383"/>
      <c r="V57" s="383"/>
    </row>
    <row r="58" spans="1:22" ht="42" customHeight="1">
      <c r="A58" s="1905" t="s">
        <v>2787</v>
      </c>
      <c r="B58" s="2156" t="s">
        <v>1651</v>
      </c>
      <c r="C58" s="2256">
        <v>188711925</v>
      </c>
      <c r="D58" s="956" t="s">
        <v>66</v>
      </c>
      <c r="E58" s="947">
        <v>200</v>
      </c>
      <c r="F58" s="1126">
        <f t="shared" si="13"/>
        <v>0.47499999999999998</v>
      </c>
      <c r="G58" s="947">
        <v>300</v>
      </c>
      <c r="H58" s="947">
        <v>295</v>
      </c>
      <c r="I58" s="958">
        <v>200</v>
      </c>
      <c r="J58" s="959">
        <v>200</v>
      </c>
      <c r="K58" s="1887" t="s">
        <v>2964</v>
      </c>
      <c r="L58" s="1898" t="s">
        <v>3856</v>
      </c>
      <c r="M58" s="1986" t="s">
        <v>2143</v>
      </c>
      <c r="N58" s="1986" t="s">
        <v>2242</v>
      </c>
      <c r="O58" s="1986" t="s">
        <v>2200</v>
      </c>
      <c r="P58" s="1986" t="s">
        <v>2200</v>
      </c>
      <c r="Q58" s="1986" t="s">
        <v>2200</v>
      </c>
      <c r="R58" s="1662" t="s">
        <v>2965</v>
      </c>
      <c r="S58" s="383" t="s">
        <v>3541</v>
      </c>
      <c r="U58" s="383"/>
      <c r="V58" s="383"/>
    </row>
    <row r="59" spans="1:22" ht="42" customHeight="1">
      <c r="A59" s="1905"/>
      <c r="B59" s="2156"/>
      <c r="C59" s="2256"/>
      <c r="D59" s="961" t="s">
        <v>1372</v>
      </c>
      <c r="E59" s="962">
        <f>E58</f>
        <v>200</v>
      </c>
      <c r="F59" s="963">
        <f t="shared" si="13"/>
        <v>0.47499999999999998</v>
      </c>
      <c r="G59" s="962">
        <f t="shared" ref="G59:J59" si="19">G58</f>
        <v>300</v>
      </c>
      <c r="H59" s="962">
        <f t="shared" si="19"/>
        <v>295</v>
      </c>
      <c r="I59" s="962">
        <f t="shared" si="19"/>
        <v>200</v>
      </c>
      <c r="J59" s="962">
        <f t="shared" si="19"/>
        <v>200</v>
      </c>
      <c r="K59" s="1888"/>
      <c r="L59" s="1899"/>
      <c r="M59" s="1987"/>
      <c r="N59" s="1987"/>
      <c r="O59" s="1987"/>
      <c r="P59" s="1987"/>
      <c r="Q59" s="1987"/>
      <c r="R59" s="1664"/>
      <c r="U59" s="383"/>
      <c r="V59" s="383"/>
    </row>
    <row r="60" spans="1:22" ht="42" customHeight="1">
      <c r="A60" s="1905" t="s">
        <v>2788</v>
      </c>
      <c r="B60" s="2156" t="s">
        <v>970</v>
      </c>
      <c r="C60" s="2256">
        <v>188711925</v>
      </c>
      <c r="D60" s="956" t="s">
        <v>66</v>
      </c>
      <c r="E60" s="947">
        <v>281.17200000000003</v>
      </c>
      <c r="F60" s="1126">
        <f t="shared" si="13"/>
        <v>-0.71547664774586373</v>
      </c>
      <c r="G60" s="947">
        <v>85</v>
      </c>
      <c r="H60" s="947">
        <f>20+60</f>
        <v>80</v>
      </c>
      <c r="I60" s="958">
        <v>0</v>
      </c>
      <c r="J60" s="959">
        <v>200</v>
      </c>
      <c r="K60" s="1887" t="s">
        <v>2968</v>
      </c>
      <c r="L60" s="1898" t="s">
        <v>3857</v>
      </c>
      <c r="M60" s="1986" t="s">
        <v>2144</v>
      </c>
      <c r="N60" s="1986" t="s">
        <v>3453</v>
      </c>
      <c r="O60" s="1986" t="s">
        <v>612</v>
      </c>
      <c r="P60" s="1986" t="s">
        <v>613</v>
      </c>
      <c r="Q60" s="1986" t="s">
        <v>613</v>
      </c>
      <c r="R60" s="1662" t="s">
        <v>3324</v>
      </c>
      <c r="U60" s="383"/>
      <c r="V60" s="383"/>
    </row>
    <row r="61" spans="1:22" ht="42" customHeight="1">
      <c r="A61" s="2339"/>
      <c r="B61" s="2340"/>
      <c r="C61" s="2341"/>
      <c r="D61" s="961" t="s">
        <v>1372</v>
      </c>
      <c r="E61" s="962">
        <f>E60</f>
        <v>281.17200000000003</v>
      </c>
      <c r="F61" s="963">
        <f t="shared" si="13"/>
        <v>-0.71547664774586373</v>
      </c>
      <c r="G61" s="962">
        <f t="shared" ref="G61:J61" si="20">G60</f>
        <v>85</v>
      </c>
      <c r="H61" s="962">
        <f t="shared" si="20"/>
        <v>80</v>
      </c>
      <c r="I61" s="962">
        <f t="shared" si="20"/>
        <v>0</v>
      </c>
      <c r="J61" s="962">
        <f t="shared" si="20"/>
        <v>200</v>
      </c>
      <c r="K61" s="1888"/>
      <c r="L61" s="1899"/>
      <c r="M61" s="1987"/>
      <c r="N61" s="1987"/>
      <c r="O61" s="1987"/>
      <c r="P61" s="1987"/>
      <c r="Q61" s="1987"/>
      <c r="R61" s="1664"/>
      <c r="U61" s="383"/>
      <c r="V61" s="383"/>
    </row>
    <row r="62" spans="1:22" ht="42" customHeight="1">
      <c r="A62" s="740" t="s">
        <v>2827</v>
      </c>
      <c r="B62" s="664" t="s">
        <v>1652</v>
      </c>
      <c r="C62" s="740"/>
      <c r="D62" s="664"/>
      <c r="E62" s="741">
        <f>SUM(E65,E70,E74,E79)</f>
        <v>2019.183</v>
      </c>
      <c r="F62" s="1471">
        <f t="shared" si="13"/>
        <v>-0.71848861643545925</v>
      </c>
      <c r="G62" s="741">
        <f>SUM(G65,G70,G74,G79,G68)</f>
        <v>891.91800000000001</v>
      </c>
      <c r="H62" s="741">
        <f t="shared" ref="H62:J62" si="21">SUM(H65,H70,H74,H79,H68)</f>
        <v>568.423</v>
      </c>
      <c r="I62" s="741">
        <f t="shared" si="21"/>
        <v>625</v>
      </c>
      <c r="J62" s="741">
        <f t="shared" si="21"/>
        <v>625</v>
      </c>
      <c r="K62" s="740" t="s">
        <v>1300</v>
      </c>
      <c r="L62" s="664"/>
      <c r="M62" s="740" t="s">
        <v>2145</v>
      </c>
      <c r="N62" s="664" t="s">
        <v>507</v>
      </c>
      <c r="O62" s="740">
        <v>1</v>
      </c>
      <c r="P62" s="664">
        <v>1</v>
      </c>
      <c r="Q62" s="740">
        <v>1</v>
      </c>
      <c r="R62" s="664" t="s">
        <v>2970</v>
      </c>
      <c r="U62" s="383"/>
      <c r="V62" s="383"/>
    </row>
    <row r="63" spans="1:22" ht="42" customHeight="1">
      <c r="A63" s="1905" t="s">
        <v>2789</v>
      </c>
      <c r="B63" s="2156" t="s">
        <v>3457</v>
      </c>
      <c r="C63" s="2256">
        <v>188711925</v>
      </c>
      <c r="D63" s="956" t="s">
        <v>668</v>
      </c>
      <c r="E63" s="947"/>
      <c r="F63" s="1126"/>
      <c r="G63" s="947"/>
      <c r="H63" s="947"/>
      <c r="I63" s="947"/>
      <c r="J63" s="959"/>
      <c r="K63" s="1887" t="s">
        <v>2971</v>
      </c>
      <c r="L63" s="1902" t="s">
        <v>3458</v>
      </c>
      <c r="M63" s="1986" t="s">
        <v>2146</v>
      </c>
      <c r="N63" s="1986" t="s">
        <v>1865</v>
      </c>
      <c r="O63" s="1986" t="s">
        <v>613</v>
      </c>
      <c r="P63" s="1986" t="s">
        <v>613</v>
      </c>
      <c r="Q63" s="1986" t="s">
        <v>613</v>
      </c>
      <c r="R63" s="1679" t="s">
        <v>1865</v>
      </c>
      <c r="U63" s="383"/>
      <c r="V63" s="383"/>
    </row>
    <row r="64" spans="1:22" ht="42" customHeight="1">
      <c r="A64" s="1905"/>
      <c r="B64" s="2156"/>
      <c r="C64" s="2256"/>
      <c r="D64" s="956" t="s">
        <v>341</v>
      </c>
      <c r="E64" s="947"/>
      <c r="F64" s="1126"/>
      <c r="G64" s="947"/>
      <c r="H64" s="947"/>
      <c r="I64" s="1075"/>
      <c r="J64" s="959"/>
      <c r="K64" s="2012"/>
      <c r="L64" s="1960"/>
      <c r="M64" s="1987"/>
      <c r="N64" s="1987"/>
      <c r="O64" s="1987"/>
      <c r="P64" s="1987"/>
      <c r="Q64" s="1987"/>
      <c r="R64" s="1866"/>
      <c r="U64" s="383"/>
      <c r="V64" s="383"/>
    </row>
    <row r="65" spans="1:22" ht="42" customHeight="1">
      <c r="A65" s="1905"/>
      <c r="B65" s="2156"/>
      <c r="C65" s="2256"/>
      <c r="D65" s="961" t="s">
        <v>1372</v>
      </c>
      <c r="E65" s="962">
        <f>E63</f>
        <v>0</v>
      </c>
      <c r="F65" s="963"/>
      <c r="G65" s="962">
        <f t="shared" ref="G65:J65" si="22">G63</f>
        <v>0</v>
      </c>
      <c r="H65" s="962">
        <f t="shared" si="22"/>
        <v>0</v>
      </c>
      <c r="I65" s="962">
        <f t="shared" si="22"/>
        <v>0</v>
      </c>
      <c r="J65" s="962">
        <f t="shared" si="22"/>
        <v>0</v>
      </c>
      <c r="K65" s="1888"/>
      <c r="L65" s="1956"/>
      <c r="M65" s="1987"/>
      <c r="N65" s="1987"/>
      <c r="O65" s="1987"/>
      <c r="P65" s="1987"/>
      <c r="Q65" s="1987"/>
      <c r="R65" s="1680"/>
      <c r="U65" s="383"/>
      <c r="V65" s="383"/>
    </row>
    <row r="66" spans="1:22" ht="42" customHeight="1">
      <c r="A66" s="1905" t="s">
        <v>3454</v>
      </c>
      <c r="B66" s="2156" t="s">
        <v>3778</v>
      </c>
      <c r="C66" s="2256">
        <v>188711925</v>
      </c>
      <c r="D66" s="956" t="s">
        <v>668</v>
      </c>
      <c r="E66" s="947"/>
      <c r="F66" s="1126"/>
      <c r="G66" s="947">
        <v>21</v>
      </c>
      <c r="H66" s="947">
        <v>21</v>
      </c>
      <c r="I66" s="947">
        <v>625</v>
      </c>
      <c r="J66" s="959">
        <v>625</v>
      </c>
      <c r="K66" s="1887" t="s">
        <v>2974</v>
      </c>
      <c r="L66" s="1902" t="s">
        <v>3882</v>
      </c>
      <c r="M66" s="1986" t="s">
        <v>2146</v>
      </c>
      <c r="N66" s="1986" t="s">
        <v>3456</v>
      </c>
      <c r="O66" s="1986" t="s">
        <v>469</v>
      </c>
      <c r="P66" s="1986" t="s">
        <v>469</v>
      </c>
      <c r="Q66" s="1986" t="s">
        <v>469</v>
      </c>
      <c r="R66" s="1679" t="s">
        <v>3455</v>
      </c>
      <c r="S66" s="392" t="s">
        <v>3646</v>
      </c>
      <c r="U66" s="383"/>
      <c r="V66" s="383"/>
    </row>
    <row r="67" spans="1:22" ht="42" customHeight="1">
      <c r="A67" s="1905"/>
      <c r="B67" s="2156"/>
      <c r="C67" s="2256"/>
      <c r="D67" s="956" t="s">
        <v>341</v>
      </c>
      <c r="E67" s="947"/>
      <c r="F67" s="1126"/>
      <c r="G67" s="947"/>
      <c r="H67" s="947"/>
      <c r="I67" s="1075">
        <v>625</v>
      </c>
      <c r="J67" s="959">
        <v>625</v>
      </c>
      <c r="K67" s="2012"/>
      <c r="L67" s="1960"/>
      <c r="M67" s="1987"/>
      <c r="N67" s="1987"/>
      <c r="O67" s="1987"/>
      <c r="P67" s="1987"/>
      <c r="Q67" s="1987"/>
      <c r="R67" s="1866"/>
      <c r="U67" s="383"/>
      <c r="V67" s="383"/>
    </row>
    <row r="68" spans="1:22" ht="42" customHeight="1">
      <c r="A68" s="1905"/>
      <c r="B68" s="2156"/>
      <c r="C68" s="2256"/>
      <c r="D68" s="961" t="s">
        <v>1372</v>
      </c>
      <c r="E68" s="962">
        <f>E66</f>
        <v>0</v>
      </c>
      <c r="F68" s="963" t="e">
        <f t="shared" ref="F68" si="23">(H68-E68)/E68</f>
        <v>#DIV/0!</v>
      </c>
      <c r="G68" s="962">
        <f t="shared" ref="G68:J68" si="24">G66</f>
        <v>21</v>
      </c>
      <c r="H68" s="962">
        <f t="shared" si="24"/>
        <v>21</v>
      </c>
      <c r="I68" s="962">
        <f t="shared" si="24"/>
        <v>625</v>
      </c>
      <c r="J68" s="962">
        <f t="shared" si="24"/>
        <v>625</v>
      </c>
      <c r="K68" s="1888"/>
      <c r="L68" s="1956"/>
      <c r="M68" s="1987"/>
      <c r="N68" s="1987"/>
      <c r="O68" s="1987"/>
      <c r="P68" s="1987"/>
      <c r="Q68" s="1987"/>
      <c r="R68" s="1680"/>
      <c r="U68" s="383"/>
      <c r="V68" s="383"/>
    </row>
    <row r="69" spans="1:22" ht="97.8" customHeight="1">
      <c r="A69" s="1905" t="s">
        <v>2790</v>
      </c>
      <c r="B69" s="2156" t="s">
        <v>1653</v>
      </c>
      <c r="C69" s="2256">
        <v>188711925</v>
      </c>
      <c r="D69" s="956" t="s">
        <v>668</v>
      </c>
      <c r="E69" s="947">
        <v>135</v>
      </c>
      <c r="F69" s="1126">
        <f t="shared" si="13"/>
        <v>-0.85185185185185186</v>
      </c>
      <c r="G69" s="947">
        <v>20</v>
      </c>
      <c r="H69" s="947">
        <v>20</v>
      </c>
      <c r="I69" s="958"/>
      <c r="J69" s="959"/>
      <c r="K69" s="1887" t="s">
        <v>2896</v>
      </c>
      <c r="L69" s="1902" t="s">
        <v>3325</v>
      </c>
      <c r="M69" s="1986" t="s">
        <v>2147</v>
      </c>
      <c r="N69" s="1986" t="s">
        <v>2076</v>
      </c>
      <c r="O69" s="1986" t="s">
        <v>3326</v>
      </c>
      <c r="P69" s="1986" t="s">
        <v>613</v>
      </c>
      <c r="Q69" s="1986" t="s">
        <v>613</v>
      </c>
      <c r="R69" s="1679" t="s">
        <v>1865</v>
      </c>
      <c r="U69" s="383"/>
      <c r="V69" s="383"/>
    </row>
    <row r="70" spans="1:22" ht="42" customHeight="1">
      <c r="A70" s="1905"/>
      <c r="B70" s="2156"/>
      <c r="C70" s="2256"/>
      <c r="D70" s="961" t="s">
        <v>1372</v>
      </c>
      <c r="E70" s="962">
        <f>E69</f>
        <v>135</v>
      </c>
      <c r="F70" s="963">
        <f t="shared" si="13"/>
        <v>-0.85185185185185186</v>
      </c>
      <c r="G70" s="962">
        <f t="shared" ref="G70:J70" si="25">G69</f>
        <v>20</v>
      </c>
      <c r="H70" s="962">
        <f t="shared" si="25"/>
        <v>20</v>
      </c>
      <c r="I70" s="962">
        <f t="shared" si="25"/>
        <v>0</v>
      </c>
      <c r="J70" s="962">
        <f t="shared" si="25"/>
        <v>0</v>
      </c>
      <c r="K70" s="1888"/>
      <c r="L70" s="1956"/>
      <c r="M70" s="1987"/>
      <c r="N70" s="1987"/>
      <c r="O70" s="1987"/>
      <c r="P70" s="1987"/>
      <c r="Q70" s="1987"/>
      <c r="R70" s="1680"/>
      <c r="U70" s="383"/>
      <c r="V70" s="383"/>
    </row>
    <row r="71" spans="1:22" ht="42.6" customHeight="1">
      <c r="A71" s="1905" t="s">
        <v>2791</v>
      </c>
      <c r="B71" s="2156" t="s">
        <v>967</v>
      </c>
      <c r="C71" s="2256">
        <v>188711925</v>
      </c>
      <c r="D71" s="956" t="s">
        <v>668</v>
      </c>
      <c r="E71" s="947">
        <v>538.55999999999995</v>
      </c>
      <c r="F71" s="1126">
        <f t="shared" si="13"/>
        <v>-0.25727866904337487</v>
      </c>
      <c r="G71" s="947">
        <v>800</v>
      </c>
      <c r="H71" s="947">
        <v>400</v>
      </c>
      <c r="I71" s="947"/>
      <c r="J71" s="959"/>
      <c r="K71" s="1887" t="s">
        <v>2972</v>
      </c>
      <c r="L71" s="1902" t="s">
        <v>3327</v>
      </c>
      <c r="M71" s="1986" t="s">
        <v>2148</v>
      </c>
      <c r="N71" s="1986" t="s">
        <v>2077</v>
      </c>
      <c r="O71" s="1986" t="s">
        <v>469</v>
      </c>
      <c r="P71" s="1986">
        <v>0</v>
      </c>
      <c r="Q71" s="1986" t="s">
        <v>613</v>
      </c>
      <c r="R71" s="1679" t="s">
        <v>2973</v>
      </c>
      <c r="U71" s="383"/>
      <c r="V71" s="383"/>
    </row>
    <row r="72" spans="1:22" ht="33" customHeight="1">
      <c r="A72" s="1905"/>
      <c r="B72" s="2156"/>
      <c r="C72" s="2256"/>
      <c r="D72" s="956" t="s">
        <v>587</v>
      </c>
      <c r="E72" s="947">
        <v>420</v>
      </c>
      <c r="F72" s="1126">
        <f t="shared" si="13"/>
        <v>-1</v>
      </c>
      <c r="G72" s="947"/>
      <c r="H72" s="947"/>
      <c r="I72" s="947"/>
      <c r="J72" s="959"/>
      <c r="K72" s="2012"/>
      <c r="L72" s="1960"/>
      <c r="M72" s="1987"/>
      <c r="N72" s="1987"/>
      <c r="O72" s="1987"/>
      <c r="P72" s="1987"/>
      <c r="Q72" s="1987"/>
      <c r="R72" s="1866"/>
      <c r="U72" s="383"/>
      <c r="V72" s="383"/>
    </row>
    <row r="73" spans="1:22" ht="25.2" customHeight="1">
      <c r="A73" s="1905"/>
      <c r="B73" s="2156"/>
      <c r="C73" s="2256"/>
      <c r="D73" s="956" t="s">
        <v>1760</v>
      </c>
      <c r="E73" s="947">
        <v>130</v>
      </c>
      <c r="F73" s="1126">
        <f t="shared" si="13"/>
        <v>-1</v>
      </c>
      <c r="G73" s="947"/>
      <c r="H73" s="947"/>
      <c r="I73" s="947"/>
      <c r="J73" s="959"/>
      <c r="K73" s="2012"/>
      <c r="L73" s="1960"/>
      <c r="M73" s="1987"/>
      <c r="N73" s="1987"/>
      <c r="O73" s="1987"/>
      <c r="P73" s="1987"/>
      <c r="Q73" s="1987"/>
      <c r="R73" s="1866"/>
      <c r="U73" s="383"/>
      <c r="V73" s="383"/>
    </row>
    <row r="74" spans="1:22" ht="42" customHeight="1">
      <c r="A74" s="2339"/>
      <c r="B74" s="2156"/>
      <c r="C74" s="2341"/>
      <c r="D74" s="961" t="s">
        <v>1372</v>
      </c>
      <c r="E74" s="962">
        <f>SUM(E71:E73)</f>
        <v>1088.56</v>
      </c>
      <c r="F74" s="963">
        <f t="shared" si="13"/>
        <v>-0.6325420739325347</v>
      </c>
      <c r="G74" s="962">
        <f t="shared" ref="G74:J74" si="26">SUM(G71:G73)</f>
        <v>800</v>
      </c>
      <c r="H74" s="962">
        <f t="shared" si="26"/>
        <v>400</v>
      </c>
      <c r="I74" s="962">
        <f t="shared" si="26"/>
        <v>0</v>
      </c>
      <c r="J74" s="962">
        <f t="shared" si="26"/>
        <v>0</v>
      </c>
      <c r="K74" s="1888"/>
      <c r="L74" s="1956"/>
      <c r="M74" s="1987"/>
      <c r="N74" s="1987"/>
      <c r="O74" s="1987"/>
      <c r="P74" s="1987"/>
      <c r="Q74" s="1987"/>
      <c r="R74" s="1680"/>
      <c r="U74" s="383"/>
      <c r="V74" s="383"/>
    </row>
    <row r="75" spans="1:22" ht="16.8" customHeight="1">
      <c r="A75" s="1905" t="s">
        <v>2792</v>
      </c>
      <c r="B75" s="1900" t="s">
        <v>1654</v>
      </c>
      <c r="C75" s="2256">
        <v>188711925</v>
      </c>
      <c r="D75" s="956" t="s">
        <v>668</v>
      </c>
      <c r="E75" s="947">
        <v>1</v>
      </c>
      <c r="F75" s="1126">
        <f t="shared" si="13"/>
        <v>75.456000000000003</v>
      </c>
      <c r="G75" s="947">
        <v>50.917999999999999</v>
      </c>
      <c r="H75" s="947">
        <v>76.456000000000003</v>
      </c>
      <c r="I75" s="1413"/>
      <c r="J75" s="1472"/>
      <c r="K75" s="1887" t="s">
        <v>2974</v>
      </c>
      <c r="L75" s="1902" t="s">
        <v>3460</v>
      </c>
      <c r="M75" s="1986" t="s">
        <v>2149</v>
      </c>
      <c r="N75" s="1986" t="s">
        <v>2078</v>
      </c>
      <c r="O75" s="1986" t="s">
        <v>469</v>
      </c>
      <c r="P75" s="1986" t="s">
        <v>613</v>
      </c>
      <c r="Q75" s="1986" t="s">
        <v>613</v>
      </c>
      <c r="R75" s="1679" t="s">
        <v>2975</v>
      </c>
      <c r="U75" s="383"/>
      <c r="V75" s="383"/>
    </row>
    <row r="76" spans="1:22" ht="16.2" customHeight="1">
      <c r="A76" s="1905"/>
      <c r="B76" s="1901"/>
      <c r="C76" s="2257"/>
      <c r="D76" s="1087" t="s">
        <v>587</v>
      </c>
      <c r="E76" s="960">
        <v>429.791</v>
      </c>
      <c r="F76" s="1126">
        <f t="shared" si="13"/>
        <v>-1</v>
      </c>
      <c r="G76" s="960"/>
      <c r="H76" s="960"/>
      <c r="I76" s="947"/>
      <c r="J76" s="947"/>
      <c r="K76" s="2012"/>
      <c r="L76" s="1960"/>
      <c r="M76" s="1987"/>
      <c r="N76" s="1987"/>
      <c r="O76" s="1987"/>
      <c r="P76" s="1987"/>
      <c r="Q76" s="1987"/>
      <c r="R76" s="1866"/>
      <c r="U76" s="383"/>
      <c r="V76" s="383"/>
    </row>
    <row r="77" spans="1:22" ht="21" customHeight="1">
      <c r="A77" s="1905"/>
      <c r="B77" s="1901"/>
      <c r="C77" s="2257"/>
      <c r="D77" s="1087" t="s">
        <v>1760</v>
      </c>
      <c r="E77" s="960">
        <v>157.74199999999999</v>
      </c>
      <c r="F77" s="1126">
        <f t="shared" si="13"/>
        <v>-0.8386035424934386</v>
      </c>
      <c r="G77" s="960"/>
      <c r="H77" s="960">
        <v>25.459</v>
      </c>
      <c r="I77" s="947"/>
      <c r="J77" s="446"/>
      <c r="K77" s="2012"/>
      <c r="L77" s="1960"/>
      <c r="M77" s="1987"/>
      <c r="N77" s="1987"/>
      <c r="O77" s="1987"/>
      <c r="P77" s="1987"/>
      <c r="Q77" s="1987"/>
      <c r="R77" s="1866"/>
      <c r="U77" s="383"/>
      <c r="V77" s="383"/>
    </row>
    <row r="78" spans="1:22" ht="19.2" customHeight="1">
      <c r="A78" s="1905"/>
      <c r="B78" s="1901"/>
      <c r="C78" s="2257"/>
      <c r="D78" s="1087" t="s">
        <v>341</v>
      </c>
      <c r="E78" s="960">
        <v>207.09</v>
      </c>
      <c r="F78" s="1126">
        <f t="shared" si="13"/>
        <v>-0.87682650055531408</v>
      </c>
      <c r="G78" s="960"/>
      <c r="H78" s="960">
        <v>25.507999999999999</v>
      </c>
      <c r="I78" s="1472"/>
      <c r="J78" s="1472"/>
      <c r="K78" s="2012"/>
      <c r="L78" s="1960"/>
      <c r="M78" s="1987"/>
      <c r="N78" s="1987"/>
      <c r="O78" s="1987"/>
      <c r="P78" s="1987"/>
      <c r="Q78" s="1987"/>
      <c r="R78" s="1866"/>
      <c r="U78" s="383"/>
      <c r="V78" s="383"/>
    </row>
    <row r="79" spans="1:22" ht="25.2" customHeight="1">
      <c r="A79" s="2339"/>
      <c r="B79" s="1901"/>
      <c r="C79" s="2351"/>
      <c r="D79" s="966" t="s">
        <v>1372</v>
      </c>
      <c r="E79" s="949">
        <f>SUM(E75:E78)</f>
        <v>795.62300000000005</v>
      </c>
      <c r="F79" s="963">
        <f t="shared" si="13"/>
        <v>-0.83984500196701206</v>
      </c>
      <c r="G79" s="949">
        <f t="shared" ref="G79:J79" si="27">SUM(G75:G78)</f>
        <v>50.917999999999999</v>
      </c>
      <c r="H79" s="949">
        <f>SUM(H75:H78)</f>
        <v>127.423</v>
      </c>
      <c r="I79" s="949">
        <f>SUM(I75:I78)</f>
        <v>0</v>
      </c>
      <c r="J79" s="949">
        <f t="shared" si="27"/>
        <v>0</v>
      </c>
      <c r="K79" s="1888"/>
      <c r="L79" s="1956"/>
      <c r="M79" s="1987"/>
      <c r="N79" s="1987"/>
      <c r="O79" s="1987"/>
      <c r="P79" s="1987"/>
      <c r="Q79" s="1987"/>
      <c r="R79" s="1680"/>
      <c r="U79" s="383"/>
      <c r="V79" s="383"/>
    </row>
    <row r="80" spans="1:22" ht="62.4" customHeight="1">
      <c r="A80" s="664" t="s">
        <v>2826</v>
      </c>
      <c r="B80" s="664" t="s">
        <v>1655</v>
      </c>
      <c r="C80" s="740"/>
      <c r="D80" s="740"/>
      <c r="E80" s="664">
        <f>SUM(E82,E84,E86,E88,E91,E99)</f>
        <v>4076.2029999999995</v>
      </c>
      <c r="F80" s="955">
        <f t="shared" si="13"/>
        <v>-0.95975421243740799</v>
      </c>
      <c r="G80" s="761">
        <f t="shared" ref="G80:J80" si="28">SUM(G82,G84,G86,G88,G91,G99)</f>
        <v>203.05</v>
      </c>
      <c r="H80" s="986">
        <f t="shared" si="28"/>
        <v>164.05</v>
      </c>
      <c r="I80" s="986">
        <f t="shared" si="28"/>
        <v>400</v>
      </c>
      <c r="J80" s="986">
        <f t="shared" si="28"/>
        <v>300</v>
      </c>
      <c r="K80" s="664" t="s">
        <v>1282</v>
      </c>
      <c r="L80" s="664"/>
      <c r="M80" s="664"/>
      <c r="N80" s="664"/>
      <c r="O80" s="664"/>
      <c r="P80" s="664">
        <v>3</v>
      </c>
      <c r="Q80" s="664">
        <v>3</v>
      </c>
      <c r="R80" s="762" t="s">
        <v>2977</v>
      </c>
      <c r="U80" s="383"/>
      <c r="V80" s="383"/>
    </row>
    <row r="81" spans="1:22" ht="42" hidden="1" customHeight="1">
      <c r="A81" s="2346" t="s">
        <v>2793</v>
      </c>
      <c r="B81" s="2347" t="s">
        <v>1656</v>
      </c>
      <c r="C81" s="2342">
        <v>188711925</v>
      </c>
      <c r="D81" s="1473" t="s">
        <v>668</v>
      </c>
      <c r="E81" s="1474">
        <v>0</v>
      </c>
      <c r="F81" s="1475"/>
      <c r="G81" s="1474"/>
      <c r="H81" s="1474"/>
      <c r="I81" s="1476"/>
      <c r="J81" s="1477"/>
      <c r="K81" s="2349"/>
      <c r="L81" s="2344" t="s">
        <v>3136</v>
      </c>
      <c r="M81" s="2316" t="s">
        <v>2150</v>
      </c>
      <c r="N81" s="2316"/>
      <c r="O81" s="2316"/>
      <c r="P81" s="2316"/>
      <c r="Q81" s="2316"/>
      <c r="R81" s="2321"/>
      <c r="U81" s="383"/>
      <c r="V81" s="383"/>
    </row>
    <row r="82" spans="1:22" ht="42" hidden="1" customHeight="1">
      <c r="A82" s="2346"/>
      <c r="B82" s="2348">
        <f>SUM(B81:B81)</f>
        <v>0</v>
      </c>
      <c r="C82" s="2343">
        <f>SUM(C81:C81)</f>
        <v>188711925</v>
      </c>
      <c r="D82" s="1479" t="s">
        <v>1372</v>
      </c>
      <c r="E82" s="1480">
        <f>E81</f>
        <v>0</v>
      </c>
      <c r="F82" s="1475"/>
      <c r="G82" s="1480">
        <f t="shared" ref="G82:J82" si="29">G81</f>
        <v>0</v>
      </c>
      <c r="H82" s="1480">
        <f t="shared" si="29"/>
        <v>0</v>
      </c>
      <c r="I82" s="1480">
        <f t="shared" si="29"/>
        <v>0</v>
      </c>
      <c r="J82" s="1480">
        <f t="shared" si="29"/>
        <v>0</v>
      </c>
      <c r="K82" s="2350"/>
      <c r="L82" s="2345"/>
      <c r="M82" s="2317"/>
      <c r="N82" s="2317"/>
      <c r="O82" s="2317"/>
      <c r="P82" s="2317"/>
      <c r="Q82" s="2317"/>
      <c r="R82" s="2322"/>
      <c r="U82" s="383"/>
      <c r="V82" s="383"/>
    </row>
    <row r="83" spans="1:22" ht="42" hidden="1" customHeight="1">
      <c r="A83" s="2346" t="s">
        <v>2794</v>
      </c>
      <c r="B83" s="2348" t="s">
        <v>1657</v>
      </c>
      <c r="C83" s="2343">
        <v>188711925</v>
      </c>
      <c r="D83" s="1481" t="s">
        <v>668</v>
      </c>
      <c r="E83" s="1480">
        <v>0</v>
      </c>
      <c r="F83" s="1475"/>
      <c r="G83" s="1480"/>
      <c r="H83" s="1480"/>
      <c r="I83" s="1482"/>
      <c r="J83" s="1483"/>
      <c r="K83" s="1484"/>
      <c r="L83" s="2344" t="s">
        <v>3330</v>
      </c>
      <c r="M83" s="2316" t="s">
        <v>2151</v>
      </c>
      <c r="N83" s="2316"/>
      <c r="O83" s="2316"/>
      <c r="P83" s="2316"/>
      <c r="Q83" s="2316"/>
      <c r="R83" s="2321"/>
      <c r="U83" s="383"/>
      <c r="V83" s="383"/>
    </row>
    <row r="84" spans="1:22" ht="42" hidden="1" customHeight="1">
      <c r="A84" s="2346"/>
      <c r="B84" s="2348">
        <f>SUM(B83:B83)</f>
        <v>0</v>
      </c>
      <c r="C84" s="2343">
        <f>SUM(C83:C83)</f>
        <v>188711925</v>
      </c>
      <c r="D84" s="1479" t="s">
        <v>1372</v>
      </c>
      <c r="E84" s="1480">
        <f>E83</f>
        <v>0</v>
      </c>
      <c r="F84" s="1475"/>
      <c r="G84" s="1480">
        <f t="shared" ref="G84:J84" si="30">G83</f>
        <v>0</v>
      </c>
      <c r="H84" s="1480">
        <f t="shared" si="30"/>
        <v>0</v>
      </c>
      <c r="I84" s="1480">
        <f t="shared" si="30"/>
        <v>0</v>
      </c>
      <c r="J84" s="1480">
        <f t="shared" si="30"/>
        <v>0</v>
      </c>
      <c r="K84" s="1474"/>
      <c r="L84" s="2345"/>
      <c r="M84" s="2317"/>
      <c r="N84" s="2317"/>
      <c r="O84" s="2317"/>
      <c r="P84" s="2317"/>
      <c r="Q84" s="2317"/>
      <c r="R84" s="2322"/>
      <c r="U84" s="383"/>
      <c r="V84" s="383"/>
    </row>
    <row r="85" spans="1:22" ht="42" customHeight="1">
      <c r="A85" s="1905" t="s">
        <v>2795</v>
      </c>
      <c r="B85" s="2156" t="s">
        <v>2072</v>
      </c>
      <c r="C85" s="2256">
        <v>188711925</v>
      </c>
      <c r="D85" s="956" t="s">
        <v>668</v>
      </c>
      <c r="E85" s="947">
        <v>12</v>
      </c>
      <c r="F85" s="1126">
        <f t="shared" si="13"/>
        <v>5.666666666666667</v>
      </c>
      <c r="G85" s="947">
        <v>60</v>
      </c>
      <c r="H85" s="947">
        <v>80</v>
      </c>
      <c r="I85" s="958">
        <v>300</v>
      </c>
      <c r="J85" s="959">
        <v>200</v>
      </c>
      <c r="K85" s="1887" t="s">
        <v>2978</v>
      </c>
      <c r="L85" s="1902" t="s">
        <v>3881</v>
      </c>
      <c r="M85" s="1986" t="s">
        <v>2152</v>
      </c>
      <c r="N85" s="1986" t="s">
        <v>3329</v>
      </c>
      <c r="O85" s="1986" t="s">
        <v>469</v>
      </c>
      <c r="P85" s="1986" t="s">
        <v>469</v>
      </c>
      <c r="Q85" s="1986" t="s">
        <v>469</v>
      </c>
      <c r="R85" s="1679" t="s">
        <v>2976</v>
      </c>
      <c r="U85" s="383"/>
      <c r="V85" s="383"/>
    </row>
    <row r="86" spans="1:22" ht="29.4" customHeight="1">
      <c r="A86" s="1915"/>
      <c r="B86" s="2157">
        <f>SUM(B85:B85)</f>
        <v>0</v>
      </c>
      <c r="C86" s="2257">
        <f>SUM(C85:C85)</f>
        <v>188711925</v>
      </c>
      <c r="D86" s="966" t="s">
        <v>1372</v>
      </c>
      <c r="E86" s="949">
        <f>E85</f>
        <v>12</v>
      </c>
      <c r="F86" s="963">
        <f t="shared" si="13"/>
        <v>5.666666666666667</v>
      </c>
      <c r="G86" s="949">
        <f t="shared" ref="G86:J86" si="31">G85</f>
        <v>60</v>
      </c>
      <c r="H86" s="949">
        <f t="shared" si="31"/>
        <v>80</v>
      </c>
      <c r="I86" s="949">
        <f t="shared" si="31"/>
        <v>300</v>
      </c>
      <c r="J86" s="949">
        <f t="shared" si="31"/>
        <v>200</v>
      </c>
      <c r="K86" s="1888"/>
      <c r="L86" s="1956"/>
      <c r="M86" s="1987"/>
      <c r="N86" s="1987"/>
      <c r="O86" s="1987"/>
      <c r="P86" s="1987"/>
      <c r="Q86" s="1987"/>
      <c r="R86" s="1680"/>
      <c r="U86" s="383"/>
      <c r="V86" s="383"/>
    </row>
    <row r="87" spans="1:22" ht="42" hidden="1" customHeight="1">
      <c r="A87" s="2346" t="s">
        <v>2796</v>
      </c>
      <c r="B87" s="2348" t="s">
        <v>1658</v>
      </c>
      <c r="C87" s="2343">
        <v>188711925</v>
      </c>
      <c r="D87" s="1481" t="s">
        <v>668</v>
      </c>
      <c r="E87" s="1480">
        <v>0</v>
      </c>
      <c r="F87" s="1475" t="e">
        <f t="shared" si="13"/>
        <v>#DIV/0!</v>
      </c>
      <c r="G87" s="1480"/>
      <c r="H87" s="1480"/>
      <c r="I87" s="1482"/>
      <c r="J87" s="1483"/>
      <c r="K87" s="1484"/>
      <c r="L87" s="2344" t="s">
        <v>3331</v>
      </c>
      <c r="M87" s="2316" t="s">
        <v>2153</v>
      </c>
      <c r="N87" s="2316"/>
      <c r="O87" s="2316"/>
      <c r="P87" s="2316"/>
      <c r="Q87" s="2316"/>
      <c r="R87" s="2323"/>
      <c r="U87" s="383"/>
      <c r="V87" s="383"/>
    </row>
    <row r="88" spans="1:22" ht="42" hidden="1" customHeight="1">
      <c r="A88" s="2352"/>
      <c r="B88" s="2353">
        <f>SUM(B87:B87)</f>
        <v>0</v>
      </c>
      <c r="C88" s="2358">
        <f>SUM(C87:C87)</f>
        <v>188711925</v>
      </c>
      <c r="D88" s="1485" t="s">
        <v>1372</v>
      </c>
      <c r="E88" s="1478">
        <f>E87</f>
        <v>0</v>
      </c>
      <c r="F88" s="1475" t="e">
        <f t="shared" si="13"/>
        <v>#DIV/0!</v>
      </c>
      <c r="G88" s="1478">
        <f t="shared" ref="G88:J88" si="32">G87</f>
        <v>0</v>
      </c>
      <c r="H88" s="1478">
        <f t="shared" si="32"/>
        <v>0</v>
      </c>
      <c r="I88" s="1478">
        <f t="shared" si="32"/>
        <v>0</v>
      </c>
      <c r="J88" s="1478">
        <f t="shared" si="32"/>
        <v>0</v>
      </c>
      <c r="K88" s="1486"/>
      <c r="L88" s="2345"/>
      <c r="M88" s="2317"/>
      <c r="N88" s="2317"/>
      <c r="O88" s="2317"/>
      <c r="P88" s="2317"/>
      <c r="Q88" s="2317"/>
      <c r="R88" s="2325"/>
      <c r="U88" s="383"/>
      <c r="V88" s="383"/>
    </row>
    <row r="89" spans="1:22" ht="60.6" customHeight="1">
      <c r="A89" s="1984" t="s">
        <v>2797</v>
      </c>
      <c r="B89" s="1904" t="s">
        <v>1659</v>
      </c>
      <c r="C89" s="2357">
        <v>188711925</v>
      </c>
      <c r="D89" s="1063" t="s">
        <v>668</v>
      </c>
      <c r="E89" s="947">
        <v>164.7</v>
      </c>
      <c r="F89" s="1126">
        <f t="shared" si="13"/>
        <v>-0.58409228901032173</v>
      </c>
      <c r="G89" s="947">
        <v>137</v>
      </c>
      <c r="H89" s="947">
        <v>68.5</v>
      </c>
      <c r="I89" s="1487">
        <v>100</v>
      </c>
      <c r="J89" s="959">
        <v>100</v>
      </c>
      <c r="K89" s="1887" t="s">
        <v>2979</v>
      </c>
      <c r="L89" s="1902" t="s">
        <v>3879</v>
      </c>
      <c r="M89" s="1986" t="s">
        <v>2154</v>
      </c>
      <c r="N89" s="1986" t="s">
        <v>2079</v>
      </c>
      <c r="O89" s="1986" t="s">
        <v>1707</v>
      </c>
      <c r="P89" s="1986" t="s">
        <v>1707</v>
      </c>
      <c r="Q89" s="1986" t="s">
        <v>1707</v>
      </c>
      <c r="R89" s="1662" t="s">
        <v>3332</v>
      </c>
      <c r="U89" s="383"/>
      <c r="V89" s="383"/>
    </row>
    <row r="90" spans="1:22" ht="67.8" customHeight="1">
      <c r="A90" s="1984"/>
      <c r="B90" s="1904"/>
      <c r="C90" s="2357"/>
      <c r="D90" s="1063" t="s">
        <v>1754</v>
      </c>
      <c r="E90" s="947">
        <v>4</v>
      </c>
      <c r="F90" s="1126">
        <f t="shared" si="13"/>
        <v>1.375</v>
      </c>
      <c r="G90" s="947"/>
      <c r="H90" s="947">
        <f>H93+H92</f>
        <v>9.5</v>
      </c>
      <c r="I90" s="1488"/>
      <c r="J90" s="1472"/>
      <c r="K90" s="2012"/>
      <c r="L90" s="1960"/>
      <c r="M90" s="1987"/>
      <c r="N90" s="1987"/>
      <c r="O90" s="1987"/>
      <c r="P90" s="1987"/>
      <c r="Q90" s="1987"/>
      <c r="R90" s="1663"/>
      <c r="U90" s="383"/>
      <c r="V90" s="383"/>
    </row>
    <row r="91" spans="1:22" ht="51" customHeight="1">
      <c r="A91" s="1984"/>
      <c r="B91" s="1904"/>
      <c r="C91" s="2357">
        <f>SUM(C89:C89)</f>
        <v>188711925</v>
      </c>
      <c r="D91" s="1011" t="s">
        <v>1372</v>
      </c>
      <c r="E91" s="962">
        <f>SUM(E89:E90)</f>
        <v>168.7</v>
      </c>
      <c r="F91" s="963">
        <f t="shared" si="13"/>
        <v>-0.53764078245406044</v>
      </c>
      <c r="G91" s="962">
        <f t="shared" ref="G91:I91" si="33">SUM(G89:G90)</f>
        <v>137</v>
      </c>
      <c r="H91" s="962">
        <f t="shared" si="33"/>
        <v>78</v>
      </c>
      <c r="I91" s="962">
        <f t="shared" si="33"/>
        <v>100</v>
      </c>
      <c r="J91" s="962">
        <f>SUM(J89:J90)</f>
        <v>100</v>
      </c>
      <c r="K91" s="1888"/>
      <c r="L91" s="1956"/>
      <c r="M91" s="1987"/>
      <c r="N91" s="1987"/>
      <c r="O91" s="1987"/>
      <c r="P91" s="1987"/>
      <c r="Q91" s="1987"/>
      <c r="R91" s="1664"/>
      <c r="U91" s="383"/>
      <c r="V91" s="383"/>
    </row>
    <row r="92" spans="1:22" ht="42" hidden="1" customHeight="1">
      <c r="A92" s="1045"/>
      <c r="B92" s="1516" t="s">
        <v>1961</v>
      </c>
      <c r="C92" s="1489"/>
      <c r="D92" s="1022"/>
      <c r="E92" s="1024"/>
      <c r="F92" s="1122"/>
      <c r="G92" s="1024"/>
      <c r="H92" s="1023">
        <v>5.6</v>
      </c>
      <c r="I92" s="1024"/>
      <c r="J92" s="1024"/>
      <c r="K92" s="1123"/>
      <c r="L92" s="1079"/>
      <c r="M92" s="1514"/>
      <c r="N92" s="1514"/>
      <c r="O92" s="1514"/>
      <c r="P92" s="1514"/>
      <c r="Q92" s="1514"/>
      <c r="R92" s="1135"/>
      <c r="U92" s="383"/>
      <c r="V92" s="383"/>
    </row>
    <row r="93" spans="1:22" ht="42" hidden="1" customHeight="1">
      <c r="A93" s="1045"/>
      <c r="B93" s="1516" t="s">
        <v>1962</v>
      </c>
      <c r="C93" s="1489"/>
      <c r="D93" s="1081" t="s">
        <v>1754</v>
      </c>
      <c r="E93" s="1023"/>
      <c r="F93" s="1490"/>
      <c r="G93" s="1023"/>
      <c r="H93" s="1023">
        <v>3.9</v>
      </c>
      <c r="I93" s="1024"/>
      <c r="J93" s="1024"/>
      <c r="K93" s="1123"/>
      <c r="L93" s="1079"/>
      <c r="M93" s="1514"/>
      <c r="N93" s="1514"/>
      <c r="O93" s="1514"/>
      <c r="P93" s="1514"/>
      <c r="Q93" s="1514"/>
      <c r="R93" s="1135"/>
      <c r="U93" s="383"/>
      <c r="V93" s="383"/>
    </row>
    <row r="94" spans="1:22" ht="25.2" customHeight="1">
      <c r="A94" s="1984" t="s">
        <v>2798</v>
      </c>
      <c r="B94" s="1904" t="s">
        <v>1660</v>
      </c>
      <c r="C94" s="2357">
        <v>188711925</v>
      </c>
      <c r="D94" s="1063" t="s">
        <v>668</v>
      </c>
      <c r="E94" s="947">
        <v>1132.616</v>
      </c>
      <c r="F94" s="1126">
        <f t="shared" si="13"/>
        <v>-0.99465838377702598</v>
      </c>
      <c r="G94" s="947">
        <v>6.05</v>
      </c>
      <c r="H94" s="947">
        <v>6.05</v>
      </c>
      <c r="I94" s="947"/>
      <c r="J94" s="947"/>
      <c r="K94" s="1887" t="s">
        <v>2964</v>
      </c>
      <c r="L94" s="1902" t="s">
        <v>3462</v>
      </c>
      <c r="M94" s="1986" t="s">
        <v>2155</v>
      </c>
      <c r="N94" s="1986" t="s">
        <v>2080</v>
      </c>
      <c r="O94" s="1891" t="s">
        <v>469</v>
      </c>
      <c r="P94" s="1891">
        <v>0</v>
      </c>
      <c r="Q94" s="1891">
        <v>0</v>
      </c>
      <c r="R94" s="1662" t="s">
        <v>2965</v>
      </c>
      <c r="U94" s="383"/>
      <c r="V94" s="383"/>
    </row>
    <row r="95" spans="1:22" ht="25.2" customHeight="1">
      <c r="A95" s="1984"/>
      <c r="B95" s="1904"/>
      <c r="C95" s="2357"/>
      <c r="D95" s="1063" t="s">
        <v>587</v>
      </c>
      <c r="E95" s="947">
        <v>126.94799999999999</v>
      </c>
      <c r="F95" s="1126">
        <f t="shared" ref="F95:F163" si="34">(H95-E95)/E95</f>
        <v>-1</v>
      </c>
      <c r="G95" s="947"/>
      <c r="H95" s="947"/>
      <c r="I95" s="947"/>
      <c r="J95" s="947"/>
      <c r="K95" s="2012"/>
      <c r="L95" s="1960"/>
      <c r="M95" s="1987"/>
      <c r="N95" s="1987"/>
      <c r="O95" s="1916"/>
      <c r="P95" s="1916"/>
      <c r="Q95" s="1916"/>
      <c r="R95" s="1663"/>
      <c r="U95" s="383"/>
      <c r="V95" s="383"/>
    </row>
    <row r="96" spans="1:22" ht="25.8" customHeight="1">
      <c r="A96" s="1984"/>
      <c r="B96" s="1904"/>
      <c r="C96" s="2357"/>
      <c r="D96" s="1063" t="s">
        <v>1422</v>
      </c>
      <c r="E96" s="947"/>
      <c r="F96" s="1126" t="e">
        <f t="shared" si="34"/>
        <v>#DIV/0!</v>
      </c>
      <c r="G96" s="947"/>
      <c r="H96" s="947"/>
      <c r="I96" s="947"/>
      <c r="J96" s="947"/>
      <c r="K96" s="2012"/>
      <c r="L96" s="1960"/>
      <c r="M96" s="1987"/>
      <c r="N96" s="1987"/>
      <c r="O96" s="1916"/>
      <c r="P96" s="1916"/>
      <c r="Q96" s="1916"/>
      <c r="R96" s="1663"/>
      <c r="U96" s="383"/>
      <c r="V96" s="383"/>
    </row>
    <row r="97" spans="1:22" ht="24.6" customHeight="1">
      <c r="A97" s="1984"/>
      <c r="B97" s="1904"/>
      <c r="C97" s="2357"/>
      <c r="D97" s="1063" t="s">
        <v>341</v>
      </c>
      <c r="E97" s="947">
        <v>1565.6859999999999</v>
      </c>
      <c r="F97" s="1126">
        <f t="shared" si="34"/>
        <v>-1</v>
      </c>
      <c r="G97" s="947"/>
      <c r="H97" s="947"/>
      <c r="I97" s="947"/>
      <c r="J97" s="947"/>
      <c r="K97" s="2012"/>
      <c r="L97" s="1960"/>
      <c r="M97" s="1987"/>
      <c r="N97" s="1987"/>
      <c r="O97" s="1916"/>
      <c r="P97" s="1916"/>
      <c r="Q97" s="1916"/>
      <c r="R97" s="1663"/>
      <c r="U97" s="383"/>
      <c r="V97" s="383"/>
    </row>
    <row r="98" spans="1:22" ht="24.6" customHeight="1">
      <c r="A98" s="1984"/>
      <c r="B98" s="1904"/>
      <c r="C98" s="2357"/>
      <c r="D98" s="1063" t="s">
        <v>1760</v>
      </c>
      <c r="E98" s="947">
        <v>1070.2529999999999</v>
      </c>
      <c r="F98" s="1126">
        <f t="shared" si="34"/>
        <v>-1</v>
      </c>
      <c r="G98" s="947"/>
      <c r="H98" s="947"/>
      <c r="I98" s="947"/>
      <c r="J98" s="947"/>
      <c r="K98" s="2012"/>
      <c r="L98" s="1960"/>
      <c r="M98" s="1987"/>
      <c r="N98" s="1987"/>
      <c r="O98" s="1916"/>
      <c r="P98" s="1916"/>
      <c r="Q98" s="1916"/>
      <c r="R98" s="1663"/>
      <c r="U98" s="383"/>
      <c r="V98" s="383"/>
    </row>
    <row r="99" spans="1:22" ht="28.2" customHeight="1">
      <c r="A99" s="1984"/>
      <c r="B99" s="1894"/>
      <c r="C99" s="2357"/>
      <c r="D99" s="1011" t="s">
        <v>1372</v>
      </c>
      <c r="E99" s="962">
        <f>SUM(E94:E98)</f>
        <v>3895.5029999999997</v>
      </c>
      <c r="F99" s="963">
        <f t="shared" si="34"/>
        <v>-0.99844692713623884</v>
      </c>
      <c r="G99" s="962">
        <f t="shared" ref="G99:J99" si="35">SUM(G94:G98)</f>
        <v>6.05</v>
      </c>
      <c r="H99" s="962">
        <f t="shared" si="35"/>
        <v>6.05</v>
      </c>
      <c r="I99" s="962">
        <f t="shared" si="35"/>
        <v>0</v>
      </c>
      <c r="J99" s="962">
        <f t="shared" si="35"/>
        <v>0</v>
      </c>
      <c r="K99" s="1888"/>
      <c r="L99" s="1956"/>
      <c r="M99" s="1987"/>
      <c r="N99" s="1987"/>
      <c r="O99" s="1892"/>
      <c r="P99" s="1892"/>
      <c r="Q99" s="1892"/>
      <c r="R99" s="1664"/>
      <c r="U99" s="383"/>
      <c r="V99" s="383"/>
    </row>
    <row r="100" spans="1:22" ht="42" hidden="1" customHeight="1">
      <c r="A100" s="2354" t="s">
        <v>566</v>
      </c>
      <c r="B100" s="2347" t="s">
        <v>1661</v>
      </c>
      <c r="C100" s="2355">
        <v>188711925</v>
      </c>
      <c r="D100" s="1491" t="s">
        <v>668</v>
      </c>
      <c r="E100" s="1492">
        <v>0</v>
      </c>
      <c r="F100" s="1475" t="e">
        <f t="shared" si="34"/>
        <v>#DIV/0!</v>
      </c>
      <c r="G100" s="1492"/>
      <c r="H100" s="1492"/>
      <c r="I100" s="1492"/>
      <c r="J100" s="1476"/>
      <c r="K100" s="1493"/>
      <c r="L100" s="2392"/>
      <c r="M100" s="2316" t="s">
        <v>2156</v>
      </c>
      <c r="N100" s="2316"/>
      <c r="O100" s="2379"/>
      <c r="P100" s="2379"/>
      <c r="Q100" s="2379"/>
      <c r="R100" s="2323"/>
      <c r="U100" s="383"/>
      <c r="V100" s="383"/>
    </row>
    <row r="101" spans="1:22" ht="42" hidden="1" customHeight="1">
      <c r="A101" s="2346"/>
      <c r="B101" s="2348"/>
      <c r="C101" s="2356"/>
      <c r="D101" s="1494" t="s">
        <v>341</v>
      </c>
      <c r="E101" s="1495"/>
      <c r="F101" s="1475" t="e">
        <f t="shared" si="34"/>
        <v>#DIV/0!</v>
      </c>
      <c r="G101" s="1495"/>
      <c r="H101" s="1495"/>
      <c r="I101" s="1482"/>
      <c r="J101" s="1483"/>
      <c r="K101" s="1496"/>
      <c r="L101" s="2393"/>
      <c r="M101" s="2317"/>
      <c r="N101" s="2317"/>
      <c r="O101" s="2380"/>
      <c r="P101" s="2380"/>
      <c r="Q101" s="2380"/>
      <c r="R101" s="2324"/>
      <c r="U101" s="383"/>
      <c r="V101" s="383"/>
    </row>
    <row r="102" spans="1:22" ht="42" hidden="1" customHeight="1">
      <c r="A102" s="2346"/>
      <c r="B102" s="2348"/>
      <c r="C102" s="2356"/>
      <c r="D102" s="1494" t="s">
        <v>587</v>
      </c>
      <c r="E102" s="1495"/>
      <c r="F102" s="1475" t="e">
        <f t="shared" si="34"/>
        <v>#DIV/0!</v>
      </c>
      <c r="G102" s="1495"/>
      <c r="H102" s="1495"/>
      <c r="I102" s="1482"/>
      <c r="J102" s="1483"/>
      <c r="K102" s="1496"/>
      <c r="L102" s="2393"/>
      <c r="M102" s="2317"/>
      <c r="N102" s="2317"/>
      <c r="O102" s="2380"/>
      <c r="P102" s="2380"/>
      <c r="Q102" s="2380"/>
      <c r="R102" s="2324"/>
      <c r="U102" s="383"/>
      <c r="V102" s="383"/>
    </row>
    <row r="103" spans="1:22" ht="42" hidden="1" customHeight="1">
      <c r="A103" s="2346"/>
      <c r="B103" s="2348"/>
      <c r="C103" s="2356"/>
      <c r="D103" s="1497" t="s">
        <v>1372</v>
      </c>
      <c r="E103" s="1480">
        <f>E100</f>
        <v>0</v>
      </c>
      <c r="F103" s="1475" t="e">
        <f t="shared" si="34"/>
        <v>#DIV/0!</v>
      </c>
      <c r="G103" s="1480"/>
      <c r="H103" s="1480"/>
      <c r="I103" s="1482"/>
      <c r="J103" s="1483"/>
      <c r="K103" s="1477"/>
      <c r="L103" s="2394"/>
      <c r="M103" s="2359"/>
      <c r="N103" s="2359"/>
      <c r="O103" s="2381"/>
      <c r="P103" s="2381"/>
      <c r="Q103" s="2381"/>
      <c r="R103" s="2325"/>
      <c r="U103" s="383"/>
      <c r="V103" s="383"/>
    </row>
    <row r="104" spans="1:22" ht="42" customHeight="1">
      <c r="A104" s="740" t="s">
        <v>2825</v>
      </c>
      <c r="B104" s="664" t="s">
        <v>1662</v>
      </c>
      <c r="C104" s="740"/>
      <c r="D104" s="740"/>
      <c r="E104" s="741">
        <f>SUM(E106,E125)</f>
        <v>182.86600000000001</v>
      </c>
      <c r="F104" s="955">
        <f t="shared" si="34"/>
        <v>3.9807509323767123</v>
      </c>
      <c r="G104" s="741">
        <f t="shared" ref="G104:J104" si="36">SUM(G106,G125)</f>
        <v>10</v>
      </c>
      <c r="H104" s="795">
        <f t="shared" si="36"/>
        <v>910.81</v>
      </c>
      <c r="I104" s="795">
        <f t="shared" si="36"/>
        <v>1010</v>
      </c>
      <c r="J104" s="795">
        <f t="shared" si="36"/>
        <v>1210</v>
      </c>
      <c r="K104" s="740"/>
      <c r="L104" s="740"/>
      <c r="M104" s="740" t="s">
        <v>2157</v>
      </c>
      <c r="N104" s="740"/>
      <c r="O104" s="740"/>
      <c r="P104" s="740"/>
      <c r="Q104" s="740"/>
      <c r="R104" s="740"/>
      <c r="U104" s="383"/>
      <c r="V104" s="383"/>
    </row>
    <row r="105" spans="1:22" ht="85.2" customHeight="1">
      <c r="A105" s="1914" t="s">
        <v>2799</v>
      </c>
      <c r="B105" s="2370" t="s">
        <v>1663</v>
      </c>
      <c r="C105" s="2318" t="s">
        <v>1376</v>
      </c>
      <c r="D105" s="1082" t="s">
        <v>668</v>
      </c>
      <c r="E105" s="965">
        <v>182.86600000000001</v>
      </c>
      <c r="F105" s="1126">
        <f t="shared" si="34"/>
        <v>3.9260660811741928</v>
      </c>
      <c r="G105" s="965">
        <f>SUM(G109:G123)</f>
        <v>0</v>
      </c>
      <c r="H105" s="965">
        <v>900.81</v>
      </c>
      <c r="I105" s="1498">
        <v>1000</v>
      </c>
      <c r="J105" s="1120">
        <v>1200</v>
      </c>
      <c r="K105" s="2182"/>
      <c r="L105" s="1902" t="s">
        <v>2073</v>
      </c>
      <c r="M105" s="1986" t="s">
        <v>2158</v>
      </c>
      <c r="N105" s="1986" t="s">
        <v>420</v>
      </c>
      <c r="O105" s="2377"/>
      <c r="P105" s="2377"/>
      <c r="Q105" s="2377"/>
      <c r="R105" s="2326"/>
      <c r="U105" s="383"/>
      <c r="V105" s="383"/>
    </row>
    <row r="106" spans="1:22" ht="55.8" customHeight="1">
      <c r="A106" s="1915"/>
      <c r="B106" s="2371"/>
      <c r="C106" s="2257"/>
      <c r="D106" s="966" t="s">
        <v>1372</v>
      </c>
      <c r="E106" s="949">
        <f>E105</f>
        <v>182.86600000000001</v>
      </c>
      <c r="F106" s="950">
        <f t="shared" si="34"/>
        <v>3.9260660811741928</v>
      </c>
      <c r="G106" s="949">
        <f t="shared" ref="G106:J106" si="37">G105</f>
        <v>0</v>
      </c>
      <c r="H106" s="949">
        <f t="shared" si="37"/>
        <v>900.81</v>
      </c>
      <c r="I106" s="949">
        <f t="shared" si="37"/>
        <v>1000</v>
      </c>
      <c r="J106" s="1414">
        <f t="shared" si="37"/>
        <v>1200</v>
      </c>
      <c r="K106" s="2182"/>
      <c r="L106" s="1959"/>
      <c r="M106" s="1987"/>
      <c r="N106" s="2319"/>
      <c r="O106" s="2378"/>
      <c r="P106" s="2378"/>
      <c r="Q106" s="2378"/>
      <c r="R106" s="1680"/>
      <c r="U106" s="383"/>
      <c r="V106" s="383"/>
    </row>
    <row r="107" spans="1:22" ht="42" hidden="1" customHeight="1">
      <c r="A107" s="1517"/>
      <c r="B107" s="1518" t="s">
        <v>3504</v>
      </c>
      <c r="C107" s="1519"/>
      <c r="D107" s="1438"/>
      <c r="E107" s="994"/>
      <c r="F107" s="1520"/>
      <c r="G107" s="994"/>
      <c r="H107" s="1521">
        <f>123.99+292.66</f>
        <v>416.65000000000003</v>
      </c>
      <c r="I107" s="994"/>
      <c r="J107" s="994"/>
      <c r="K107" s="1522"/>
      <c r="L107" s="1333" t="s">
        <v>3542</v>
      </c>
      <c r="M107" s="1523"/>
      <c r="N107" s="1524"/>
      <c r="O107" s="1525"/>
      <c r="P107" s="1525"/>
      <c r="Q107" s="1525"/>
      <c r="R107" s="1526"/>
      <c r="U107" s="383"/>
      <c r="V107" s="383"/>
    </row>
    <row r="108" spans="1:22" ht="42" hidden="1" customHeight="1">
      <c r="A108" s="1517"/>
      <c r="B108" s="1518" t="s">
        <v>3504</v>
      </c>
      <c r="C108" s="1519"/>
      <c r="D108" s="1438"/>
      <c r="E108" s="994"/>
      <c r="F108" s="1520"/>
      <c r="G108" s="994"/>
      <c r="H108" s="1521">
        <v>17.510000000000002</v>
      </c>
      <c r="I108" s="994"/>
      <c r="J108" s="1527"/>
      <c r="K108" s="1522"/>
      <c r="L108" s="1333" t="s">
        <v>3543</v>
      </c>
      <c r="M108" s="1523"/>
      <c r="N108" s="1524"/>
      <c r="O108" s="1525"/>
      <c r="P108" s="1525"/>
      <c r="Q108" s="1525"/>
      <c r="R108" s="1526"/>
      <c r="U108" s="383"/>
      <c r="V108" s="383"/>
    </row>
    <row r="109" spans="1:22" ht="42" hidden="1" customHeight="1">
      <c r="A109" s="1517"/>
      <c r="B109" s="1528" t="s">
        <v>1414</v>
      </c>
      <c r="C109" s="1519"/>
      <c r="D109" s="1438"/>
      <c r="E109" s="994"/>
      <c r="F109" s="1520"/>
      <c r="G109" s="994"/>
      <c r="H109" s="1521">
        <v>48.35</v>
      </c>
      <c r="I109" s="994"/>
      <c r="J109" s="1527"/>
      <c r="K109" s="1522"/>
      <c r="L109" s="1420"/>
      <c r="M109" s="1523"/>
      <c r="N109" s="1524"/>
      <c r="O109" s="1529">
        <v>4</v>
      </c>
      <c r="P109" s="1529">
        <v>4</v>
      </c>
      <c r="Q109" s="1529">
        <v>4</v>
      </c>
      <c r="R109" s="1526"/>
      <c r="U109" s="383"/>
      <c r="V109" s="383"/>
    </row>
    <row r="110" spans="1:22" ht="42" hidden="1" customHeight="1">
      <c r="A110" s="1517"/>
      <c r="B110" s="1528" t="s">
        <v>1810</v>
      </c>
      <c r="C110" s="1519"/>
      <c r="D110" s="1438"/>
      <c r="E110" s="994"/>
      <c r="F110" s="1520"/>
      <c r="G110" s="994"/>
      <c r="H110" s="1521">
        <v>10</v>
      </c>
      <c r="I110" s="994"/>
      <c r="J110" s="1527"/>
      <c r="K110" s="1522"/>
      <c r="L110" s="1420"/>
      <c r="M110" s="1523"/>
      <c r="N110" s="998"/>
      <c r="O110" s="1529">
        <v>3527</v>
      </c>
      <c r="P110" s="1529"/>
      <c r="Q110" s="1529"/>
      <c r="R110" s="1526"/>
      <c r="U110" s="383"/>
      <c r="V110" s="383"/>
    </row>
    <row r="111" spans="1:22" ht="42" hidden="1" customHeight="1">
      <c r="A111" s="1517"/>
      <c r="B111" s="1528" t="s">
        <v>1813</v>
      </c>
      <c r="C111" s="1519"/>
      <c r="D111" s="1438"/>
      <c r="E111" s="994"/>
      <c r="F111" s="1520"/>
      <c r="G111" s="994"/>
      <c r="H111" s="1521"/>
      <c r="I111" s="994"/>
      <c r="J111" s="1527"/>
      <c r="K111" s="1522"/>
      <c r="L111" s="1420"/>
      <c r="M111" s="1523"/>
      <c r="N111" s="998"/>
      <c r="O111" s="1529"/>
      <c r="P111" s="1529"/>
      <c r="Q111" s="1529"/>
      <c r="R111" s="1526"/>
      <c r="U111" s="383"/>
      <c r="V111" s="383"/>
    </row>
    <row r="112" spans="1:22" ht="42" hidden="1" customHeight="1">
      <c r="A112" s="1517"/>
      <c r="B112" s="1528" t="s">
        <v>1812</v>
      </c>
      <c r="C112" s="1519"/>
      <c r="D112" s="1438"/>
      <c r="E112" s="994"/>
      <c r="F112" s="1520"/>
      <c r="G112" s="994"/>
      <c r="H112" s="1521">
        <v>21</v>
      </c>
      <c r="I112" s="994"/>
      <c r="J112" s="1527"/>
      <c r="K112" s="1522"/>
      <c r="L112" s="1420"/>
      <c r="M112" s="1523"/>
      <c r="N112" s="998"/>
      <c r="O112" s="1529"/>
      <c r="P112" s="1529"/>
      <c r="Q112" s="1529"/>
      <c r="R112" s="1526"/>
      <c r="U112" s="383"/>
      <c r="V112" s="383"/>
    </row>
    <row r="113" spans="1:22" ht="42" hidden="1" customHeight="1">
      <c r="A113" s="1517"/>
      <c r="B113" s="1528" t="s">
        <v>1965</v>
      </c>
      <c r="C113" s="1519"/>
      <c r="D113" s="1438"/>
      <c r="E113" s="994"/>
      <c r="F113" s="1520"/>
      <c r="G113" s="994"/>
      <c r="H113" s="1521">
        <v>29.48</v>
      </c>
      <c r="I113" s="994"/>
      <c r="J113" s="1527"/>
      <c r="K113" s="1522"/>
      <c r="L113" s="1420"/>
      <c r="M113" s="1523"/>
      <c r="N113" s="998"/>
      <c r="O113" s="1529"/>
      <c r="P113" s="1529"/>
      <c r="Q113" s="1529"/>
      <c r="R113" s="1526"/>
      <c r="U113" s="383"/>
      <c r="V113" s="383"/>
    </row>
    <row r="114" spans="1:22" ht="42" hidden="1" customHeight="1">
      <c r="A114" s="1517"/>
      <c r="B114" s="1528" t="s">
        <v>1957</v>
      </c>
      <c r="C114" s="1519"/>
      <c r="D114" s="1438"/>
      <c r="E114" s="994"/>
      <c r="F114" s="1520"/>
      <c r="G114" s="994"/>
      <c r="H114" s="1521">
        <v>22.465</v>
      </c>
      <c r="I114" s="994"/>
      <c r="J114" s="1527"/>
      <c r="K114" s="1522"/>
      <c r="L114" s="1420"/>
      <c r="M114" s="1523"/>
      <c r="N114" s="998"/>
      <c r="O114" s="1529"/>
      <c r="P114" s="1529"/>
      <c r="Q114" s="1529"/>
      <c r="R114" s="1526"/>
      <c r="U114" s="383"/>
      <c r="V114" s="383"/>
    </row>
    <row r="115" spans="1:22" ht="42" hidden="1" customHeight="1">
      <c r="A115" s="1517"/>
      <c r="B115" s="1528" t="s">
        <v>1382</v>
      </c>
      <c r="C115" s="1519"/>
      <c r="D115" s="1438"/>
      <c r="E115" s="994"/>
      <c r="F115" s="1520"/>
      <c r="G115" s="994"/>
      <c r="H115" s="1521">
        <v>20</v>
      </c>
      <c r="I115" s="994"/>
      <c r="J115" s="1527"/>
      <c r="K115" s="1522"/>
      <c r="L115" s="1420"/>
      <c r="M115" s="1523"/>
      <c r="N115" s="998"/>
      <c r="O115" s="1529"/>
      <c r="P115" s="1529"/>
      <c r="Q115" s="1529"/>
      <c r="R115" s="1526"/>
      <c r="U115" s="383"/>
      <c r="V115" s="383"/>
    </row>
    <row r="116" spans="1:22" ht="42" hidden="1" customHeight="1">
      <c r="A116" s="1517"/>
      <c r="B116" s="1528" t="s">
        <v>1453</v>
      </c>
      <c r="C116" s="1519"/>
      <c r="D116" s="1438"/>
      <c r="E116" s="994"/>
      <c r="F116" s="1520"/>
      <c r="G116" s="994"/>
      <c r="H116" s="1521">
        <v>66</v>
      </c>
      <c r="I116" s="994"/>
      <c r="J116" s="1527"/>
      <c r="K116" s="1522"/>
      <c r="L116" s="1420"/>
      <c r="M116" s="1523"/>
      <c r="N116" s="998"/>
      <c r="O116" s="1529"/>
      <c r="P116" s="1529"/>
      <c r="Q116" s="1529"/>
      <c r="R116" s="1526"/>
      <c r="U116" s="383"/>
      <c r="V116" s="383"/>
    </row>
    <row r="117" spans="1:22" ht="42" hidden="1" customHeight="1">
      <c r="A117" s="1517"/>
      <c r="B117" s="1528" t="s">
        <v>1958</v>
      </c>
      <c r="C117" s="1519"/>
      <c r="D117" s="1438"/>
      <c r="E117" s="994"/>
      <c r="F117" s="1520"/>
      <c r="G117" s="994"/>
      <c r="H117" s="1521">
        <v>84.784999999999997</v>
      </c>
      <c r="I117" s="994"/>
      <c r="J117" s="1527"/>
      <c r="K117" s="1522"/>
      <c r="L117" s="1420"/>
      <c r="M117" s="1523"/>
      <c r="N117" s="998"/>
      <c r="O117" s="1529"/>
      <c r="P117" s="1529"/>
      <c r="Q117" s="1529"/>
      <c r="R117" s="1526"/>
      <c r="U117" s="383"/>
      <c r="V117" s="383"/>
    </row>
    <row r="118" spans="1:22" ht="42" hidden="1" customHeight="1">
      <c r="A118" s="1517"/>
      <c r="B118" s="1528" t="s">
        <v>1960</v>
      </c>
      <c r="C118" s="1519"/>
      <c r="D118" s="1438"/>
      <c r="E118" s="994"/>
      <c r="F118" s="1520"/>
      <c r="G118" s="994"/>
      <c r="H118" s="1521">
        <v>27.16</v>
      </c>
      <c r="I118" s="994"/>
      <c r="J118" s="1527"/>
      <c r="K118" s="1522"/>
      <c r="L118" s="1420"/>
      <c r="M118" s="1523"/>
      <c r="N118" s="998"/>
      <c r="O118" s="1529"/>
      <c r="P118" s="1529"/>
      <c r="Q118" s="1529"/>
      <c r="R118" s="1526"/>
      <c r="U118" s="383"/>
      <c r="V118" s="383"/>
    </row>
    <row r="119" spans="1:22" ht="42" hidden="1" customHeight="1">
      <c r="A119" s="1517"/>
      <c r="B119" s="1528" t="s">
        <v>1966</v>
      </c>
      <c r="C119" s="1519"/>
      <c r="D119" s="1438"/>
      <c r="E119" s="994"/>
      <c r="F119" s="1520"/>
      <c r="G119" s="994"/>
      <c r="H119" s="1521">
        <v>18.5</v>
      </c>
      <c r="I119" s="994"/>
      <c r="J119" s="1527"/>
      <c r="K119" s="1522"/>
      <c r="L119" s="1420"/>
      <c r="M119" s="1523"/>
      <c r="N119" s="998"/>
      <c r="O119" s="1529"/>
      <c r="P119" s="1529"/>
      <c r="Q119" s="1529"/>
      <c r="R119" s="1526"/>
      <c r="U119" s="383"/>
      <c r="V119" s="383"/>
    </row>
    <row r="120" spans="1:22" ht="42" hidden="1" customHeight="1">
      <c r="A120" s="1517"/>
      <c r="B120" s="1528" t="s">
        <v>1819</v>
      </c>
      <c r="C120" s="1519"/>
      <c r="D120" s="1438"/>
      <c r="E120" s="994"/>
      <c r="F120" s="1520"/>
      <c r="G120" s="994"/>
      <c r="H120" s="1521">
        <v>26.88</v>
      </c>
      <c r="I120" s="994"/>
      <c r="J120" s="1527"/>
      <c r="K120" s="1522"/>
      <c r="L120" s="1420"/>
      <c r="M120" s="1523"/>
      <c r="N120" s="998"/>
      <c r="O120" s="1529"/>
      <c r="P120" s="1529"/>
      <c r="Q120" s="1529"/>
      <c r="R120" s="1526"/>
      <c r="U120" s="383"/>
      <c r="V120" s="383"/>
    </row>
    <row r="121" spans="1:22" ht="42" hidden="1" customHeight="1">
      <c r="A121" s="1517"/>
      <c r="B121" s="1528" t="s">
        <v>3801</v>
      </c>
      <c r="C121" s="1519"/>
      <c r="D121" s="1438"/>
      <c r="E121" s="994"/>
      <c r="F121" s="1520"/>
      <c r="G121" s="994"/>
      <c r="H121" s="1521">
        <v>29</v>
      </c>
      <c r="I121" s="994"/>
      <c r="J121" s="1527"/>
      <c r="K121" s="1522"/>
      <c r="L121" s="1420"/>
      <c r="M121" s="1523"/>
      <c r="N121" s="998"/>
      <c r="O121" s="1529"/>
      <c r="P121" s="1529"/>
      <c r="Q121" s="1529"/>
      <c r="R121" s="1526"/>
      <c r="U121" s="383"/>
      <c r="V121" s="383"/>
    </row>
    <row r="122" spans="1:22" ht="42" hidden="1" customHeight="1">
      <c r="A122" s="1517"/>
      <c r="B122" s="1528" t="s">
        <v>3802</v>
      </c>
      <c r="C122" s="1519"/>
      <c r="D122" s="1438"/>
      <c r="E122" s="994"/>
      <c r="F122" s="1520"/>
      <c r="G122" s="994"/>
      <c r="H122" s="1521">
        <v>32</v>
      </c>
      <c r="I122" s="994"/>
      <c r="J122" s="1527"/>
      <c r="K122" s="1522"/>
      <c r="L122" s="1420"/>
      <c r="M122" s="1523"/>
      <c r="N122" s="998"/>
      <c r="O122" s="1529"/>
      <c r="P122" s="1529"/>
      <c r="Q122" s="1529"/>
      <c r="R122" s="1526"/>
      <c r="U122" s="383"/>
      <c r="V122" s="383"/>
    </row>
    <row r="123" spans="1:22" ht="42" hidden="1" customHeight="1">
      <c r="A123" s="1517"/>
      <c r="B123" s="1528" t="s">
        <v>2071</v>
      </c>
      <c r="C123" s="1519"/>
      <c r="D123" s="1438"/>
      <c r="E123" s="994"/>
      <c r="F123" s="1520"/>
      <c r="G123" s="994"/>
      <c r="H123" s="1521">
        <v>10</v>
      </c>
      <c r="I123" s="994"/>
      <c r="J123" s="1527"/>
      <c r="K123" s="1522"/>
      <c r="L123" s="1420"/>
      <c r="M123" s="1523"/>
      <c r="N123" s="998"/>
      <c r="O123" s="1529"/>
      <c r="P123" s="1529"/>
      <c r="Q123" s="1529"/>
      <c r="R123" s="1526"/>
      <c r="U123" s="383"/>
      <c r="V123" s="383"/>
    </row>
    <row r="124" spans="1:22" ht="42" hidden="1" customHeight="1">
      <c r="A124" s="1530"/>
      <c r="B124" s="1531" t="s">
        <v>3803</v>
      </c>
      <c r="C124" s="1532"/>
      <c r="D124" s="1438"/>
      <c r="E124" s="994"/>
      <c r="F124" s="1520"/>
      <c r="G124" s="994"/>
      <c r="H124" s="1521">
        <v>36.03</v>
      </c>
      <c r="I124" s="994"/>
      <c r="J124" s="1527"/>
      <c r="K124" s="1522"/>
      <c r="L124" s="1439"/>
      <c r="M124" s="1523"/>
      <c r="N124" s="1533"/>
      <c r="O124" s="1529"/>
      <c r="P124" s="1529"/>
      <c r="Q124" s="1529"/>
      <c r="R124" s="1534"/>
      <c r="U124" s="383"/>
      <c r="V124" s="383"/>
    </row>
    <row r="125" spans="1:22" ht="42" customHeight="1">
      <c r="A125" s="2397" t="s">
        <v>2800</v>
      </c>
      <c r="B125" s="2382" t="s">
        <v>3804</v>
      </c>
      <c r="C125" s="2384">
        <v>188711925</v>
      </c>
      <c r="D125" s="1499"/>
      <c r="E125" s="947"/>
      <c r="F125" s="1126"/>
      <c r="G125" s="947">
        <v>10</v>
      </c>
      <c r="H125" s="947">
        <v>10</v>
      </c>
      <c r="I125" s="947">
        <v>10</v>
      </c>
      <c r="J125" s="947">
        <v>10</v>
      </c>
      <c r="K125" s="1887" t="s">
        <v>2981</v>
      </c>
      <c r="L125" s="1902" t="s">
        <v>3339</v>
      </c>
      <c r="M125" s="1891" t="s">
        <v>2329</v>
      </c>
      <c r="N125" s="1891" t="s">
        <v>2330</v>
      </c>
      <c r="O125" s="2388">
        <v>1</v>
      </c>
      <c r="P125" s="2388">
        <v>1</v>
      </c>
      <c r="Q125" s="2388">
        <v>1</v>
      </c>
      <c r="R125" s="1662" t="s">
        <v>3334</v>
      </c>
      <c r="U125" s="383"/>
      <c r="V125" s="383"/>
    </row>
    <row r="126" spans="1:22" ht="42" customHeight="1">
      <c r="A126" s="2398"/>
      <c r="B126" s="2383"/>
      <c r="C126" s="2385"/>
      <c r="D126" s="1011" t="s">
        <v>1372</v>
      </c>
      <c r="E126" s="962">
        <f>SUM(E118:E125)</f>
        <v>0</v>
      </c>
      <c r="F126" s="963"/>
      <c r="G126" s="962">
        <f>G125</f>
        <v>10</v>
      </c>
      <c r="H126" s="962">
        <f t="shared" ref="H126:J126" si="38">H125</f>
        <v>10</v>
      </c>
      <c r="I126" s="962">
        <f t="shared" si="38"/>
        <v>10</v>
      </c>
      <c r="J126" s="962">
        <f t="shared" si="38"/>
        <v>10</v>
      </c>
      <c r="K126" s="1888"/>
      <c r="L126" s="1903"/>
      <c r="M126" s="1892"/>
      <c r="N126" s="1892"/>
      <c r="O126" s="2389"/>
      <c r="P126" s="2389"/>
      <c r="Q126" s="2389"/>
      <c r="R126" s="1664"/>
      <c r="U126" s="383"/>
      <c r="V126" s="383"/>
    </row>
    <row r="127" spans="1:22" ht="42" customHeight="1">
      <c r="A127" s="664" t="s">
        <v>2823</v>
      </c>
      <c r="B127" s="664" t="s">
        <v>1664</v>
      </c>
      <c r="C127" s="664"/>
      <c r="D127" s="664"/>
      <c r="E127" s="761">
        <f>E129</f>
        <v>19</v>
      </c>
      <c r="F127" s="1500">
        <f t="shared" si="34"/>
        <v>-0.47368421052631576</v>
      </c>
      <c r="G127" s="761">
        <f t="shared" ref="G127:J127" si="39">G129</f>
        <v>21</v>
      </c>
      <c r="H127" s="986">
        <f t="shared" si="39"/>
        <v>10</v>
      </c>
      <c r="I127" s="986">
        <f t="shared" si="39"/>
        <v>21</v>
      </c>
      <c r="J127" s="986">
        <f t="shared" si="39"/>
        <v>21</v>
      </c>
      <c r="K127" s="664" t="s">
        <v>3130</v>
      </c>
      <c r="L127" s="664"/>
      <c r="M127" s="664" t="s">
        <v>2160</v>
      </c>
      <c r="N127" s="664" t="s">
        <v>1305</v>
      </c>
      <c r="O127" s="664">
        <v>1.56</v>
      </c>
      <c r="P127" s="664">
        <v>2</v>
      </c>
      <c r="Q127" s="664">
        <v>2.1</v>
      </c>
      <c r="R127" s="664" t="s">
        <v>1305</v>
      </c>
      <c r="U127" s="383"/>
      <c r="V127" s="383"/>
    </row>
    <row r="128" spans="1:22" ht="42" customHeight="1">
      <c r="A128" s="2363" t="s">
        <v>2801</v>
      </c>
      <c r="B128" s="2376" t="s">
        <v>1665</v>
      </c>
      <c r="C128" s="1951">
        <v>188711925</v>
      </c>
      <c r="D128" s="1063" t="s">
        <v>668</v>
      </c>
      <c r="E128" s="947">
        <v>19</v>
      </c>
      <c r="F128" s="1126">
        <f t="shared" si="34"/>
        <v>-0.47368421052631576</v>
      </c>
      <c r="G128" s="947">
        <v>21</v>
      </c>
      <c r="H128" s="947">
        <v>10</v>
      </c>
      <c r="I128" s="947">
        <v>21</v>
      </c>
      <c r="J128" s="947">
        <v>21</v>
      </c>
      <c r="K128" s="1887" t="s">
        <v>3131</v>
      </c>
      <c r="L128" s="2395" t="s">
        <v>2243</v>
      </c>
      <c r="M128" s="1986" t="s">
        <v>2159</v>
      </c>
      <c r="N128" s="1986" t="s">
        <v>2081</v>
      </c>
      <c r="O128" s="2388">
        <v>1</v>
      </c>
      <c r="P128" s="2388">
        <v>2</v>
      </c>
      <c r="Q128" s="2388">
        <v>2</v>
      </c>
      <c r="R128" s="1662" t="s">
        <v>3340</v>
      </c>
      <c r="U128" s="383"/>
      <c r="V128" s="383"/>
    </row>
    <row r="129" spans="1:80" ht="42" customHeight="1">
      <c r="A129" s="2363"/>
      <c r="B129" s="2376"/>
      <c r="C129" s="1951"/>
      <c r="D129" s="1011" t="s">
        <v>1372</v>
      </c>
      <c r="E129" s="962">
        <f>SUM(E128)</f>
        <v>19</v>
      </c>
      <c r="F129" s="963">
        <f t="shared" si="34"/>
        <v>-0.47368421052631576</v>
      </c>
      <c r="G129" s="962">
        <f t="shared" ref="G129:J129" si="40">SUM(G128)</f>
        <v>21</v>
      </c>
      <c r="H129" s="962">
        <f t="shared" si="40"/>
        <v>10</v>
      </c>
      <c r="I129" s="962">
        <f t="shared" si="40"/>
        <v>21</v>
      </c>
      <c r="J129" s="962">
        <f t="shared" si="40"/>
        <v>21</v>
      </c>
      <c r="K129" s="1888"/>
      <c r="L129" s="2396"/>
      <c r="M129" s="2319"/>
      <c r="N129" s="2319"/>
      <c r="O129" s="2389"/>
      <c r="P129" s="2389"/>
      <c r="Q129" s="2389"/>
      <c r="R129" s="1664"/>
      <c r="U129" s="383"/>
      <c r="V129" s="383"/>
    </row>
    <row r="130" spans="1:80" ht="42" hidden="1" customHeight="1">
      <c r="A130" s="1535" t="s">
        <v>2824</v>
      </c>
      <c r="B130" s="1535" t="s">
        <v>1666</v>
      </c>
      <c r="C130" s="1535"/>
      <c r="D130" s="1535"/>
      <c r="E130" s="1536">
        <f>E132</f>
        <v>0</v>
      </c>
      <c r="F130" s="1501" t="e">
        <f t="shared" si="34"/>
        <v>#DIV/0!</v>
      </c>
      <c r="G130" s="1535"/>
      <c r="H130" s="1535"/>
      <c r="I130" s="1535"/>
      <c r="J130" s="1535"/>
      <c r="K130" s="1535"/>
      <c r="L130" s="1535"/>
      <c r="M130" s="1535" t="s">
        <v>2161</v>
      </c>
      <c r="N130" s="1535" t="s">
        <v>3341</v>
      </c>
      <c r="O130" s="1535">
        <v>0</v>
      </c>
      <c r="P130" s="1535">
        <v>0</v>
      </c>
      <c r="Q130" s="1535">
        <v>0</v>
      </c>
      <c r="R130" s="1535"/>
      <c r="U130" s="383"/>
      <c r="V130" s="383"/>
    </row>
    <row r="131" spans="1:80" ht="42" hidden="1" customHeight="1">
      <c r="A131" s="2360" t="s">
        <v>2802</v>
      </c>
      <c r="B131" s="2361" t="s">
        <v>1667</v>
      </c>
      <c r="C131" s="2362"/>
      <c r="D131" s="1502" t="s">
        <v>668</v>
      </c>
      <c r="E131" s="1503">
        <v>0</v>
      </c>
      <c r="F131" s="1501" t="e">
        <f t="shared" si="34"/>
        <v>#DIV/0!</v>
      </c>
      <c r="G131" s="1503"/>
      <c r="H131" s="1503"/>
      <c r="I131" s="1503"/>
      <c r="J131" s="1503"/>
      <c r="K131" s="2374"/>
      <c r="L131" s="2372" t="s">
        <v>3342</v>
      </c>
      <c r="M131" s="2366" t="s">
        <v>2162</v>
      </c>
      <c r="N131" s="2366" t="s">
        <v>3343</v>
      </c>
      <c r="O131" s="2390">
        <v>1</v>
      </c>
      <c r="P131" s="2390">
        <v>1</v>
      </c>
      <c r="Q131" s="2390">
        <v>1</v>
      </c>
      <c r="R131" s="2019"/>
      <c r="U131" s="383"/>
      <c r="V131" s="383"/>
    </row>
    <row r="132" spans="1:80" ht="42" hidden="1" customHeight="1">
      <c r="A132" s="2360"/>
      <c r="B132" s="2361"/>
      <c r="C132" s="2362"/>
      <c r="D132" s="1504" t="s">
        <v>1372</v>
      </c>
      <c r="E132" s="1503"/>
      <c r="F132" s="1501" t="e">
        <f t="shared" si="34"/>
        <v>#DIV/0!</v>
      </c>
      <c r="G132" s="1503"/>
      <c r="H132" s="1503"/>
      <c r="I132" s="1503"/>
      <c r="J132" s="1503"/>
      <c r="K132" s="2375"/>
      <c r="L132" s="2373"/>
      <c r="M132" s="2368"/>
      <c r="N132" s="2368"/>
      <c r="O132" s="2391"/>
      <c r="P132" s="2391"/>
      <c r="Q132" s="2391"/>
      <c r="R132" s="2091"/>
      <c r="U132" s="383"/>
      <c r="V132" s="383"/>
    </row>
    <row r="133" spans="1:80" ht="42" customHeight="1">
      <c r="A133" s="664" t="s">
        <v>2822</v>
      </c>
      <c r="B133" s="664" t="s">
        <v>1668</v>
      </c>
      <c r="C133" s="664"/>
      <c r="D133" s="664"/>
      <c r="E133" s="664">
        <f>SUM(E135,E137,E141,E143,E145,E147,E149,E151,E153)</f>
        <v>4341.0519999999997</v>
      </c>
      <c r="F133" s="1500">
        <f t="shared" si="34"/>
        <v>-0.93973810956422543</v>
      </c>
      <c r="G133" s="761">
        <f t="shared" ref="G133:J133" si="41">SUM(G135,G137,G141,G143,G145,G147,G149,G151,G153)</f>
        <v>297.3</v>
      </c>
      <c r="H133" s="986">
        <f t="shared" si="41"/>
        <v>261.60000000000002</v>
      </c>
      <c r="I133" s="986">
        <f t="shared" si="41"/>
        <v>280</v>
      </c>
      <c r="J133" s="986">
        <f t="shared" si="41"/>
        <v>280</v>
      </c>
      <c r="K133" s="664"/>
      <c r="L133" s="664"/>
      <c r="M133" s="664" t="s">
        <v>2163</v>
      </c>
      <c r="N133" s="664" t="s">
        <v>3345</v>
      </c>
      <c r="O133" s="664" t="s">
        <v>845</v>
      </c>
      <c r="P133" s="664" t="s">
        <v>845</v>
      </c>
      <c r="Q133" s="664" t="s">
        <v>845</v>
      </c>
      <c r="R133" s="664" t="s">
        <v>509</v>
      </c>
      <c r="U133" s="383"/>
      <c r="V133" s="383"/>
      <c r="W133" s="383" t="s">
        <v>3461</v>
      </c>
    </row>
    <row r="134" spans="1:80" ht="42" customHeight="1">
      <c r="A134" s="1905" t="s">
        <v>2803</v>
      </c>
      <c r="B134" s="2163" t="s">
        <v>1669</v>
      </c>
      <c r="C134" s="2318">
        <v>188711925</v>
      </c>
      <c r="D134" s="1082" t="s">
        <v>66</v>
      </c>
      <c r="E134" s="965">
        <v>5</v>
      </c>
      <c r="F134" s="1126">
        <f t="shared" si="34"/>
        <v>5.9999999999999963E-2</v>
      </c>
      <c r="G134" s="965">
        <v>0.3</v>
      </c>
      <c r="H134" s="965">
        <v>5.3</v>
      </c>
      <c r="I134" s="1120"/>
      <c r="J134" s="1121"/>
      <c r="K134" s="1701" t="s">
        <v>3192</v>
      </c>
      <c r="L134" s="1898" t="s">
        <v>3459</v>
      </c>
      <c r="M134" s="1986" t="s">
        <v>2164</v>
      </c>
      <c r="N134" s="1986" t="s">
        <v>2082</v>
      </c>
      <c r="O134" s="1986" t="s">
        <v>6</v>
      </c>
      <c r="P134" s="1986" t="s">
        <v>613</v>
      </c>
      <c r="Q134" s="1986" t="s">
        <v>613</v>
      </c>
      <c r="R134" s="1662" t="s">
        <v>3193</v>
      </c>
      <c r="U134" s="383"/>
      <c r="V134" s="383"/>
    </row>
    <row r="135" spans="1:80" ht="42" customHeight="1">
      <c r="A135" s="1905"/>
      <c r="B135" s="2156"/>
      <c r="C135" s="2256"/>
      <c r="D135" s="961" t="s">
        <v>1372</v>
      </c>
      <c r="E135" s="962">
        <f>SUM(E134:E134)</f>
        <v>5</v>
      </c>
      <c r="F135" s="963">
        <f t="shared" si="34"/>
        <v>5.9999999999999963E-2</v>
      </c>
      <c r="G135" s="962">
        <f t="shared" ref="G135:J135" si="42">SUM(G134:G134)</f>
        <v>0.3</v>
      </c>
      <c r="H135" s="962">
        <f t="shared" si="42"/>
        <v>5.3</v>
      </c>
      <c r="I135" s="962">
        <f t="shared" si="42"/>
        <v>0</v>
      </c>
      <c r="J135" s="962">
        <f t="shared" si="42"/>
        <v>0</v>
      </c>
      <c r="K135" s="1701"/>
      <c r="L135" s="1899"/>
      <c r="M135" s="2319"/>
      <c r="N135" s="2319"/>
      <c r="O135" s="2319"/>
      <c r="P135" s="2319"/>
      <c r="Q135" s="2319"/>
      <c r="R135" s="1664"/>
      <c r="U135" s="383"/>
      <c r="V135" s="383"/>
    </row>
    <row r="136" spans="1:80" s="528" customFormat="1" ht="42" hidden="1" customHeight="1">
      <c r="A136" s="2364" t="s">
        <v>2804</v>
      </c>
      <c r="B136" s="2365" t="s">
        <v>1670</v>
      </c>
      <c r="C136" s="2369">
        <v>188711925</v>
      </c>
      <c r="D136" s="1505" t="s">
        <v>66</v>
      </c>
      <c r="E136" s="1503">
        <v>0</v>
      </c>
      <c r="F136" s="1501" t="e">
        <f t="shared" si="34"/>
        <v>#DIV/0!</v>
      </c>
      <c r="G136" s="1503">
        <v>0</v>
      </c>
      <c r="H136" s="1503"/>
      <c r="I136" s="1506">
        <v>0</v>
      </c>
      <c r="J136" s="1507">
        <v>0</v>
      </c>
      <c r="K136" s="1701" t="s">
        <v>3344</v>
      </c>
      <c r="L136" s="2386" t="s">
        <v>3136</v>
      </c>
      <c r="M136" s="2366"/>
      <c r="N136" s="2366"/>
      <c r="O136" s="2366"/>
      <c r="P136" s="2366"/>
      <c r="Q136" s="2366"/>
      <c r="R136" s="1662" t="s">
        <v>509</v>
      </c>
      <c r="S136" s="383"/>
      <c r="T136" s="383"/>
      <c r="U136" s="383"/>
      <c r="V136" s="383"/>
      <c r="W136" s="383"/>
      <c r="X136" s="383"/>
      <c r="Y136" s="383"/>
      <c r="Z136" s="383"/>
      <c r="AA136" s="383"/>
      <c r="AB136" s="383"/>
      <c r="AC136" s="383"/>
      <c r="AD136" s="383"/>
      <c r="AE136" s="383"/>
      <c r="AF136" s="383"/>
      <c r="AG136" s="383"/>
      <c r="AH136" s="383"/>
      <c r="AI136" s="383"/>
      <c r="AJ136" s="383"/>
      <c r="AK136" s="383"/>
      <c r="AL136" s="383"/>
      <c r="AM136" s="383"/>
      <c r="AN136" s="383"/>
      <c r="AO136" s="383"/>
      <c r="AP136" s="383"/>
      <c r="AQ136" s="383"/>
      <c r="AR136" s="383"/>
      <c r="AS136" s="383"/>
      <c r="AT136" s="383"/>
      <c r="AU136" s="383"/>
      <c r="AV136" s="383"/>
      <c r="AW136" s="383"/>
      <c r="AX136" s="383"/>
      <c r="AY136" s="383"/>
      <c r="AZ136" s="383"/>
      <c r="BA136" s="383"/>
      <c r="BB136" s="383"/>
      <c r="BC136" s="383"/>
      <c r="BD136" s="383"/>
      <c r="BE136" s="383"/>
      <c r="BF136" s="383"/>
      <c r="BG136" s="383"/>
      <c r="BH136" s="383"/>
      <c r="BI136" s="383"/>
      <c r="BJ136" s="383"/>
      <c r="BK136" s="383"/>
      <c r="BL136" s="383"/>
      <c r="BM136" s="383"/>
      <c r="BN136" s="383"/>
      <c r="BO136" s="383"/>
      <c r="BP136" s="383"/>
      <c r="BQ136" s="383"/>
      <c r="BR136" s="383"/>
      <c r="BS136" s="383"/>
      <c r="BT136" s="383"/>
      <c r="BU136" s="383"/>
      <c r="BV136" s="383"/>
      <c r="BW136" s="383"/>
      <c r="BX136" s="383"/>
      <c r="BY136" s="383"/>
      <c r="BZ136" s="383"/>
      <c r="CA136" s="383"/>
      <c r="CB136" s="383"/>
    </row>
    <row r="137" spans="1:80" s="528" customFormat="1" ht="42" hidden="1" customHeight="1">
      <c r="A137" s="2364"/>
      <c r="B137" s="2365"/>
      <c r="C137" s="2369"/>
      <c r="D137" s="1508" t="s">
        <v>1372</v>
      </c>
      <c r="E137" s="1503">
        <f>SUM(E136:E136)</f>
        <v>0</v>
      </c>
      <c r="F137" s="1501" t="e">
        <f t="shared" si="34"/>
        <v>#DIV/0!</v>
      </c>
      <c r="G137" s="1503">
        <f t="shared" ref="G137:J137" si="43">SUM(G136:G136)</f>
        <v>0</v>
      </c>
      <c r="H137" s="1503">
        <f t="shared" si="43"/>
        <v>0</v>
      </c>
      <c r="I137" s="1503">
        <f t="shared" si="43"/>
        <v>0</v>
      </c>
      <c r="J137" s="1503">
        <f t="shared" si="43"/>
        <v>0</v>
      </c>
      <c r="K137" s="1701"/>
      <c r="L137" s="2387"/>
      <c r="M137" s="2368"/>
      <c r="N137" s="2367"/>
      <c r="O137" s="2367"/>
      <c r="P137" s="2367"/>
      <c r="Q137" s="2367"/>
      <c r="R137" s="1663"/>
      <c r="S137" s="383"/>
      <c r="T137" s="383"/>
      <c r="U137" s="383"/>
      <c r="V137" s="383"/>
      <c r="W137" s="383"/>
      <c r="X137" s="383"/>
      <c r="Y137" s="383"/>
      <c r="Z137" s="383"/>
      <c r="AA137" s="383"/>
      <c r="AB137" s="383"/>
      <c r="AC137" s="383"/>
      <c r="AD137" s="383"/>
      <c r="AE137" s="383"/>
      <c r="AF137" s="383"/>
      <c r="AG137" s="383"/>
      <c r="AH137" s="383"/>
      <c r="AI137" s="383"/>
      <c r="AJ137" s="383"/>
      <c r="AK137" s="383"/>
      <c r="AL137" s="383"/>
      <c r="AM137" s="383"/>
      <c r="AN137" s="383"/>
      <c r="AO137" s="383"/>
      <c r="AP137" s="383"/>
      <c r="AQ137" s="383"/>
      <c r="AR137" s="383"/>
      <c r="AS137" s="383"/>
      <c r="AT137" s="383"/>
      <c r="AU137" s="383"/>
      <c r="AV137" s="383"/>
      <c r="AW137" s="383"/>
      <c r="AX137" s="383"/>
      <c r="AY137" s="383"/>
      <c r="AZ137" s="383"/>
      <c r="BA137" s="383"/>
      <c r="BB137" s="383"/>
      <c r="BC137" s="383"/>
      <c r="BD137" s="383"/>
      <c r="BE137" s="383"/>
      <c r="BF137" s="383"/>
      <c r="BG137" s="383"/>
      <c r="BH137" s="383"/>
      <c r="BI137" s="383"/>
      <c r="BJ137" s="383"/>
      <c r="BK137" s="383"/>
      <c r="BL137" s="383"/>
      <c r="BM137" s="383"/>
      <c r="BN137" s="383"/>
      <c r="BO137" s="383"/>
      <c r="BP137" s="383"/>
      <c r="BQ137" s="383"/>
      <c r="BR137" s="383"/>
      <c r="BS137" s="383"/>
      <c r="BT137" s="383"/>
      <c r="BU137" s="383"/>
      <c r="BV137" s="383"/>
      <c r="BW137" s="383"/>
      <c r="BX137" s="383"/>
      <c r="BY137" s="383"/>
      <c r="BZ137" s="383"/>
      <c r="CA137" s="383"/>
      <c r="CB137" s="383"/>
    </row>
    <row r="138" spans="1:80" ht="28.2" customHeight="1">
      <c r="A138" s="1905" t="s">
        <v>2805</v>
      </c>
      <c r="B138" s="2156" t="s">
        <v>1671</v>
      </c>
      <c r="C138" s="2256">
        <v>188711925</v>
      </c>
      <c r="D138" s="956" t="s">
        <v>66</v>
      </c>
      <c r="E138" s="947">
        <v>2375.85</v>
      </c>
      <c r="F138" s="1126">
        <f t="shared" si="34"/>
        <v>-1</v>
      </c>
      <c r="G138" s="947"/>
      <c r="H138" s="947"/>
      <c r="I138" s="958"/>
      <c r="J138" s="959"/>
      <c r="K138" s="1701"/>
      <c r="L138" s="1898" t="s">
        <v>3328</v>
      </c>
      <c r="M138" s="1986" t="s">
        <v>2165</v>
      </c>
      <c r="N138" s="1986" t="s">
        <v>2083</v>
      </c>
      <c r="O138" s="1986" t="s">
        <v>613</v>
      </c>
      <c r="P138" s="1986" t="s">
        <v>613</v>
      </c>
      <c r="Q138" s="1986" t="s">
        <v>613</v>
      </c>
      <c r="R138" s="1663"/>
      <c r="U138" s="383"/>
      <c r="V138" s="383"/>
    </row>
    <row r="139" spans="1:80" ht="26.4" customHeight="1">
      <c r="A139" s="1905"/>
      <c r="B139" s="2156"/>
      <c r="C139" s="2256"/>
      <c r="D139" s="956" t="s">
        <v>341</v>
      </c>
      <c r="E139" s="947">
        <v>1204.2070000000001</v>
      </c>
      <c r="F139" s="1126">
        <f t="shared" si="34"/>
        <v>-1</v>
      </c>
      <c r="G139" s="947"/>
      <c r="H139" s="947"/>
      <c r="I139" s="958"/>
      <c r="J139" s="959"/>
      <c r="K139" s="1701"/>
      <c r="L139" s="1899"/>
      <c r="M139" s="1987"/>
      <c r="N139" s="1987"/>
      <c r="O139" s="1987"/>
      <c r="P139" s="1987"/>
      <c r="Q139" s="1987"/>
      <c r="R139" s="1663"/>
      <c r="U139" s="383"/>
      <c r="V139" s="383"/>
    </row>
    <row r="140" spans="1:80" ht="26.4" customHeight="1">
      <c r="A140" s="1905"/>
      <c r="B140" s="2156"/>
      <c r="C140" s="2256"/>
      <c r="D140" s="956" t="s">
        <v>1760</v>
      </c>
      <c r="E140" s="947">
        <v>411.995</v>
      </c>
      <c r="F140" s="1126">
        <f t="shared" si="34"/>
        <v>-1</v>
      </c>
      <c r="G140" s="947"/>
      <c r="H140" s="947"/>
      <c r="I140" s="958"/>
      <c r="J140" s="959"/>
      <c r="K140" s="1701"/>
      <c r="L140" s="1899"/>
      <c r="M140" s="1987"/>
      <c r="N140" s="1987"/>
      <c r="O140" s="1987"/>
      <c r="P140" s="1987"/>
      <c r="Q140" s="1987"/>
      <c r="R140" s="1663"/>
      <c r="U140" s="383"/>
      <c r="V140" s="383"/>
    </row>
    <row r="141" spans="1:80" ht="34.200000000000003" customHeight="1">
      <c r="A141" s="1905"/>
      <c r="B141" s="2156"/>
      <c r="C141" s="2256"/>
      <c r="D141" s="961" t="s">
        <v>1372</v>
      </c>
      <c r="E141" s="962">
        <f>SUM(E138:E140)</f>
        <v>3992.0519999999997</v>
      </c>
      <c r="F141" s="963">
        <f t="shared" si="34"/>
        <v>-1</v>
      </c>
      <c r="G141" s="962">
        <f t="shared" ref="G141:J141" si="44">SUM(G138:G140)</f>
        <v>0</v>
      </c>
      <c r="H141" s="962">
        <f t="shared" si="44"/>
        <v>0</v>
      </c>
      <c r="I141" s="962">
        <f t="shared" si="44"/>
        <v>0</v>
      </c>
      <c r="J141" s="962">
        <f t="shared" si="44"/>
        <v>0</v>
      </c>
      <c r="K141" s="1701"/>
      <c r="L141" s="1899"/>
      <c r="M141" s="1987"/>
      <c r="N141" s="1987"/>
      <c r="O141" s="1987"/>
      <c r="P141" s="1987"/>
      <c r="Q141" s="1987"/>
      <c r="R141" s="1663"/>
      <c r="U141" s="383"/>
      <c r="V141" s="383"/>
    </row>
    <row r="142" spans="1:80" ht="42" customHeight="1">
      <c r="A142" s="1905" t="s">
        <v>2806</v>
      </c>
      <c r="B142" s="2156" t="s">
        <v>1672</v>
      </c>
      <c r="C142" s="2256">
        <v>188711925</v>
      </c>
      <c r="D142" s="956" t="s">
        <v>66</v>
      </c>
      <c r="E142" s="947">
        <v>280</v>
      </c>
      <c r="F142" s="1126">
        <f t="shared" si="34"/>
        <v>-0.33464285714285708</v>
      </c>
      <c r="G142" s="947">
        <v>200</v>
      </c>
      <c r="H142" s="947">
        <v>186.3</v>
      </c>
      <c r="I142" s="958">
        <v>200</v>
      </c>
      <c r="J142" s="959">
        <v>200</v>
      </c>
      <c r="K142" s="1701"/>
      <c r="L142" s="1898" t="s">
        <v>3858</v>
      </c>
      <c r="M142" s="1986" t="s">
        <v>2166</v>
      </c>
      <c r="N142" s="1986" t="s">
        <v>3139</v>
      </c>
      <c r="O142" s="1986" t="s">
        <v>613</v>
      </c>
      <c r="P142" s="1986" t="s">
        <v>1847</v>
      </c>
      <c r="Q142" s="1986" t="s">
        <v>613</v>
      </c>
      <c r="R142" s="1663"/>
      <c r="U142" s="383"/>
      <c r="V142" s="383"/>
    </row>
    <row r="143" spans="1:80" ht="42" customHeight="1">
      <c r="A143" s="1905"/>
      <c r="B143" s="2156"/>
      <c r="C143" s="2256"/>
      <c r="D143" s="961" t="s">
        <v>1372</v>
      </c>
      <c r="E143" s="962">
        <f>E142</f>
        <v>280</v>
      </c>
      <c r="F143" s="963">
        <f t="shared" si="34"/>
        <v>-0.33464285714285708</v>
      </c>
      <c r="G143" s="962">
        <f t="shared" ref="G143:J143" si="45">G142</f>
        <v>200</v>
      </c>
      <c r="H143" s="962">
        <f t="shared" si="45"/>
        <v>186.3</v>
      </c>
      <c r="I143" s="962">
        <f t="shared" si="45"/>
        <v>200</v>
      </c>
      <c r="J143" s="962">
        <f t="shared" si="45"/>
        <v>200</v>
      </c>
      <c r="K143" s="1701"/>
      <c r="L143" s="1899"/>
      <c r="M143" s="2319"/>
      <c r="N143" s="1987"/>
      <c r="O143" s="1987"/>
      <c r="P143" s="1987"/>
      <c r="Q143" s="1987"/>
      <c r="R143" s="1663"/>
      <c r="U143" s="383"/>
      <c r="V143" s="383"/>
    </row>
    <row r="144" spans="1:80" ht="77.400000000000006" customHeight="1">
      <c r="A144" s="1905" t="s">
        <v>2807</v>
      </c>
      <c r="B144" s="2156" t="s">
        <v>3780</v>
      </c>
      <c r="C144" s="2256">
        <v>188711925</v>
      </c>
      <c r="D144" s="956" t="s">
        <v>668</v>
      </c>
      <c r="E144" s="947">
        <v>50</v>
      </c>
      <c r="F144" s="1126">
        <f t="shared" si="34"/>
        <v>0.3</v>
      </c>
      <c r="G144" s="947">
        <f>50+25</f>
        <v>75</v>
      </c>
      <c r="H144" s="947">
        <v>65</v>
      </c>
      <c r="I144" s="958">
        <v>75</v>
      </c>
      <c r="J144" s="959">
        <v>75</v>
      </c>
      <c r="K144" s="1701"/>
      <c r="L144" s="1898" t="s">
        <v>3465</v>
      </c>
      <c r="M144" s="1986" t="s">
        <v>2167</v>
      </c>
      <c r="N144" s="1986" t="s">
        <v>3137</v>
      </c>
      <c r="O144" s="1986" t="s">
        <v>3138</v>
      </c>
      <c r="P144" s="1986" t="s">
        <v>3138</v>
      </c>
      <c r="Q144" s="1986" t="s">
        <v>3138</v>
      </c>
      <c r="R144" s="1663"/>
      <c r="S144" s="383" t="s">
        <v>3779</v>
      </c>
      <c r="U144" s="383"/>
      <c r="V144" s="383"/>
    </row>
    <row r="145" spans="1:22" ht="42" customHeight="1">
      <c r="A145" s="1905"/>
      <c r="B145" s="2156"/>
      <c r="C145" s="2256"/>
      <c r="D145" s="961" t="s">
        <v>1372</v>
      </c>
      <c r="E145" s="962">
        <f>E144</f>
        <v>50</v>
      </c>
      <c r="F145" s="963">
        <f t="shared" si="34"/>
        <v>0.3</v>
      </c>
      <c r="G145" s="962">
        <f t="shared" ref="G145:J145" si="46">G144</f>
        <v>75</v>
      </c>
      <c r="H145" s="962">
        <f t="shared" si="46"/>
        <v>65</v>
      </c>
      <c r="I145" s="962">
        <f t="shared" si="46"/>
        <v>75</v>
      </c>
      <c r="J145" s="962">
        <f t="shared" si="46"/>
        <v>75</v>
      </c>
      <c r="K145" s="1701"/>
      <c r="L145" s="1899"/>
      <c r="M145" s="2319"/>
      <c r="N145" s="1987"/>
      <c r="O145" s="1987"/>
      <c r="P145" s="1987"/>
      <c r="Q145" s="1987"/>
      <c r="R145" s="1663"/>
      <c r="U145" s="383"/>
      <c r="V145" s="383"/>
    </row>
    <row r="146" spans="1:22" ht="42" customHeight="1">
      <c r="A146" s="1905" t="s">
        <v>2808</v>
      </c>
      <c r="B146" s="2156" t="s">
        <v>1673</v>
      </c>
      <c r="C146" s="2256">
        <v>188711925</v>
      </c>
      <c r="D146" s="956" t="s">
        <v>66</v>
      </c>
      <c r="E146" s="947">
        <v>0</v>
      </c>
      <c r="F146" s="1126" t="e">
        <f t="shared" si="34"/>
        <v>#DIV/0!</v>
      </c>
      <c r="G146" s="947">
        <v>5</v>
      </c>
      <c r="H146" s="947">
        <v>5</v>
      </c>
      <c r="I146" s="958">
        <v>5</v>
      </c>
      <c r="J146" s="959">
        <v>5</v>
      </c>
      <c r="K146" s="1701"/>
      <c r="L146" s="1898" t="s">
        <v>2244</v>
      </c>
      <c r="M146" s="1986" t="s">
        <v>2168</v>
      </c>
      <c r="N146" s="1986" t="s">
        <v>2084</v>
      </c>
      <c r="O146" s="1986" t="s">
        <v>469</v>
      </c>
      <c r="P146" s="1986" t="s">
        <v>469</v>
      </c>
      <c r="Q146" s="1986" t="s">
        <v>469</v>
      </c>
      <c r="R146" s="1663"/>
      <c r="U146" s="383"/>
      <c r="V146" s="383"/>
    </row>
    <row r="147" spans="1:22" ht="42" customHeight="1">
      <c r="A147" s="1905"/>
      <c r="B147" s="2156"/>
      <c r="C147" s="2256"/>
      <c r="D147" s="961" t="s">
        <v>1372</v>
      </c>
      <c r="E147" s="962">
        <f>E146</f>
        <v>0</v>
      </c>
      <c r="F147" s="963" t="e">
        <f t="shared" si="34"/>
        <v>#DIV/0!</v>
      </c>
      <c r="G147" s="962">
        <f t="shared" ref="G147:J147" si="47">G146</f>
        <v>5</v>
      </c>
      <c r="H147" s="962">
        <f t="shared" si="47"/>
        <v>5</v>
      </c>
      <c r="I147" s="962">
        <f t="shared" si="47"/>
        <v>5</v>
      </c>
      <c r="J147" s="962">
        <f t="shared" si="47"/>
        <v>5</v>
      </c>
      <c r="K147" s="1701"/>
      <c r="L147" s="1899"/>
      <c r="M147" s="2319"/>
      <c r="N147" s="1987"/>
      <c r="O147" s="1987"/>
      <c r="P147" s="1987"/>
      <c r="Q147" s="1987"/>
      <c r="R147" s="1663"/>
      <c r="U147" s="383"/>
      <c r="V147" s="383"/>
    </row>
    <row r="148" spans="1:22" ht="57" customHeight="1">
      <c r="A148" s="1905" t="s">
        <v>2809</v>
      </c>
      <c r="B148" s="2156" t="s">
        <v>1674</v>
      </c>
      <c r="C148" s="2256">
        <v>188711925</v>
      </c>
      <c r="D148" s="956" t="s">
        <v>66</v>
      </c>
      <c r="E148" s="947">
        <v>10</v>
      </c>
      <c r="F148" s="1126">
        <f t="shared" si="34"/>
        <v>-1</v>
      </c>
      <c r="G148" s="947">
        <v>12</v>
      </c>
      <c r="H148" s="947">
        <v>0</v>
      </c>
      <c r="I148" s="958"/>
      <c r="J148" s="959"/>
      <c r="K148" s="1654"/>
      <c r="L148" s="1898" t="s">
        <v>2245</v>
      </c>
      <c r="M148" s="1986" t="s">
        <v>2169</v>
      </c>
      <c r="N148" s="1986" t="s">
        <v>2085</v>
      </c>
      <c r="O148" s="1986" t="s">
        <v>469</v>
      </c>
      <c r="P148" s="1986" t="s">
        <v>469</v>
      </c>
      <c r="Q148" s="1986" t="s">
        <v>469</v>
      </c>
      <c r="R148" s="1663"/>
      <c r="U148" s="383"/>
      <c r="V148" s="383"/>
    </row>
    <row r="149" spans="1:22" ht="42" customHeight="1">
      <c r="A149" s="1905"/>
      <c r="B149" s="2156"/>
      <c r="C149" s="2256"/>
      <c r="D149" s="961" t="s">
        <v>1372</v>
      </c>
      <c r="E149" s="962">
        <f>E148</f>
        <v>10</v>
      </c>
      <c r="F149" s="963">
        <f t="shared" si="34"/>
        <v>-1</v>
      </c>
      <c r="G149" s="962">
        <f t="shared" ref="G149:J149" si="48">G148</f>
        <v>12</v>
      </c>
      <c r="H149" s="962">
        <f t="shared" si="48"/>
        <v>0</v>
      </c>
      <c r="I149" s="962">
        <f t="shared" si="48"/>
        <v>0</v>
      </c>
      <c r="J149" s="962">
        <f t="shared" si="48"/>
        <v>0</v>
      </c>
      <c r="K149" s="1886"/>
      <c r="L149" s="1899"/>
      <c r="M149" s="2319"/>
      <c r="N149" s="1987"/>
      <c r="O149" s="1987"/>
      <c r="P149" s="1987"/>
      <c r="Q149" s="1987"/>
      <c r="R149" s="1663"/>
      <c r="U149" s="383"/>
      <c r="V149" s="383"/>
    </row>
    <row r="150" spans="1:22" ht="42" customHeight="1">
      <c r="A150" s="1905" t="s">
        <v>2810</v>
      </c>
      <c r="B150" s="2156" t="s">
        <v>1675</v>
      </c>
      <c r="C150" s="2256">
        <v>188711925</v>
      </c>
      <c r="D150" s="956" t="s">
        <v>668</v>
      </c>
      <c r="E150" s="947">
        <v>3</v>
      </c>
      <c r="F150" s="1126">
        <f t="shared" si="34"/>
        <v>-1</v>
      </c>
      <c r="G150" s="947">
        <v>3</v>
      </c>
      <c r="H150" s="947"/>
      <c r="I150" s="958"/>
      <c r="J150" s="959"/>
      <c r="K150" s="1886"/>
      <c r="L150" s="1898" t="s">
        <v>3776</v>
      </c>
      <c r="M150" s="1986" t="s">
        <v>2170</v>
      </c>
      <c r="N150" s="1986" t="s">
        <v>957</v>
      </c>
      <c r="O150" s="1986" t="s">
        <v>469</v>
      </c>
      <c r="P150" s="1986" t="s">
        <v>469</v>
      </c>
      <c r="Q150" s="1986" t="s">
        <v>469</v>
      </c>
      <c r="R150" s="1663"/>
      <c r="U150" s="383"/>
      <c r="V150" s="383"/>
    </row>
    <row r="151" spans="1:22" ht="42" customHeight="1">
      <c r="A151" s="1905"/>
      <c r="B151" s="2156"/>
      <c r="C151" s="2256"/>
      <c r="D151" s="961" t="s">
        <v>1372</v>
      </c>
      <c r="E151" s="962">
        <f>E150</f>
        <v>3</v>
      </c>
      <c r="F151" s="963">
        <f t="shared" si="34"/>
        <v>-1</v>
      </c>
      <c r="G151" s="962">
        <f t="shared" ref="G151" si="49">G150</f>
        <v>3</v>
      </c>
      <c r="H151" s="962"/>
      <c r="I151" s="962"/>
      <c r="J151" s="962"/>
      <c r="K151" s="1886"/>
      <c r="L151" s="1899"/>
      <c r="M151" s="2319"/>
      <c r="N151" s="1987"/>
      <c r="O151" s="1987"/>
      <c r="P151" s="1987"/>
      <c r="Q151" s="1987"/>
      <c r="R151" s="1663"/>
      <c r="U151" s="383"/>
      <c r="V151" s="383"/>
    </row>
    <row r="152" spans="1:22" ht="42" customHeight="1">
      <c r="A152" s="1905" t="s">
        <v>2811</v>
      </c>
      <c r="B152" s="2156" t="s">
        <v>1676</v>
      </c>
      <c r="C152" s="2256">
        <v>188711925</v>
      </c>
      <c r="D152" s="956" t="s">
        <v>66</v>
      </c>
      <c r="E152" s="947">
        <v>1</v>
      </c>
      <c r="F152" s="1126">
        <f t="shared" si="34"/>
        <v>-1</v>
      </c>
      <c r="G152" s="947">
        <v>2</v>
      </c>
      <c r="H152" s="947"/>
      <c r="I152" s="958"/>
      <c r="J152" s="959"/>
      <c r="K152" s="1886"/>
      <c r="L152" s="1898" t="s">
        <v>3775</v>
      </c>
      <c r="M152" s="1986" t="s">
        <v>2171</v>
      </c>
      <c r="N152" s="1986" t="s">
        <v>2086</v>
      </c>
      <c r="O152" s="1986" t="s">
        <v>469</v>
      </c>
      <c r="P152" s="1986" t="s">
        <v>469</v>
      </c>
      <c r="Q152" s="1986" t="s">
        <v>469</v>
      </c>
      <c r="R152" s="1663"/>
      <c r="U152" s="383"/>
      <c r="V152" s="383"/>
    </row>
    <row r="153" spans="1:22" ht="42" customHeight="1">
      <c r="A153" s="2339"/>
      <c r="B153" s="2340"/>
      <c r="C153" s="2341"/>
      <c r="D153" s="961" t="s">
        <v>1372</v>
      </c>
      <c r="E153" s="962">
        <f>E152</f>
        <v>1</v>
      </c>
      <c r="F153" s="963">
        <f t="shared" si="34"/>
        <v>-1</v>
      </c>
      <c r="G153" s="962">
        <f t="shared" ref="G153" si="50">G152</f>
        <v>2</v>
      </c>
      <c r="H153" s="962"/>
      <c r="I153" s="962"/>
      <c r="J153" s="962"/>
      <c r="K153" s="1655"/>
      <c r="L153" s="1899"/>
      <c r="M153" s="2319"/>
      <c r="N153" s="1987"/>
      <c r="O153" s="1987"/>
      <c r="P153" s="1987"/>
      <c r="Q153" s="1987"/>
      <c r="R153" s="1664"/>
      <c r="U153" s="383"/>
      <c r="V153" s="383"/>
    </row>
    <row r="154" spans="1:22" ht="42" customHeight="1">
      <c r="A154" s="740" t="s">
        <v>2821</v>
      </c>
      <c r="B154" s="664" t="s">
        <v>1677</v>
      </c>
      <c r="C154" s="740"/>
      <c r="D154" s="740"/>
      <c r="E154" s="741">
        <f>SUM(E156,E159,)</f>
        <v>120</v>
      </c>
      <c r="F154" s="1500">
        <f t="shared" si="34"/>
        <v>1.8255750000000002</v>
      </c>
      <c r="G154" s="741">
        <f t="shared" ref="G154:J154" si="51">SUM(G156,G159,)</f>
        <v>339.06900000000002</v>
      </c>
      <c r="H154" s="795">
        <f t="shared" si="51"/>
        <v>339.06900000000002</v>
      </c>
      <c r="I154" s="795">
        <f t="shared" si="51"/>
        <v>100</v>
      </c>
      <c r="J154" s="795">
        <f t="shared" si="51"/>
        <v>0</v>
      </c>
      <c r="K154" s="740" t="s">
        <v>1282</v>
      </c>
      <c r="L154" s="740"/>
      <c r="M154" s="740" t="s">
        <v>2172</v>
      </c>
      <c r="N154" s="740" t="s">
        <v>1284</v>
      </c>
      <c r="O154" s="740"/>
      <c r="P154" s="740"/>
      <c r="Q154" s="740"/>
      <c r="R154" s="740" t="s">
        <v>1284</v>
      </c>
      <c r="S154" s="437"/>
      <c r="U154" s="383"/>
      <c r="V154" s="383"/>
    </row>
    <row r="155" spans="1:22" ht="35.4" customHeight="1">
      <c r="A155" s="1905" t="s">
        <v>2812</v>
      </c>
      <c r="B155" s="2156" t="s">
        <v>1678</v>
      </c>
      <c r="C155" s="2256">
        <v>188711925</v>
      </c>
      <c r="D155" s="956" t="s">
        <v>668</v>
      </c>
      <c r="E155" s="947">
        <v>20</v>
      </c>
      <c r="F155" s="1126">
        <f>(H155-E155)/E155</f>
        <v>0.25</v>
      </c>
      <c r="G155" s="947">
        <v>25</v>
      </c>
      <c r="H155" s="947">
        <v>25</v>
      </c>
      <c r="I155" s="947"/>
      <c r="J155" s="959"/>
      <c r="K155" s="1887" t="s">
        <v>2983</v>
      </c>
      <c r="L155" s="1902" t="s">
        <v>2249</v>
      </c>
      <c r="M155" s="1986" t="s">
        <v>2173</v>
      </c>
      <c r="N155" s="1986" t="s">
        <v>2087</v>
      </c>
      <c r="O155" s="1986" t="s">
        <v>1776</v>
      </c>
      <c r="P155" s="1986" t="s">
        <v>1776</v>
      </c>
      <c r="Q155" s="1986" t="s">
        <v>1776</v>
      </c>
      <c r="R155" s="1662" t="s">
        <v>3337</v>
      </c>
      <c r="U155" s="383"/>
      <c r="V155" s="383"/>
    </row>
    <row r="156" spans="1:22" ht="42" customHeight="1">
      <c r="A156" s="1905"/>
      <c r="B156" s="2156"/>
      <c r="C156" s="2256"/>
      <c r="D156" s="961" t="s">
        <v>1372</v>
      </c>
      <c r="E156" s="962">
        <f>E155</f>
        <v>20</v>
      </c>
      <c r="F156" s="963">
        <f t="shared" si="34"/>
        <v>0.25</v>
      </c>
      <c r="G156" s="962">
        <f>G155</f>
        <v>25</v>
      </c>
      <c r="H156" s="962">
        <f t="shared" ref="H156:J156" si="52">H155</f>
        <v>25</v>
      </c>
      <c r="I156" s="962">
        <f t="shared" si="52"/>
        <v>0</v>
      </c>
      <c r="J156" s="962">
        <f t="shared" si="52"/>
        <v>0</v>
      </c>
      <c r="K156" s="2012"/>
      <c r="L156" s="1956"/>
      <c r="M156" s="1987"/>
      <c r="N156" s="1987"/>
      <c r="O156" s="1987"/>
      <c r="P156" s="1987"/>
      <c r="Q156" s="1987"/>
      <c r="R156" s="1663"/>
      <c r="U156" s="383"/>
      <c r="V156" s="383"/>
    </row>
    <row r="157" spans="1:22" ht="34.200000000000003" customHeight="1">
      <c r="A157" s="1905" t="s">
        <v>2813</v>
      </c>
      <c r="B157" s="2156" t="s">
        <v>1679</v>
      </c>
      <c r="C157" s="2256">
        <v>188711925</v>
      </c>
      <c r="D157" s="956" t="s">
        <v>668</v>
      </c>
      <c r="E157" s="947">
        <v>100</v>
      </c>
      <c r="F157" s="1126">
        <f t="shared" si="34"/>
        <v>2.1406900000000002</v>
      </c>
      <c r="G157" s="947">
        <v>314.06900000000002</v>
      </c>
      <c r="H157" s="947">
        <v>314.06900000000002</v>
      </c>
      <c r="I157" s="958">
        <v>100</v>
      </c>
      <c r="J157" s="959"/>
      <c r="K157" s="2012"/>
      <c r="L157" s="1902" t="s">
        <v>3434</v>
      </c>
      <c r="M157" s="1986" t="s">
        <v>2174</v>
      </c>
      <c r="N157" s="2147" t="s">
        <v>2246</v>
      </c>
      <c r="O157" s="1986" t="s">
        <v>1776</v>
      </c>
      <c r="P157" s="1986" t="s">
        <v>613</v>
      </c>
      <c r="Q157" s="1986" t="s">
        <v>613</v>
      </c>
      <c r="R157" s="1663"/>
      <c r="U157" s="383"/>
      <c r="V157" s="383"/>
    </row>
    <row r="158" spans="1:22" ht="30" customHeight="1">
      <c r="A158" s="1905"/>
      <c r="B158" s="2156"/>
      <c r="C158" s="2256"/>
      <c r="D158" s="956" t="s">
        <v>1760</v>
      </c>
      <c r="E158" s="1118"/>
      <c r="F158" s="1126" t="e">
        <f t="shared" si="34"/>
        <v>#DIV/0!</v>
      </c>
      <c r="G158" s="1118"/>
      <c r="H158" s="1118"/>
      <c r="I158" s="958"/>
      <c r="J158" s="959"/>
      <c r="K158" s="2012"/>
      <c r="L158" s="1959"/>
      <c r="M158" s="1987"/>
      <c r="N158" s="2184"/>
      <c r="O158" s="1987"/>
      <c r="P158" s="1987"/>
      <c r="Q158" s="1987"/>
      <c r="R158" s="1663"/>
      <c r="U158" s="383"/>
      <c r="V158" s="383"/>
    </row>
    <row r="159" spans="1:22" ht="26.4" customHeight="1">
      <c r="A159" s="1905"/>
      <c r="B159" s="2156"/>
      <c r="C159" s="2256"/>
      <c r="D159" s="961" t="s">
        <v>1372</v>
      </c>
      <c r="E159" s="962">
        <f>E157</f>
        <v>100</v>
      </c>
      <c r="F159" s="963">
        <f t="shared" si="34"/>
        <v>2.1406900000000002</v>
      </c>
      <c r="G159" s="962">
        <f t="shared" ref="G159:J159" si="53">G157</f>
        <v>314.06900000000002</v>
      </c>
      <c r="H159" s="962">
        <f t="shared" si="53"/>
        <v>314.06900000000002</v>
      </c>
      <c r="I159" s="962">
        <f t="shared" si="53"/>
        <v>100</v>
      </c>
      <c r="J159" s="962">
        <f t="shared" si="53"/>
        <v>0</v>
      </c>
      <c r="K159" s="1888"/>
      <c r="L159" s="1956"/>
      <c r="M159" s="1987"/>
      <c r="N159" s="2148"/>
      <c r="O159" s="2319"/>
      <c r="P159" s="2319"/>
      <c r="Q159" s="2319"/>
      <c r="R159" s="1664"/>
      <c r="U159" s="383"/>
      <c r="V159" s="383"/>
    </row>
    <row r="160" spans="1:22" ht="42" customHeight="1">
      <c r="A160" s="740" t="s">
        <v>2820</v>
      </c>
      <c r="B160" s="664" t="s">
        <v>3338</v>
      </c>
      <c r="C160" s="740"/>
      <c r="D160" s="740"/>
      <c r="E160" s="741">
        <f>E162</f>
        <v>40</v>
      </c>
      <c r="F160" s="1500">
        <f t="shared" si="34"/>
        <v>0</v>
      </c>
      <c r="G160" s="741">
        <f t="shared" ref="G160:J160" si="54">G162</f>
        <v>40</v>
      </c>
      <c r="H160" s="795">
        <f t="shared" si="54"/>
        <v>40</v>
      </c>
      <c r="I160" s="795">
        <f t="shared" si="54"/>
        <v>40</v>
      </c>
      <c r="J160" s="795">
        <f t="shared" si="54"/>
        <v>40</v>
      </c>
      <c r="K160" s="871" t="s">
        <v>1275</v>
      </c>
      <c r="L160" s="740"/>
      <c r="M160" s="740" t="s">
        <v>2175</v>
      </c>
      <c r="N160" s="664" t="s">
        <v>3140</v>
      </c>
      <c r="O160" s="740">
        <v>21.37</v>
      </c>
      <c r="P160" s="740">
        <v>21.37</v>
      </c>
      <c r="Q160" s="740">
        <v>21.37</v>
      </c>
      <c r="R160" s="1679" t="s">
        <v>3335</v>
      </c>
      <c r="S160" s="387"/>
      <c r="T160" s="387"/>
      <c r="U160" s="383"/>
      <c r="V160" s="383"/>
    </row>
    <row r="161" spans="1:22" ht="42" customHeight="1">
      <c r="A161" s="1914" t="s">
        <v>2814</v>
      </c>
      <c r="B161" s="2163" t="s">
        <v>1680</v>
      </c>
      <c r="C161" s="2318">
        <v>188711925</v>
      </c>
      <c r="D161" s="1082" t="s">
        <v>668</v>
      </c>
      <c r="E161" s="965">
        <v>40</v>
      </c>
      <c r="F161" s="1126">
        <f t="shared" si="34"/>
        <v>0</v>
      </c>
      <c r="G161" s="965">
        <v>40</v>
      </c>
      <c r="H161" s="965">
        <v>40</v>
      </c>
      <c r="I161" s="965">
        <v>40</v>
      </c>
      <c r="J161" s="1121">
        <v>40</v>
      </c>
      <c r="K161" s="1887" t="s">
        <v>2982</v>
      </c>
      <c r="L161" s="1960" t="s">
        <v>3880</v>
      </c>
      <c r="M161" s="1987" t="s">
        <v>2176</v>
      </c>
      <c r="N161" s="1987" t="s">
        <v>3141</v>
      </c>
      <c r="O161" s="1987" t="s">
        <v>1776</v>
      </c>
      <c r="P161" s="1987" t="s">
        <v>1776</v>
      </c>
      <c r="Q161" s="1987" t="s">
        <v>1776</v>
      </c>
      <c r="R161" s="1866"/>
      <c r="U161" s="383"/>
      <c r="V161" s="383"/>
    </row>
    <row r="162" spans="1:22" ht="42" customHeight="1">
      <c r="A162" s="1905"/>
      <c r="B162" s="2156"/>
      <c r="C162" s="2256"/>
      <c r="D162" s="961" t="s">
        <v>1372</v>
      </c>
      <c r="E162" s="962">
        <f>E161</f>
        <v>40</v>
      </c>
      <c r="F162" s="963">
        <f t="shared" si="34"/>
        <v>0</v>
      </c>
      <c r="G162" s="962">
        <f t="shared" ref="G162:J162" si="55">G161</f>
        <v>40</v>
      </c>
      <c r="H162" s="962">
        <f t="shared" si="55"/>
        <v>40</v>
      </c>
      <c r="I162" s="962">
        <f t="shared" si="55"/>
        <v>40</v>
      </c>
      <c r="J162" s="962">
        <f t="shared" si="55"/>
        <v>40</v>
      </c>
      <c r="K162" s="1888"/>
      <c r="L162" s="1956"/>
      <c r="M162" s="1987"/>
      <c r="N162" s="1987"/>
      <c r="O162" s="1987"/>
      <c r="P162" s="1987"/>
      <c r="Q162" s="1987"/>
      <c r="R162" s="1680"/>
      <c r="U162" s="383"/>
      <c r="V162" s="383"/>
    </row>
    <row r="163" spans="1:22" ht="67.8" customHeight="1">
      <c r="A163" s="740" t="s">
        <v>2818</v>
      </c>
      <c r="B163" s="664" t="s">
        <v>2819</v>
      </c>
      <c r="C163" s="740"/>
      <c r="D163" s="740"/>
      <c r="E163" s="741">
        <f>E165</f>
        <v>232.92</v>
      </c>
      <c r="F163" s="1074">
        <f t="shared" si="34"/>
        <v>-0.74240082431736221</v>
      </c>
      <c r="G163" s="741">
        <f t="shared" ref="G163:J163" si="56">G165</f>
        <v>60</v>
      </c>
      <c r="H163" s="795">
        <f t="shared" si="56"/>
        <v>60</v>
      </c>
      <c r="I163" s="795">
        <f t="shared" si="56"/>
        <v>0</v>
      </c>
      <c r="J163" s="795">
        <f t="shared" si="56"/>
        <v>0</v>
      </c>
      <c r="K163" s="871" t="s">
        <v>1282</v>
      </c>
      <c r="L163" s="740"/>
      <c r="M163" s="740" t="s">
        <v>2177</v>
      </c>
      <c r="N163" s="740" t="s">
        <v>1284</v>
      </c>
      <c r="O163" s="740">
        <v>0.41</v>
      </c>
      <c r="P163" s="740">
        <v>0</v>
      </c>
      <c r="Q163" s="740">
        <v>0</v>
      </c>
      <c r="R163" s="762" t="s">
        <v>1284</v>
      </c>
      <c r="U163" s="383"/>
      <c r="V163" s="383"/>
    </row>
    <row r="164" spans="1:22" ht="42" customHeight="1">
      <c r="A164" s="1914" t="s">
        <v>2815</v>
      </c>
      <c r="B164" s="2163" t="s">
        <v>1681</v>
      </c>
      <c r="C164" s="2318">
        <v>188711925</v>
      </c>
      <c r="D164" s="1082" t="s">
        <v>668</v>
      </c>
      <c r="E164" s="965">
        <v>232.92</v>
      </c>
      <c r="F164" s="1126">
        <f t="shared" ref="F164:F178" si="57">(H164-E164)/E164</f>
        <v>-0.74240082431736221</v>
      </c>
      <c r="G164" s="965">
        <v>60</v>
      </c>
      <c r="H164" s="965">
        <v>60</v>
      </c>
      <c r="I164" s="965">
        <v>0</v>
      </c>
      <c r="J164" s="1121">
        <v>0</v>
      </c>
      <c r="K164" s="1887" t="s">
        <v>2981</v>
      </c>
      <c r="L164" s="1960" t="s">
        <v>3452</v>
      </c>
      <c r="M164" s="1987" t="s">
        <v>2178</v>
      </c>
      <c r="N164" s="1987" t="s">
        <v>2088</v>
      </c>
      <c r="O164" s="1987" t="s">
        <v>1776</v>
      </c>
      <c r="P164" s="1987" t="s">
        <v>613</v>
      </c>
      <c r="Q164" s="1987" t="s">
        <v>613</v>
      </c>
      <c r="R164" s="1866" t="s">
        <v>3334</v>
      </c>
      <c r="U164" s="383"/>
      <c r="V164" s="383"/>
    </row>
    <row r="165" spans="1:22" ht="42" customHeight="1">
      <c r="A165" s="1905"/>
      <c r="B165" s="2156"/>
      <c r="C165" s="2256"/>
      <c r="D165" s="961" t="s">
        <v>1372</v>
      </c>
      <c r="E165" s="962">
        <f>E164</f>
        <v>232.92</v>
      </c>
      <c r="F165" s="963">
        <f t="shared" si="57"/>
        <v>-0.74240082431736221</v>
      </c>
      <c r="G165" s="962">
        <f t="shared" ref="G165:J165" si="58">G164</f>
        <v>60</v>
      </c>
      <c r="H165" s="962">
        <f t="shared" si="58"/>
        <v>60</v>
      </c>
      <c r="I165" s="962">
        <f t="shared" si="58"/>
        <v>0</v>
      </c>
      <c r="J165" s="962">
        <f t="shared" si="58"/>
        <v>0</v>
      </c>
      <c r="K165" s="1888"/>
      <c r="L165" s="1956"/>
      <c r="M165" s="1987"/>
      <c r="N165" s="1987"/>
      <c r="O165" s="1987"/>
      <c r="P165" s="1987"/>
      <c r="Q165" s="1987"/>
      <c r="R165" s="1680"/>
      <c r="U165" s="383"/>
      <c r="V165" s="383"/>
    </row>
    <row r="166" spans="1:22" ht="42" customHeight="1">
      <c r="A166" s="740" t="s">
        <v>2817</v>
      </c>
      <c r="B166" s="664" t="s">
        <v>3333</v>
      </c>
      <c r="C166" s="740"/>
      <c r="D166" s="740"/>
      <c r="E166" s="741">
        <f>E168</f>
        <v>50</v>
      </c>
      <c r="F166" s="1074">
        <f t="shared" si="57"/>
        <v>2</v>
      </c>
      <c r="G166" s="741">
        <f t="shared" ref="G166:J166" si="59">G168</f>
        <v>150</v>
      </c>
      <c r="H166" s="795">
        <f t="shared" si="59"/>
        <v>150</v>
      </c>
      <c r="I166" s="795">
        <f t="shared" si="59"/>
        <v>724</v>
      </c>
      <c r="J166" s="795">
        <f t="shared" si="59"/>
        <v>724</v>
      </c>
      <c r="K166" s="740" t="s">
        <v>1282</v>
      </c>
      <c r="L166" s="740"/>
      <c r="M166" s="740" t="s">
        <v>2179</v>
      </c>
      <c r="N166" s="740" t="s">
        <v>1284</v>
      </c>
      <c r="O166" s="740">
        <v>0</v>
      </c>
      <c r="P166" s="740">
        <v>0</v>
      </c>
      <c r="Q166" s="740">
        <v>6.14</v>
      </c>
      <c r="R166" s="762" t="s">
        <v>1284</v>
      </c>
      <c r="S166" s="387"/>
      <c r="U166" s="383"/>
      <c r="V166" s="383"/>
    </row>
    <row r="167" spans="1:22" ht="126.6" customHeight="1">
      <c r="A167" s="1914" t="s">
        <v>2816</v>
      </c>
      <c r="B167" s="2163" t="s">
        <v>3433</v>
      </c>
      <c r="C167" s="2318">
        <v>188711925</v>
      </c>
      <c r="D167" s="1082" t="s">
        <v>668</v>
      </c>
      <c r="E167" s="965">
        <v>50</v>
      </c>
      <c r="F167" s="963">
        <f t="shared" si="57"/>
        <v>2</v>
      </c>
      <c r="G167" s="965">
        <v>150</v>
      </c>
      <c r="H167" s="965">
        <v>150</v>
      </c>
      <c r="I167" s="965">
        <v>724</v>
      </c>
      <c r="J167" s="1121">
        <v>724</v>
      </c>
      <c r="K167" s="2182" t="s">
        <v>2980</v>
      </c>
      <c r="L167" s="1960" t="s">
        <v>3451</v>
      </c>
      <c r="M167" s="1987" t="s">
        <v>2180</v>
      </c>
      <c r="N167" s="1987" t="s">
        <v>2089</v>
      </c>
      <c r="O167" s="1987" t="s">
        <v>469</v>
      </c>
      <c r="P167" s="1987" t="s">
        <v>613</v>
      </c>
      <c r="Q167" s="1987" t="s">
        <v>613</v>
      </c>
      <c r="R167" s="1866" t="s">
        <v>3336</v>
      </c>
      <c r="U167" s="383"/>
      <c r="V167" s="383"/>
    </row>
    <row r="168" spans="1:22" ht="85.2" customHeight="1">
      <c r="A168" s="1905"/>
      <c r="B168" s="2156"/>
      <c r="C168" s="2256"/>
      <c r="D168" s="961" t="s">
        <v>1372</v>
      </c>
      <c r="E168" s="962">
        <f>E167</f>
        <v>50</v>
      </c>
      <c r="F168" s="963">
        <f t="shared" si="57"/>
        <v>2</v>
      </c>
      <c r="G168" s="962">
        <f t="shared" ref="G168:J168" si="60">G167</f>
        <v>150</v>
      </c>
      <c r="H168" s="962">
        <f t="shared" si="60"/>
        <v>150</v>
      </c>
      <c r="I168" s="962">
        <f t="shared" si="60"/>
        <v>724</v>
      </c>
      <c r="J168" s="962">
        <f t="shared" si="60"/>
        <v>724</v>
      </c>
      <c r="K168" s="2182"/>
      <c r="L168" s="1956"/>
      <c r="M168" s="1987"/>
      <c r="N168" s="1987"/>
      <c r="O168" s="1987"/>
      <c r="P168" s="1987"/>
      <c r="Q168" s="1987"/>
      <c r="R168" s="1680"/>
      <c r="U168" s="383"/>
      <c r="V168" s="383"/>
    </row>
    <row r="169" spans="1:22" ht="42" customHeight="1">
      <c r="A169" s="1911"/>
      <c r="B169" s="1911"/>
      <c r="C169" s="1911"/>
      <c r="D169" s="1911"/>
      <c r="E169" s="967" t="s">
        <v>1388</v>
      </c>
      <c r="F169" s="1509"/>
      <c r="G169" s="967" t="str">
        <f>G21</f>
        <v>2024  m. išlaidų projektas (lėšų poreikis), tūkst. Eur</v>
      </c>
      <c r="H169" s="928" t="str">
        <f>H21</f>
        <v>2024  m.asignavimų  planas, tūkst. Eur</v>
      </c>
      <c r="I169" s="928" t="str">
        <f>I21</f>
        <v>2025 m. išlaidų projektas, tūkst. Eur</v>
      </c>
      <c r="J169" s="928" t="str">
        <f>J21</f>
        <v>2026 m. išlaidų projektas, tūkst. Eur</v>
      </c>
      <c r="K169" s="968"/>
      <c r="L169" s="968"/>
      <c r="M169" s="969"/>
      <c r="N169" s="969"/>
      <c r="O169" s="969"/>
      <c r="P169" s="969"/>
      <c r="Q169" s="969"/>
      <c r="R169" s="970"/>
      <c r="U169" s="383"/>
      <c r="V169" s="383"/>
    </row>
    <row r="170" spans="1:22" ht="31.2" customHeight="1">
      <c r="A170" s="1510"/>
      <c r="B170" s="1904" t="s">
        <v>990</v>
      </c>
      <c r="C170" s="1904"/>
      <c r="D170" s="1904"/>
      <c r="E170" s="684">
        <f>SUM(E171,E172,E173,E174,E175,E176,)</f>
        <v>13777.986999999999</v>
      </c>
      <c r="F170" s="1126">
        <f t="shared" si="57"/>
        <v>-0.58613097834974004</v>
      </c>
      <c r="G170" s="684">
        <f t="shared" ref="G170:J170" si="61">SUM(G171,G172,G173,G174,G175,G176,)</f>
        <v>3532.2670000000003</v>
      </c>
      <c r="H170" s="684">
        <f>SUM(H171,H172,H173,H174,H175,H176,)</f>
        <v>5702.2820000000002</v>
      </c>
      <c r="I170" s="684">
        <f t="shared" si="61"/>
        <v>7909.18</v>
      </c>
      <c r="J170" s="684">
        <f t="shared" si="61"/>
        <v>8065.18</v>
      </c>
      <c r="K170" s="977"/>
      <c r="L170" s="1127"/>
      <c r="M170" s="1127"/>
      <c r="N170" s="1127"/>
      <c r="O170" s="1127"/>
      <c r="P170" s="1127"/>
      <c r="Q170" s="1127"/>
      <c r="R170" s="1127"/>
      <c r="U170" s="383"/>
      <c r="V170" s="383"/>
    </row>
    <row r="171" spans="1:22" ht="43.2" customHeight="1">
      <c r="A171" s="1511"/>
      <c r="B171" s="1894" t="s">
        <v>2564</v>
      </c>
      <c r="C171" s="1894"/>
      <c r="D171" s="1894"/>
      <c r="E171" s="749">
        <f>SUM(E24,E26,E28,E32,E35,E41,E45,E48,E50,E52,E58,E60,E63,E69,E71,E75,E85,E89,E94,E105,E125,E128,E131,E134,E136,E138,E142,E144,E146,E148,E150,E152,E155,E157,E161,E164,E167,)</f>
        <v>7261.6260000000002</v>
      </c>
      <c r="F171" s="1126">
        <f t="shared" si="57"/>
        <v>-0.41164458208120325</v>
      </c>
      <c r="G171" s="749">
        <f t="shared" ref="G171" si="62">SUM(G24,G26,G28,G32,G35,G41,G45,G48,G50,G52,G58,G60,G63,G69,G71,G75,G85,G89,G94,G105,G125,G128,G131,G134,G136,G138,G142,G144,G146,G148,G150,G152,G155,G157,G161,G164,G167,)</f>
        <v>3532.2670000000003</v>
      </c>
      <c r="H171" s="749">
        <f>SUM(H24,H26,H28,H32,H35,H41,H45,H48,H50,H52,H58,H60,H63,H69,H71,H75,H85,H89,H94,H105,H125,H128,H131,H134,H136,H138,H142,H144,H146,H148,H150,H152,H155,H157,H161,H164,H167,H66)</f>
        <v>4272.4170000000004</v>
      </c>
      <c r="I171" s="749">
        <f t="shared" ref="I171:J171" si="63">SUM(I24,I26,I28,I32,I35,I41,I45,I48,I50,I52,I58,I60,I63,I69,I71,I75,I85,I89,I94,I105,I125,I128,I131,I134,I136,I138,I142,I144,I146,I148,I150,I152,I155,I157,I161,I164,I167,I66)</f>
        <v>4637.7550000000001</v>
      </c>
      <c r="J171" s="749">
        <f t="shared" si="63"/>
        <v>4837.7550000000001</v>
      </c>
      <c r="K171" s="976"/>
      <c r="L171" s="1128"/>
      <c r="M171" s="756"/>
      <c r="N171" s="756"/>
      <c r="O171" s="756"/>
      <c r="P171" s="756"/>
      <c r="Q171" s="756"/>
      <c r="R171" s="756"/>
      <c r="U171" s="383"/>
      <c r="V171" s="383"/>
    </row>
    <row r="172" spans="1:22" ht="43.2" customHeight="1">
      <c r="A172" s="1511"/>
      <c r="B172" s="1894" t="s">
        <v>993</v>
      </c>
      <c r="C172" s="1894"/>
      <c r="D172" s="1894"/>
      <c r="E172" s="749">
        <f>SUM(E37,E43,E46,E54,E96,)</f>
        <v>1229.1479999999999</v>
      </c>
      <c r="F172" s="1126">
        <f t="shared" si="57"/>
        <v>-4.8283851903920406E-2</v>
      </c>
      <c r="G172" s="749">
        <f>SUM(G37,G43,G46,G54,G96,)</f>
        <v>0</v>
      </c>
      <c r="H172" s="749">
        <f>SUM(H37,H43,H46,H54,H96,)</f>
        <v>1169.8</v>
      </c>
      <c r="I172" s="749">
        <f>SUM(I37,I43,I46,I54,I96,)</f>
        <v>1169.8</v>
      </c>
      <c r="J172" s="749">
        <f>SUM(J37,J43,J46,J54,J96,)</f>
        <v>1170</v>
      </c>
      <c r="K172" s="976"/>
      <c r="L172" s="756"/>
      <c r="M172" s="756"/>
      <c r="N172" s="756"/>
      <c r="O172" s="756"/>
      <c r="P172" s="756"/>
      <c r="Q172" s="756"/>
      <c r="R172" s="756"/>
      <c r="U172" s="383"/>
      <c r="V172" s="383"/>
    </row>
    <row r="173" spans="1:22" ht="22.8" customHeight="1">
      <c r="A173" s="1511"/>
      <c r="B173" s="1894" t="s">
        <v>994</v>
      </c>
      <c r="C173" s="1894"/>
      <c r="D173" s="1894"/>
      <c r="E173" s="749">
        <f>SUM(E90)</f>
        <v>4</v>
      </c>
      <c r="F173" s="1126">
        <f t="shared" si="57"/>
        <v>1.375</v>
      </c>
      <c r="G173" s="749">
        <f>SUM(G90)</f>
        <v>0</v>
      </c>
      <c r="H173" s="749">
        <f>SUM(H90)</f>
        <v>9.5</v>
      </c>
      <c r="I173" s="749">
        <f>SUM(I90)</f>
        <v>0</v>
      </c>
      <c r="J173" s="749">
        <f>SUM(J90)</f>
        <v>0</v>
      </c>
      <c r="K173" s="976"/>
      <c r="L173" s="756"/>
      <c r="M173" s="756"/>
      <c r="N173" s="756"/>
      <c r="O173" s="756"/>
      <c r="P173" s="756"/>
      <c r="Q173" s="756"/>
      <c r="R173" s="756"/>
      <c r="U173" s="383"/>
      <c r="V173" s="383"/>
    </row>
    <row r="174" spans="1:22" ht="42" customHeight="1">
      <c r="A174" s="1511"/>
      <c r="B174" s="1894" t="s">
        <v>2565</v>
      </c>
      <c r="C174" s="1894"/>
      <c r="D174" s="1894"/>
      <c r="E174" s="749">
        <f>SUM(E36,E42,E53,E64,E78,E97,E101,E139,)</f>
        <v>3313.223</v>
      </c>
      <c r="F174" s="1126">
        <f t="shared" si="57"/>
        <v>-0.99230115208061764</v>
      </c>
      <c r="G174" s="749">
        <f>SUM(G36,G42,G53,G64,G78,G97,G101,G139,)</f>
        <v>0</v>
      </c>
      <c r="H174" s="749">
        <f>SUM(H78,)</f>
        <v>25.507999999999999</v>
      </c>
      <c r="I174" s="749">
        <f t="shared" ref="I174:J174" si="64">SUM(I36,I42,I53,I64,I78,I97,I101,I139,)</f>
        <v>2101.625</v>
      </c>
      <c r="J174" s="749">
        <f t="shared" si="64"/>
        <v>2057.4250000000002</v>
      </c>
      <c r="K174" s="976"/>
      <c r="L174" s="756"/>
      <c r="M174" s="756"/>
      <c r="N174" s="756"/>
      <c r="O174" s="756"/>
      <c r="P174" s="756"/>
      <c r="Q174" s="756"/>
      <c r="R174" s="756"/>
      <c r="U174" s="383"/>
      <c r="V174" s="383"/>
    </row>
    <row r="175" spans="1:22" ht="24.6" customHeight="1">
      <c r="A175" s="1511"/>
      <c r="B175" s="1894" t="s">
        <v>995</v>
      </c>
      <c r="C175" s="1894"/>
      <c r="D175" s="1894"/>
      <c r="E175" s="749">
        <f>SUM(E55,E73,E77,E98,E140,E158,)</f>
        <v>1969.9899999999998</v>
      </c>
      <c r="F175" s="1126">
        <f t="shared" si="57"/>
        <v>-0.88575728810806142</v>
      </c>
      <c r="G175" s="749">
        <f>SUM(G55,G73,G77,G98,G140,G158,)</f>
        <v>0</v>
      </c>
      <c r="H175" s="749">
        <f>SUM(H55,H73,H77,H98,H140,H158,)</f>
        <v>225.05700000000002</v>
      </c>
      <c r="I175" s="749">
        <f>SUM(I55,I73,I77,I98,I140,I158,)</f>
        <v>0</v>
      </c>
      <c r="J175" s="749">
        <f>SUM(J55,J73,I78,J98,J140,J158,)</f>
        <v>0</v>
      </c>
      <c r="K175" s="976"/>
      <c r="L175" s="756"/>
      <c r="M175" s="756"/>
      <c r="N175" s="756"/>
      <c r="O175" s="756"/>
      <c r="P175" s="756"/>
      <c r="Q175" s="756"/>
      <c r="R175" s="756"/>
      <c r="U175" s="383"/>
      <c r="V175" s="383"/>
    </row>
    <row r="176" spans="1:22" ht="23.4" customHeight="1">
      <c r="A176" s="1511"/>
      <c r="B176" s="1894" t="s">
        <v>996</v>
      </c>
      <c r="C176" s="1894"/>
      <c r="D176" s="1894"/>
      <c r="E176" s="749">
        <v>0</v>
      </c>
      <c r="F176" s="1126"/>
      <c r="G176" s="749">
        <v>0</v>
      </c>
      <c r="H176" s="749">
        <v>0</v>
      </c>
      <c r="I176" s="749">
        <v>0</v>
      </c>
      <c r="J176" s="749">
        <v>0</v>
      </c>
      <c r="K176" s="976"/>
      <c r="L176" s="756"/>
      <c r="M176" s="756"/>
      <c r="N176" s="756"/>
      <c r="O176" s="756"/>
      <c r="P176" s="756"/>
      <c r="Q176" s="756"/>
      <c r="R176" s="756"/>
      <c r="U176" s="383"/>
      <c r="V176" s="383"/>
    </row>
    <row r="177" spans="1:22" ht="48.6" customHeight="1">
      <c r="A177" s="1510"/>
      <c r="B177" s="1904" t="s">
        <v>997</v>
      </c>
      <c r="C177" s="1904"/>
      <c r="D177" s="1904"/>
      <c r="E177" s="1512">
        <v>992.99099999999999</v>
      </c>
      <c r="F177" s="1126">
        <f t="shared" si="57"/>
        <v>-1</v>
      </c>
      <c r="G177" s="1512">
        <v>0</v>
      </c>
      <c r="H177" s="1512">
        <v>0</v>
      </c>
      <c r="I177" s="1512">
        <v>0</v>
      </c>
      <c r="J177" s="1512">
        <v>0</v>
      </c>
      <c r="K177" s="976"/>
      <c r="L177" s="756"/>
      <c r="M177" s="756"/>
      <c r="N177" s="756"/>
      <c r="O177" s="756"/>
      <c r="P177" s="756"/>
      <c r="Q177" s="756"/>
      <c r="R177" s="756"/>
      <c r="U177" s="383"/>
      <c r="V177" s="383"/>
    </row>
    <row r="178" spans="1:22" ht="33" customHeight="1">
      <c r="A178" s="589"/>
      <c r="B178" s="1904" t="s">
        <v>1389</v>
      </c>
      <c r="C178" s="1904"/>
      <c r="D178" s="1904"/>
      <c r="E178" s="684">
        <f>E170+E177</f>
        <v>14770.977999999999</v>
      </c>
      <c r="F178" s="1126">
        <f t="shared" si="57"/>
        <v>-0.61395365966965765</v>
      </c>
      <c r="G178" s="684">
        <f t="shared" ref="G178:J178" si="65">G170+G177</f>
        <v>3532.2670000000003</v>
      </c>
      <c r="H178" s="684">
        <f t="shared" si="65"/>
        <v>5702.2820000000002</v>
      </c>
      <c r="I178" s="684">
        <f t="shared" si="65"/>
        <v>7909.18</v>
      </c>
      <c r="J178" s="684">
        <f t="shared" si="65"/>
        <v>8065.18</v>
      </c>
      <c r="K178" s="973"/>
      <c r="L178" s="756"/>
      <c r="M178" s="756"/>
      <c r="N178" s="756"/>
      <c r="O178" s="756"/>
      <c r="P178" s="756"/>
      <c r="Q178" s="756"/>
      <c r="R178" s="756"/>
      <c r="U178" s="383"/>
      <c r="V178" s="383"/>
    </row>
    <row r="179" spans="1:22" ht="32.4" customHeight="1">
      <c r="A179" s="589"/>
      <c r="B179" s="1904" t="s">
        <v>2566</v>
      </c>
      <c r="C179" s="1904"/>
      <c r="D179" s="1904"/>
      <c r="E179" s="684">
        <v>0</v>
      </c>
      <c r="F179" s="1126"/>
      <c r="G179" s="684">
        <f>G38</f>
        <v>176.25</v>
      </c>
      <c r="H179" s="684">
        <f t="shared" ref="H179:J179" si="66">H38</f>
        <v>576.25</v>
      </c>
      <c r="I179" s="684">
        <f t="shared" si="66"/>
        <v>2788.7</v>
      </c>
      <c r="J179" s="684">
        <f t="shared" si="66"/>
        <v>2744.5</v>
      </c>
      <c r="K179" s="973"/>
      <c r="L179" s="756"/>
      <c r="M179" s="756"/>
      <c r="N179" s="756"/>
      <c r="O179" s="756"/>
      <c r="P179" s="756"/>
      <c r="Q179" s="756"/>
      <c r="R179" s="756"/>
      <c r="U179" s="383"/>
      <c r="V179" s="383"/>
    </row>
    <row r="180" spans="1:22" ht="46.8" customHeight="1">
      <c r="A180" s="589"/>
      <c r="B180" s="1904" t="s">
        <v>998</v>
      </c>
      <c r="C180" s="1904"/>
      <c r="D180" s="1904"/>
      <c r="E180" s="684">
        <v>0</v>
      </c>
      <c r="F180" s="1126"/>
      <c r="G180" s="684">
        <v>0</v>
      </c>
      <c r="H180" s="980">
        <f>H179/E178-1</f>
        <v>-0.96098768815443369</v>
      </c>
      <c r="I180" s="980">
        <f>I179/H179-1</f>
        <v>3.8393926247288501</v>
      </c>
      <c r="J180" s="980">
        <f>J179/I179-1</f>
        <v>-1.5849679061928468E-2</v>
      </c>
      <c r="K180" s="973"/>
      <c r="L180" s="756"/>
      <c r="M180" s="756"/>
      <c r="N180" s="756"/>
      <c r="O180" s="756"/>
      <c r="P180" s="756"/>
      <c r="Q180" s="756"/>
      <c r="R180" s="756"/>
      <c r="U180" s="383"/>
      <c r="V180" s="383"/>
    </row>
    <row r="181" spans="1:22" ht="42" customHeight="1">
      <c r="E181" s="383"/>
      <c r="F181" s="383"/>
      <c r="U181" s="383"/>
      <c r="V181" s="383"/>
    </row>
    <row r="182" spans="1:22" ht="42" customHeight="1">
      <c r="E182" s="383"/>
      <c r="F182" s="383"/>
      <c r="U182" s="383"/>
      <c r="V182" s="383"/>
    </row>
    <row r="183" spans="1:22" ht="42" customHeight="1">
      <c r="E183" s="383"/>
      <c r="F183" s="383"/>
      <c r="H183" s="426"/>
      <c r="U183" s="383"/>
      <c r="V183" s="383"/>
    </row>
    <row r="184" spans="1:22" ht="42" customHeight="1">
      <c r="B184" s="2085"/>
      <c r="C184" s="2085"/>
      <c r="D184" s="2085"/>
      <c r="E184" s="387"/>
      <c r="F184" s="383"/>
      <c r="G184" s="449"/>
      <c r="H184" s="449"/>
      <c r="I184" s="449"/>
      <c r="J184" s="449"/>
      <c r="K184" s="449"/>
      <c r="L184" s="449"/>
      <c r="U184" s="383"/>
      <c r="V184" s="383"/>
    </row>
    <row r="185" spans="1:22" ht="42" customHeight="1">
      <c r="E185" s="383"/>
      <c r="F185" s="383"/>
      <c r="U185" s="383"/>
      <c r="V185" s="383"/>
    </row>
    <row r="186" spans="1:22" ht="42" customHeight="1">
      <c r="E186" s="383"/>
      <c r="F186" s="383"/>
      <c r="U186" s="383"/>
      <c r="V186" s="383"/>
    </row>
    <row r="187" spans="1:22" ht="42" customHeight="1">
      <c r="E187" s="383"/>
      <c r="F187" s="383"/>
      <c r="U187" s="383"/>
      <c r="V187" s="383"/>
    </row>
    <row r="188" spans="1:22" ht="42" customHeight="1">
      <c r="E188" s="383"/>
      <c r="F188" s="383"/>
      <c r="H188" s="426"/>
      <c r="U188" s="383"/>
      <c r="V188" s="383"/>
    </row>
    <row r="189" spans="1:22" ht="42" customHeight="1">
      <c r="E189" s="383"/>
      <c r="F189" s="383"/>
      <c r="H189" s="426"/>
      <c r="U189" s="383"/>
      <c r="V189" s="383"/>
    </row>
    <row r="190" spans="1:22" ht="42" customHeight="1">
      <c r="E190" s="383"/>
      <c r="F190" s="383"/>
      <c r="H190" s="426"/>
      <c r="U190" s="383"/>
      <c r="V190" s="383"/>
    </row>
    <row r="191" spans="1:22" ht="42" customHeight="1">
      <c r="E191" s="383"/>
      <c r="F191" s="383"/>
      <c r="H191" s="426"/>
      <c r="U191" s="383"/>
      <c r="V191" s="383"/>
    </row>
    <row r="192" spans="1:22" ht="42" customHeight="1">
      <c r="E192" s="383"/>
      <c r="F192" s="383"/>
      <c r="U192" s="383"/>
      <c r="V192" s="383"/>
    </row>
    <row r="193" s="383" customFormat="1" ht="42" customHeight="1"/>
    <row r="194" s="383" customFormat="1" ht="42" customHeight="1"/>
    <row r="195" s="383" customFormat="1" ht="42" customHeight="1"/>
    <row r="196" s="383" customFormat="1" ht="42" customHeight="1"/>
    <row r="197" s="383" customFormat="1" ht="42" customHeight="1"/>
    <row r="198" s="383" customFormat="1" ht="42" customHeight="1"/>
    <row r="199" s="383" customFormat="1" ht="42" customHeight="1"/>
    <row r="200" s="383" customFormat="1" ht="42" customHeight="1"/>
    <row r="201" s="383" customFormat="1" ht="42" customHeight="1"/>
    <row r="202" s="383" customFormat="1" ht="42" customHeight="1"/>
    <row r="203" s="383" customFormat="1" ht="42" customHeight="1"/>
    <row r="204" s="383" customFormat="1" ht="42" customHeight="1"/>
    <row r="205" s="383" customFormat="1" ht="42" customHeight="1"/>
    <row r="206" s="383" customFormat="1" ht="42" customHeight="1"/>
    <row r="207" s="383" customFormat="1" ht="42" customHeight="1"/>
    <row r="208" s="383" customFormat="1" ht="42" customHeight="1"/>
    <row r="209" s="383" customFormat="1" ht="42" customHeight="1"/>
    <row r="210" s="383" customFormat="1" ht="42" customHeight="1"/>
    <row r="211" s="383" customFormat="1" ht="42" customHeight="1"/>
    <row r="212" s="383" customFormat="1" ht="42" customHeight="1"/>
    <row r="213" s="383" customFormat="1" ht="42" customHeight="1"/>
    <row r="214" s="383" customFormat="1" ht="42" customHeight="1"/>
    <row r="215" s="383" customFormat="1" ht="42" customHeight="1"/>
    <row r="216" s="383" customFormat="1" ht="42" customHeight="1"/>
    <row r="217" s="383" customFormat="1" ht="42" customHeight="1"/>
    <row r="218" s="383" customFormat="1" ht="42" customHeight="1"/>
    <row r="219" s="383" customFormat="1" ht="42" customHeight="1"/>
    <row r="220" s="383" customFormat="1" ht="42" customHeight="1"/>
    <row r="221" s="383" customFormat="1" ht="42" customHeight="1"/>
    <row r="222" s="383" customFormat="1" ht="42" customHeight="1"/>
    <row r="223" s="383" customFormat="1" ht="42" customHeight="1"/>
    <row r="224" s="383" customFormat="1" ht="42" customHeight="1"/>
    <row r="225" s="383" customFormat="1" ht="42" customHeight="1"/>
    <row r="226" s="383" customFormat="1" ht="42" customHeight="1"/>
    <row r="227" s="383" customFormat="1" ht="42" customHeight="1"/>
    <row r="228" s="383" customFormat="1" ht="42" customHeight="1"/>
    <row r="229" s="383" customFormat="1" ht="42" customHeight="1"/>
    <row r="230" s="383" customFormat="1" ht="42" customHeight="1"/>
    <row r="231" s="383" customFormat="1" ht="42" customHeight="1"/>
    <row r="232" s="383" customFormat="1" ht="42" customHeight="1"/>
    <row r="233" s="383" customFormat="1" ht="42" customHeight="1"/>
    <row r="234" s="383" customFormat="1" ht="42" customHeight="1"/>
    <row r="235" s="383" customFormat="1" ht="42" customHeight="1"/>
    <row r="236" s="383" customFormat="1" ht="42" customHeight="1"/>
    <row r="237" s="383" customFormat="1" ht="42" customHeight="1"/>
    <row r="238" s="383" customFormat="1" ht="42" customHeight="1"/>
    <row r="239" s="383" customFormat="1" ht="42" customHeight="1"/>
    <row r="240" s="383" customFormat="1" ht="42" customHeight="1"/>
    <row r="241" s="383" customFormat="1" ht="42" customHeight="1"/>
    <row r="242" s="383" customFormat="1" ht="42" customHeight="1"/>
    <row r="243" s="383" customFormat="1" ht="42" customHeight="1"/>
    <row r="244" s="383" customFormat="1" ht="42" customHeight="1"/>
    <row r="245" s="383" customFormat="1" ht="42" customHeight="1"/>
    <row r="246" s="383" customFormat="1" ht="42" customHeight="1"/>
    <row r="247" s="383" customFormat="1" ht="42" customHeight="1"/>
    <row r="248" s="383" customFormat="1" ht="42" customHeight="1"/>
    <row r="249" s="383" customFormat="1" ht="42" customHeight="1"/>
    <row r="250" s="383" customFormat="1" ht="42" customHeight="1"/>
    <row r="251" s="383" customFormat="1" ht="42" customHeight="1"/>
    <row r="252" s="383" customFormat="1" ht="42" customHeight="1"/>
    <row r="253" s="383" customFormat="1" ht="42" customHeight="1"/>
    <row r="254" s="383" customFormat="1" ht="42" customHeight="1"/>
    <row r="255" s="383" customFormat="1" ht="42" customHeight="1"/>
    <row r="256" s="383" customFormat="1" ht="42" customHeight="1"/>
    <row r="257" s="383" customFormat="1" ht="42" customHeight="1"/>
    <row r="258" s="383" customFormat="1" ht="42" customHeight="1"/>
    <row r="259" s="383" customFormat="1" ht="42" customHeight="1"/>
    <row r="260" s="383" customFormat="1" ht="42" customHeight="1"/>
    <row r="261" s="383" customFormat="1" ht="42" customHeight="1"/>
    <row r="262" s="383" customFormat="1" ht="42" customHeight="1"/>
    <row r="263" s="383" customFormat="1" ht="42" customHeight="1"/>
    <row r="264" s="383" customFormat="1" ht="42" customHeight="1"/>
    <row r="265" s="383" customFormat="1" ht="42" customHeight="1"/>
    <row r="266" s="383" customFormat="1" ht="42" customHeight="1"/>
    <row r="267" s="383" customFormat="1" ht="42" customHeight="1"/>
    <row r="268" s="383" customFormat="1" ht="42" customHeight="1"/>
    <row r="269" s="383" customFormat="1" ht="42" customHeight="1"/>
    <row r="270" s="383" customFormat="1" ht="42" customHeight="1"/>
    <row r="271" s="383" customFormat="1" ht="42" customHeight="1"/>
    <row r="272" s="383" customFormat="1" ht="42" customHeight="1"/>
    <row r="273" s="383" customFormat="1" ht="42" customHeight="1"/>
    <row r="274" s="383" customFormat="1" ht="42" customHeight="1"/>
    <row r="275" s="383" customFormat="1" ht="42" customHeight="1"/>
    <row r="276" s="383" customFormat="1" ht="42" customHeight="1"/>
    <row r="277" s="383" customFormat="1" ht="42" customHeight="1"/>
    <row r="278" s="383" customFormat="1" ht="42" customHeight="1"/>
    <row r="279" s="383" customFormat="1" ht="42" customHeight="1"/>
    <row r="280" s="383" customFormat="1" ht="42" customHeight="1"/>
    <row r="281" s="383" customFormat="1" ht="42" customHeight="1"/>
    <row r="282" s="383" customFormat="1" ht="42" customHeight="1"/>
    <row r="283" s="383" customFormat="1" ht="42" customHeight="1"/>
    <row r="284" s="383" customFormat="1" ht="42" customHeight="1"/>
    <row r="285" s="383" customFormat="1" ht="42" customHeight="1"/>
    <row r="286" s="383" customFormat="1" ht="42" customHeight="1"/>
    <row r="287" s="383" customFormat="1" ht="42" customHeight="1"/>
    <row r="288" s="383" customFormat="1" ht="42" customHeight="1"/>
    <row r="289" s="383" customFormat="1" ht="42" customHeight="1"/>
    <row r="290" s="383" customFormat="1" ht="42" customHeight="1"/>
    <row r="291" s="383" customFormat="1" ht="42" customHeight="1"/>
    <row r="292" s="383" customFormat="1" ht="42" customHeight="1"/>
    <row r="293" s="383" customFormat="1" ht="42" customHeight="1"/>
    <row r="294" s="383" customFormat="1" ht="42" customHeight="1"/>
    <row r="295" s="383" customFormat="1" ht="42" customHeight="1"/>
    <row r="296" s="383" customFormat="1" ht="42" customHeight="1"/>
    <row r="297" s="383" customFormat="1" ht="42" customHeight="1"/>
    <row r="298" s="383" customFormat="1" ht="42" customHeight="1"/>
    <row r="299" s="383" customFormat="1" ht="42" customHeight="1"/>
    <row r="300" s="383" customFormat="1" ht="42" customHeight="1"/>
    <row r="301" s="383" customFormat="1" ht="42" customHeight="1"/>
    <row r="302" s="383" customFormat="1" ht="42" customHeight="1"/>
    <row r="303" s="383" customFormat="1" ht="42" customHeight="1"/>
    <row r="304" s="383" customFormat="1" ht="42" customHeight="1"/>
    <row r="305" s="383" customFormat="1" ht="42" customHeight="1"/>
    <row r="306" s="383" customFormat="1" ht="42" customHeight="1"/>
    <row r="307" s="383" customFormat="1" ht="42" customHeight="1"/>
    <row r="308" s="383" customFormat="1" ht="42" customHeight="1"/>
    <row r="309" s="383" customFormat="1" ht="42" customHeight="1"/>
    <row r="310" s="383" customFormat="1" ht="42" customHeight="1"/>
    <row r="311" s="383" customFormat="1" ht="42" customHeight="1"/>
    <row r="312" s="383" customFormat="1" ht="42" customHeight="1"/>
    <row r="313" s="383" customFormat="1" ht="42" customHeight="1"/>
    <row r="314" s="383" customFormat="1" ht="42" customHeight="1"/>
    <row r="315" s="383" customFormat="1" ht="42" customHeight="1"/>
    <row r="316" s="383" customFormat="1" ht="42" customHeight="1"/>
    <row r="317" s="383" customFormat="1" ht="42" customHeight="1"/>
    <row r="318" s="383" customFormat="1" ht="42" customHeight="1"/>
    <row r="319" s="383" customFormat="1" ht="42" customHeight="1"/>
    <row r="320" s="383" customFormat="1" ht="42" customHeight="1"/>
    <row r="321" s="383" customFormat="1" ht="42" customHeight="1"/>
    <row r="322" s="383" customFormat="1" ht="42" customHeight="1"/>
    <row r="323" s="383" customFormat="1" ht="42" customHeight="1"/>
    <row r="324" s="383" customFormat="1" ht="42" customHeight="1"/>
    <row r="325" s="383" customFormat="1" ht="42" customHeight="1"/>
    <row r="326" s="383" customFormat="1" ht="42" customHeight="1"/>
    <row r="327" s="383" customFormat="1" ht="42" customHeight="1"/>
    <row r="328" s="383" customFormat="1" ht="42" customHeight="1"/>
    <row r="329" s="383" customFormat="1" ht="42" customHeight="1"/>
    <row r="330" s="383" customFormat="1" ht="42" customHeight="1"/>
    <row r="331" s="383" customFormat="1" ht="42" customHeight="1"/>
    <row r="332" s="383" customFormat="1" ht="42" customHeight="1"/>
    <row r="333" s="383" customFormat="1" ht="42" customHeight="1"/>
    <row r="334" s="383" customFormat="1" ht="42" customHeight="1"/>
    <row r="335" s="383" customFormat="1" ht="42" customHeight="1"/>
    <row r="336" s="383" customFormat="1" ht="42" customHeight="1"/>
    <row r="337" s="383" customFormat="1" ht="42" customHeight="1"/>
    <row r="338" s="383" customFormat="1" ht="42" customHeight="1"/>
    <row r="339" s="383" customFormat="1" ht="42" customHeight="1"/>
    <row r="340" s="383" customFormat="1" ht="42" customHeight="1"/>
    <row r="341" s="383" customFormat="1" ht="42" customHeight="1"/>
    <row r="342" s="383" customFormat="1" ht="42" customHeight="1"/>
    <row r="343" s="383" customFormat="1" ht="42" customHeight="1"/>
    <row r="344" s="383" customFormat="1" ht="42" customHeight="1"/>
    <row r="345" s="383" customFormat="1" ht="42" customHeight="1"/>
    <row r="346" s="383" customFormat="1" ht="42" customHeight="1"/>
    <row r="347" s="383" customFormat="1" ht="42" customHeight="1"/>
    <row r="348" s="383" customFormat="1" ht="42" customHeight="1"/>
    <row r="349" s="383" customFormat="1" ht="42" customHeight="1"/>
    <row r="350" s="383" customFormat="1" ht="42" customHeight="1"/>
    <row r="351" s="383" customFormat="1" ht="42" customHeight="1"/>
    <row r="352" s="383" customFormat="1" ht="42" customHeight="1"/>
    <row r="353" s="383" customFormat="1" ht="42" customHeight="1"/>
    <row r="354" s="383" customFormat="1" ht="42" customHeight="1"/>
    <row r="355" s="383" customFormat="1" ht="42" customHeight="1"/>
    <row r="356" s="383" customFormat="1" ht="42" customHeight="1"/>
    <row r="357" s="383" customFormat="1" ht="42" customHeight="1"/>
    <row r="358" s="383" customFormat="1" ht="42" customHeight="1"/>
    <row r="359" s="383" customFormat="1" ht="42" customHeight="1"/>
    <row r="360" s="383" customFormat="1" ht="42" customHeight="1"/>
    <row r="361" s="383" customFormat="1" ht="42" customHeight="1"/>
    <row r="362" s="383" customFormat="1" ht="42" customHeight="1"/>
    <row r="363" s="383" customFormat="1" ht="42" customHeight="1"/>
    <row r="364" s="383" customFormat="1" ht="42" customHeight="1"/>
    <row r="365" s="383" customFormat="1" ht="42" customHeight="1"/>
    <row r="366" s="383" customFormat="1" ht="42" customHeight="1"/>
    <row r="367" s="383" customFormat="1" ht="42" customHeight="1"/>
    <row r="368" s="383" customFormat="1" ht="42" customHeight="1"/>
    <row r="369" s="383" customFormat="1" ht="42" customHeight="1"/>
    <row r="370" s="383" customFormat="1" ht="42" customHeight="1"/>
    <row r="371" s="383" customFormat="1" ht="42" customHeight="1"/>
    <row r="372" s="383" customFormat="1" ht="42" customHeight="1"/>
    <row r="373" s="383" customFormat="1" ht="42" customHeight="1"/>
    <row r="374" s="383" customFormat="1" ht="42" customHeight="1"/>
    <row r="375" s="383" customFormat="1" ht="42" customHeight="1"/>
    <row r="376" s="383" customFormat="1" ht="42" customHeight="1"/>
    <row r="377" s="383" customFormat="1" ht="42" customHeight="1"/>
    <row r="378" s="383" customFormat="1" ht="42" customHeight="1"/>
    <row r="379" s="383" customFormat="1" ht="42" customHeight="1"/>
    <row r="380" s="383" customFormat="1" ht="42" customHeight="1"/>
    <row r="381" s="383" customFormat="1" ht="42" customHeight="1"/>
    <row r="382" s="383" customFormat="1" ht="42" customHeight="1"/>
    <row r="383" s="383" customFormat="1" ht="42" customHeight="1"/>
    <row r="384" s="383" customFormat="1" ht="42" customHeight="1"/>
    <row r="385" s="383" customFormat="1" ht="42" customHeight="1"/>
    <row r="386" s="383" customFormat="1" ht="42" customHeight="1"/>
    <row r="387" s="383" customFormat="1" ht="42" customHeight="1"/>
    <row r="388" s="383" customFormat="1" ht="42" customHeight="1"/>
    <row r="389" s="383" customFormat="1" ht="42" customHeight="1"/>
    <row r="390" s="383" customFormat="1" ht="42" customHeight="1"/>
    <row r="391" s="383" customFormat="1" ht="42" customHeight="1"/>
    <row r="392" s="383" customFormat="1" ht="42" customHeight="1"/>
    <row r="393" s="383" customFormat="1" ht="42" customHeight="1"/>
    <row r="394" s="383" customFormat="1" ht="42" customHeight="1"/>
    <row r="395" s="383" customFormat="1" ht="42" customHeight="1"/>
    <row r="396" s="383" customFormat="1" ht="42" customHeight="1"/>
    <row r="397" s="383" customFormat="1" ht="42" customHeight="1"/>
    <row r="398" s="383" customFormat="1" ht="42" customHeight="1"/>
    <row r="399" s="383" customFormat="1" ht="42" customHeight="1"/>
    <row r="400" s="383" customFormat="1" ht="42" customHeight="1"/>
    <row r="401" s="383" customFormat="1" ht="42" customHeight="1"/>
    <row r="402" s="383" customFormat="1" ht="42" customHeight="1"/>
    <row r="403" s="383" customFormat="1" ht="42" customHeight="1"/>
    <row r="404" s="383" customFormat="1" ht="42" customHeight="1"/>
    <row r="405" s="383" customFormat="1" ht="42" customHeight="1"/>
    <row r="406" s="383" customFormat="1" ht="42" customHeight="1"/>
    <row r="407" s="383" customFormat="1" ht="42" customHeight="1"/>
    <row r="408" s="383" customFormat="1" ht="42" customHeight="1"/>
    <row r="409" s="383" customFormat="1" ht="42" customHeight="1"/>
    <row r="410" s="383" customFormat="1" ht="42" customHeight="1"/>
    <row r="411" s="383" customFormat="1" ht="42" customHeight="1"/>
    <row r="412" s="383" customFormat="1" ht="42" customHeight="1"/>
    <row r="413" s="383" customFormat="1" ht="42" customHeight="1"/>
    <row r="414" s="383" customFormat="1" ht="42" customHeight="1"/>
    <row r="415" s="383" customFormat="1" ht="42" customHeight="1"/>
    <row r="416" s="383" customFormat="1" ht="42" customHeight="1"/>
    <row r="417" s="383" customFormat="1" ht="42" customHeight="1"/>
    <row r="418" s="383" customFormat="1" ht="42" customHeight="1"/>
    <row r="419" s="383" customFormat="1" ht="42" customHeight="1"/>
    <row r="420" s="383" customFormat="1" ht="42" customHeight="1"/>
    <row r="421" s="383" customFormat="1" ht="42" customHeight="1"/>
    <row r="422" s="383" customFormat="1" ht="42" customHeight="1"/>
    <row r="423" s="383" customFormat="1" ht="42" customHeight="1"/>
    <row r="424" s="383" customFormat="1" ht="42" customHeight="1"/>
    <row r="425" s="383" customFormat="1" ht="42" customHeight="1"/>
    <row r="426" s="383" customFormat="1" ht="42" customHeight="1"/>
    <row r="427" s="383" customFormat="1" ht="42" customHeight="1"/>
    <row r="428" s="383" customFormat="1" ht="42" customHeight="1"/>
    <row r="429" s="383" customFormat="1" ht="42" customHeight="1"/>
    <row r="430" s="383" customFormat="1" ht="42" customHeight="1"/>
    <row r="431" s="383" customFormat="1" ht="42" customHeight="1"/>
    <row r="432" s="383" customFormat="1" ht="42" customHeight="1"/>
    <row r="433" s="383" customFormat="1" ht="42" customHeight="1"/>
    <row r="434" s="383" customFormat="1" ht="42" customHeight="1"/>
    <row r="435" s="383" customFormat="1" ht="42" customHeight="1"/>
    <row r="436" s="383" customFormat="1" ht="42" customHeight="1"/>
    <row r="437" s="383" customFormat="1" ht="42" customHeight="1"/>
    <row r="438" s="383" customFormat="1" ht="42" customHeight="1"/>
    <row r="439" s="383" customFormat="1" ht="42" customHeight="1"/>
    <row r="440" s="383" customFormat="1" ht="42" customHeight="1"/>
    <row r="441" s="383" customFormat="1" ht="42" customHeight="1"/>
    <row r="442" s="383" customFormat="1" ht="42" customHeight="1"/>
    <row r="443" s="383" customFormat="1" ht="42" customHeight="1"/>
    <row r="444" s="383" customFormat="1" ht="42" customHeight="1"/>
    <row r="445" s="383" customFormat="1" ht="42" customHeight="1"/>
    <row r="446" s="383" customFormat="1" ht="42" customHeight="1"/>
    <row r="447" s="383" customFormat="1" ht="42" customHeight="1"/>
    <row r="448" s="383" customFormat="1" ht="42" customHeight="1"/>
    <row r="449" s="383" customFormat="1" ht="42" customHeight="1"/>
    <row r="450" s="383" customFormat="1" ht="42" customHeight="1"/>
    <row r="451" s="383" customFormat="1" ht="42" customHeight="1"/>
    <row r="452" s="383" customFormat="1" ht="42" customHeight="1"/>
    <row r="453" s="383" customFormat="1" ht="42" customHeight="1"/>
    <row r="454" s="383" customFormat="1" ht="42" customHeight="1"/>
    <row r="455" s="383" customFormat="1" ht="42" customHeight="1"/>
    <row r="456" s="383" customFormat="1" ht="42" customHeight="1"/>
    <row r="457" s="383" customFormat="1" ht="42" customHeight="1"/>
    <row r="458" s="383" customFormat="1" ht="42" customHeight="1"/>
    <row r="459" s="383" customFormat="1" ht="42" customHeight="1"/>
    <row r="460" s="383" customFormat="1" ht="42" customHeight="1"/>
    <row r="461" s="383" customFormat="1" ht="42" customHeight="1"/>
    <row r="462" s="383" customFormat="1" ht="42" customHeight="1"/>
    <row r="463" s="383" customFormat="1" ht="42" customHeight="1"/>
    <row r="464" s="383" customFormat="1" ht="42" customHeight="1"/>
    <row r="465" s="383" customFormat="1" ht="42" customHeight="1"/>
    <row r="466" s="383" customFormat="1" ht="42" customHeight="1"/>
    <row r="467" s="383" customFormat="1" ht="42" customHeight="1"/>
    <row r="468" s="383" customFormat="1" ht="42" customHeight="1"/>
    <row r="469" s="383" customFormat="1" ht="42" customHeight="1"/>
    <row r="470" s="383" customFormat="1" ht="42" customHeight="1"/>
    <row r="471" s="383" customFormat="1" ht="42" customHeight="1"/>
    <row r="472" s="383" customFormat="1" ht="42" customHeight="1"/>
    <row r="473" s="383" customFormat="1" ht="42" customHeight="1"/>
    <row r="474" s="383" customFormat="1" ht="42" customHeight="1"/>
    <row r="475" s="383" customFormat="1" ht="42" customHeight="1"/>
    <row r="476" s="383" customFormat="1" ht="42" customHeight="1"/>
    <row r="477" s="383" customFormat="1" ht="42" customHeight="1"/>
    <row r="478" s="383" customFormat="1" ht="42" customHeight="1"/>
    <row r="479" s="383" customFormat="1" ht="42" customHeight="1"/>
    <row r="480" s="383" customFormat="1" ht="42" customHeight="1"/>
    <row r="481" s="383" customFormat="1" ht="42" customHeight="1"/>
    <row r="482" s="383" customFormat="1" ht="42" customHeight="1"/>
    <row r="483" s="383" customFormat="1" ht="42" customHeight="1"/>
    <row r="484" s="383" customFormat="1" ht="42" customHeight="1"/>
    <row r="485" s="383" customFormat="1" ht="42" customHeight="1"/>
    <row r="486" s="383" customFormat="1" ht="42" customHeight="1"/>
    <row r="487" s="383" customFormat="1" ht="42" customHeight="1"/>
    <row r="488" s="383" customFormat="1" ht="42" customHeight="1"/>
    <row r="489" s="383" customFormat="1" ht="42" customHeight="1"/>
    <row r="490" s="383" customFormat="1" ht="42" customHeight="1"/>
    <row r="491" s="383" customFormat="1" ht="42" customHeight="1"/>
    <row r="492" s="383" customFormat="1" ht="42" customHeight="1"/>
    <row r="493" s="383" customFormat="1" ht="42" customHeight="1"/>
    <row r="494" s="383" customFormat="1" ht="42" customHeight="1"/>
    <row r="495" s="383" customFormat="1" ht="42" customHeight="1"/>
    <row r="496" s="383" customFormat="1" ht="42" customHeight="1"/>
    <row r="497" s="383" customFormat="1" ht="42" customHeight="1"/>
    <row r="498" s="383" customFormat="1" ht="42" customHeight="1"/>
    <row r="499" s="383" customFormat="1" ht="42" customHeight="1"/>
    <row r="500" s="383" customFormat="1" ht="42" customHeight="1"/>
    <row r="501" s="383" customFormat="1" ht="42" customHeight="1"/>
    <row r="502" s="383" customFormat="1" ht="42" customHeight="1"/>
    <row r="503" s="383" customFormat="1" ht="42" customHeight="1"/>
    <row r="504" s="383" customFormat="1" ht="42" customHeight="1"/>
    <row r="505" s="383" customFormat="1" ht="42" customHeight="1"/>
    <row r="506" s="383" customFormat="1" ht="42" customHeight="1"/>
    <row r="507" s="383" customFormat="1" ht="42" customHeight="1"/>
    <row r="508" s="383" customFormat="1" ht="42" customHeight="1"/>
    <row r="509" s="383" customFormat="1" ht="42" customHeight="1"/>
    <row r="510" s="383" customFormat="1" ht="42" customHeight="1"/>
    <row r="511" s="383" customFormat="1" ht="42" customHeight="1"/>
    <row r="512" s="383" customFormat="1" ht="42" customHeight="1"/>
    <row r="513" s="383" customFormat="1" ht="42" customHeight="1"/>
    <row r="514" s="383" customFormat="1" ht="42" customHeight="1"/>
    <row r="515" s="383" customFormat="1" ht="42" customHeight="1"/>
    <row r="516" s="383" customFormat="1" ht="42" customHeight="1"/>
    <row r="517" s="383" customFormat="1" ht="42" customHeight="1"/>
    <row r="518" s="383" customFormat="1" ht="42" customHeight="1"/>
    <row r="519" s="383" customFormat="1" ht="42" customHeight="1"/>
    <row r="520" s="383" customFormat="1" ht="42" customHeight="1"/>
    <row r="521" s="383" customFormat="1" ht="42" customHeight="1"/>
    <row r="522" s="383" customFormat="1" ht="42" customHeight="1"/>
    <row r="523" s="383" customFormat="1" ht="42" customHeight="1"/>
    <row r="524" s="383" customFormat="1" ht="42" customHeight="1"/>
    <row r="525" s="383" customFormat="1" ht="42" customHeight="1"/>
    <row r="526" s="383" customFormat="1" ht="42" customHeight="1"/>
    <row r="527" s="383" customFormat="1" ht="42" customHeight="1"/>
    <row r="528" s="383" customFormat="1" ht="42" customHeight="1"/>
    <row r="529" s="383" customFormat="1" ht="42" customHeight="1"/>
    <row r="530" s="383" customFormat="1" ht="42" customHeight="1"/>
    <row r="531" s="383" customFormat="1" ht="42" customHeight="1"/>
    <row r="532" s="383" customFormat="1" ht="42" customHeight="1"/>
    <row r="533" s="383" customFormat="1" ht="42" customHeight="1"/>
    <row r="534" s="383" customFormat="1" ht="42" customHeight="1"/>
    <row r="535" s="383" customFormat="1" ht="42" customHeight="1"/>
    <row r="536" s="383" customFormat="1" ht="42" customHeight="1"/>
    <row r="537" s="383" customFormat="1" ht="42" customHeight="1"/>
    <row r="538" s="383" customFormat="1" ht="42" customHeight="1"/>
    <row r="539" s="383" customFormat="1" ht="42" customHeight="1"/>
    <row r="540" s="383" customFormat="1" ht="42" customHeight="1"/>
    <row r="541" s="383" customFormat="1" ht="42" customHeight="1"/>
    <row r="542" s="383" customFormat="1" ht="42" customHeight="1"/>
    <row r="543" s="383" customFormat="1" ht="42" customHeight="1"/>
    <row r="544" s="383" customFormat="1" ht="42" customHeight="1"/>
    <row r="545" s="383" customFormat="1" ht="42" customHeight="1"/>
    <row r="546" s="383" customFormat="1" ht="42" customHeight="1"/>
    <row r="547" s="383" customFormat="1" ht="42" customHeight="1"/>
    <row r="548" s="383" customFormat="1" ht="42" customHeight="1"/>
    <row r="549" s="383" customFormat="1" ht="42" customHeight="1"/>
    <row r="550" s="383" customFormat="1" ht="42" customHeight="1"/>
    <row r="551" s="383" customFormat="1" ht="42" customHeight="1"/>
    <row r="552" s="383" customFormat="1" ht="42" customHeight="1"/>
    <row r="553" s="383" customFormat="1" ht="42" customHeight="1"/>
    <row r="554" s="383" customFormat="1" ht="42" customHeight="1"/>
    <row r="555" s="383" customFormat="1" ht="42" customHeight="1"/>
    <row r="556" s="383" customFormat="1" ht="42" customHeight="1"/>
    <row r="557" s="383" customFormat="1" ht="42" customHeight="1"/>
    <row r="558" s="383" customFormat="1" ht="42" customHeight="1"/>
    <row r="559" s="383" customFormat="1" ht="42" customHeight="1"/>
    <row r="560" s="383" customFormat="1" ht="42" customHeight="1"/>
    <row r="561" s="383" customFormat="1" ht="42" customHeight="1"/>
    <row r="562" s="383" customFormat="1" ht="42" customHeight="1"/>
    <row r="563" s="383" customFormat="1" ht="42" customHeight="1"/>
    <row r="564" s="383" customFormat="1" ht="42" customHeight="1"/>
    <row r="565" s="383" customFormat="1" ht="42" customHeight="1"/>
    <row r="566" s="383" customFormat="1" ht="42" customHeight="1"/>
    <row r="567" s="383" customFormat="1" ht="42" customHeight="1"/>
    <row r="568" s="383" customFormat="1" ht="42" customHeight="1"/>
    <row r="569" s="383" customFormat="1" ht="42" customHeight="1"/>
    <row r="570" s="383" customFormat="1" ht="42" customHeight="1"/>
    <row r="571" s="383" customFormat="1" ht="42" customHeight="1"/>
    <row r="572" s="383" customFormat="1" ht="42" customHeight="1"/>
    <row r="573" s="383" customFormat="1" ht="42" customHeight="1"/>
    <row r="574" s="383" customFormat="1" ht="42" customHeight="1"/>
    <row r="575" s="383" customFormat="1" ht="42" customHeight="1"/>
    <row r="576" s="383" customFormat="1" ht="42" customHeight="1"/>
    <row r="577" s="383" customFormat="1" ht="42" customHeight="1"/>
    <row r="578" s="383" customFormat="1" ht="42" customHeight="1"/>
    <row r="579" s="383" customFormat="1" ht="42" customHeight="1"/>
    <row r="580" s="383" customFormat="1" ht="42" customHeight="1"/>
    <row r="581" s="383" customFormat="1" ht="42" customHeight="1"/>
    <row r="582" s="383" customFormat="1" ht="42" customHeight="1"/>
    <row r="583" s="383" customFormat="1" ht="42" customHeight="1"/>
    <row r="584" s="383" customFormat="1" ht="42" customHeight="1"/>
    <row r="585" s="383" customFormat="1" ht="42" customHeight="1"/>
    <row r="586" s="383" customFormat="1" ht="42" customHeight="1"/>
    <row r="587" s="383" customFormat="1" ht="42" customHeight="1"/>
    <row r="588" s="383" customFormat="1" ht="42" customHeight="1"/>
    <row r="589" s="383" customFormat="1" ht="42" customHeight="1"/>
    <row r="590" s="383" customFormat="1" ht="42" customHeight="1"/>
    <row r="591" s="383" customFormat="1" ht="42" customHeight="1"/>
    <row r="592" s="383" customFormat="1" ht="42" customHeight="1"/>
    <row r="593" s="383" customFormat="1" ht="42" customHeight="1"/>
    <row r="594" s="383" customFormat="1" ht="42" customHeight="1"/>
    <row r="595" s="383" customFormat="1" ht="42" customHeight="1"/>
    <row r="596" s="383" customFormat="1" ht="42" customHeight="1"/>
    <row r="597" s="383" customFormat="1" ht="42" customHeight="1"/>
    <row r="598" s="383" customFormat="1" ht="42" customHeight="1"/>
    <row r="599" s="383" customFormat="1" ht="42" customHeight="1"/>
    <row r="600" s="383" customFormat="1" ht="42" customHeight="1"/>
    <row r="601" s="383" customFormat="1" ht="42" customHeight="1"/>
    <row r="602" s="383" customFormat="1" ht="42" customHeight="1"/>
    <row r="603" s="383" customFormat="1" ht="42" customHeight="1"/>
    <row r="604" s="383" customFormat="1" ht="42" customHeight="1"/>
    <row r="605" s="383" customFormat="1" ht="42" customHeight="1"/>
    <row r="606" s="383" customFormat="1" ht="42" customHeight="1"/>
    <row r="607" s="383" customFormat="1" ht="42" customHeight="1"/>
    <row r="608" s="383" customFormat="1" ht="42" customHeight="1"/>
    <row r="609" s="383" customFormat="1" ht="42" customHeight="1"/>
    <row r="610" s="383" customFormat="1" ht="42" customHeight="1"/>
    <row r="611" s="383" customFormat="1" ht="42" customHeight="1"/>
    <row r="612" s="383" customFormat="1" ht="42" customHeight="1"/>
    <row r="613" s="383" customFormat="1" ht="42" customHeight="1"/>
    <row r="614" s="383" customFormat="1" ht="42" customHeight="1"/>
    <row r="615" s="383" customFormat="1" ht="42" customHeight="1"/>
    <row r="616" s="383" customFormat="1" ht="42" customHeight="1"/>
    <row r="617" s="383" customFormat="1" ht="42" customHeight="1"/>
    <row r="618" s="383" customFormat="1" ht="42" customHeight="1"/>
    <row r="619" s="383" customFormat="1" ht="42" customHeight="1"/>
    <row r="620" s="383" customFormat="1" ht="42" customHeight="1"/>
    <row r="621" s="383" customFormat="1" ht="42" customHeight="1"/>
    <row r="622" s="383" customFormat="1" ht="42" customHeight="1"/>
    <row r="623" s="383" customFormat="1" ht="42" customHeight="1"/>
    <row r="624" s="383" customFormat="1" ht="42" customHeight="1"/>
    <row r="625" s="383" customFormat="1" ht="42" customHeight="1"/>
    <row r="626" s="383" customFormat="1" ht="42" customHeight="1"/>
    <row r="627" s="383" customFormat="1" ht="42" customHeight="1"/>
    <row r="628" s="383" customFormat="1" ht="42" customHeight="1"/>
    <row r="629" s="383" customFormat="1" ht="42" customHeight="1"/>
    <row r="630" s="383" customFormat="1" ht="42" customHeight="1"/>
    <row r="631" s="383" customFormat="1" ht="42" customHeight="1"/>
    <row r="632" s="383" customFormat="1" ht="42" customHeight="1"/>
    <row r="633" s="383" customFormat="1" ht="42" customHeight="1"/>
    <row r="634" s="383" customFormat="1" ht="42" customHeight="1"/>
    <row r="635" s="383" customFormat="1" ht="42" customHeight="1"/>
    <row r="636" s="383" customFormat="1" ht="42" customHeight="1"/>
    <row r="637" s="383" customFormat="1" ht="42" customHeight="1"/>
    <row r="638" s="383" customFormat="1" ht="42" customHeight="1"/>
    <row r="639" s="383" customFormat="1" ht="42" customHeight="1"/>
    <row r="640" s="383" customFormat="1" ht="42" customHeight="1"/>
    <row r="641" s="383" customFormat="1" ht="42" customHeight="1"/>
    <row r="642" s="383" customFormat="1" ht="42" customHeight="1"/>
    <row r="643" s="383" customFormat="1" ht="42" customHeight="1"/>
    <row r="644" s="383" customFormat="1" ht="42" customHeight="1"/>
    <row r="645" s="383" customFormat="1" ht="42" customHeight="1"/>
    <row r="646" s="383" customFormat="1" ht="42" customHeight="1"/>
    <row r="647" s="383" customFormat="1" ht="42" customHeight="1"/>
    <row r="648" s="383" customFormat="1" ht="42" customHeight="1"/>
    <row r="649" s="383" customFormat="1" ht="42" customHeight="1"/>
    <row r="650" s="383" customFormat="1" ht="42" customHeight="1"/>
    <row r="651" s="383" customFormat="1" ht="42" customHeight="1"/>
    <row r="652" s="383" customFormat="1" ht="42" customHeight="1"/>
    <row r="653" s="383" customFormat="1" ht="42" customHeight="1"/>
    <row r="654" s="383" customFormat="1" ht="42" customHeight="1"/>
    <row r="655" s="383" customFormat="1" ht="42" customHeight="1"/>
    <row r="656" s="383" customFormat="1" ht="42" customHeight="1"/>
    <row r="657" s="383" customFormat="1" ht="42" customHeight="1"/>
    <row r="658" s="383" customFormat="1" ht="42" customHeight="1"/>
    <row r="659" s="383" customFormat="1" ht="42" customHeight="1"/>
    <row r="660" s="383" customFormat="1" ht="42" customHeight="1"/>
    <row r="661" s="383" customFormat="1" ht="42" customHeight="1"/>
    <row r="662" s="383" customFormat="1" ht="42" customHeight="1"/>
    <row r="663" s="383" customFormat="1" ht="42" customHeight="1"/>
    <row r="664" s="383" customFormat="1" ht="42" customHeight="1"/>
    <row r="665" s="383" customFormat="1" ht="42" customHeight="1"/>
    <row r="666" s="383" customFormat="1" ht="42" customHeight="1"/>
    <row r="667" s="383" customFormat="1" ht="42" customHeight="1"/>
    <row r="668" s="383" customFormat="1" ht="42" customHeight="1"/>
    <row r="669" s="383" customFormat="1" ht="42" customHeight="1"/>
    <row r="670" s="383" customFormat="1" ht="42" customHeight="1"/>
    <row r="671" s="383" customFormat="1" ht="42" customHeight="1"/>
    <row r="672" s="383" customFormat="1" ht="42" customHeight="1"/>
    <row r="673" s="383" customFormat="1" ht="42" customHeight="1"/>
    <row r="674" s="383" customFormat="1" ht="42" customHeight="1"/>
    <row r="675" s="383" customFormat="1" ht="42" customHeight="1"/>
    <row r="676" s="383" customFormat="1" ht="42" customHeight="1"/>
    <row r="677" s="383" customFormat="1" ht="42" customHeight="1"/>
    <row r="678" s="383" customFormat="1" ht="42" customHeight="1"/>
    <row r="679" s="383" customFormat="1" ht="42" customHeight="1"/>
    <row r="680" s="383" customFormat="1" ht="42" customHeight="1"/>
    <row r="681" s="383" customFormat="1" ht="42" customHeight="1"/>
    <row r="682" s="383" customFormat="1" ht="42" customHeight="1"/>
    <row r="683" s="383" customFormat="1" ht="42" customHeight="1"/>
    <row r="684" s="383" customFormat="1" ht="42" customHeight="1"/>
    <row r="685" s="383" customFormat="1" ht="42" customHeight="1"/>
    <row r="686" s="383" customFormat="1" ht="42" customHeight="1"/>
    <row r="687" s="383" customFormat="1" ht="42" customHeight="1"/>
    <row r="688" s="383" customFormat="1" ht="42" customHeight="1"/>
    <row r="689" s="383" customFormat="1" ht="42" customHeight="1"/>
    <row r="690" s="383" customFormat="1" ht="42" customHeight="1"/>
    <row r="691" s="383" customFormat="1" ht="42" customHeight="1"/>
    <row r="692" s="383" customFormat="1" ht="42" customHeight="1"/>
    <row r="693" s="383" customFormat="1" ht="42" customHeight="1"/>
    <row r="694" s="383" customFormat="1" ht="42" customHeight="1"/>
    <row r="695" s="383" customFormat="1" ht="42" customHeight="1"/>
    <row r="696" s="383" customFormat="1" ht="42" customHeight="1"/>
    <row r="697" s="383" customFormat="1" ht="42" customHeight="1"/>
    <row r="698" s="383" customFormat="1" ht="42" customHeight="1"/>
    <row r="699" s="383" customFormat="1" ht="42" customHeight="1"/>
    <row r="700" s="383" customFormat="1" ht="42" customHeight="1"/>
    <row r="701" s="383" customFormat="1" ht="42" customHeight="1"/>
    <row r="702" s="383" customFormat="1" ht="42" customHeight="1"/>
    <row r="703" s="383" customFormat="1" ht="42" customHeight="1"/>
    <row r="704" s="383" customFormat="1" ht="42" customHeight="1"/>
    <row r="705" s="383" customFormat="1" ht="42" customHeight="1"/>
    <row r="706" s="383" customFormat="1" ht="42" customHeight="1"/>
    <row r="707" s="383" customFormat="1" ht="42" customHeight="1"/>
    <row r="708" s="383" customFormat="1" ht="42" customHeight="1"/>
    <row r="709" s="383" customFormat="1" ht="42" customHeight="1"/>
    <row r="710" s="383" customFormat="1" ht="42" customHeight="1"/>
    <row r="711" s="383" customFormat="1" ht="42" customHeight="1"/>
    <row r="712" s="383" customFormat="1" ht="42" customHeight="1"/>
    <row r="713" s="383" customFormat="1" ht="42" customHeight="1"/>
    <row r="714" s="383" customFormat="1" ht="42" customHeight="1"/>
    <row r="715" s="383" customFormat="1" ht="42" customHeight="1"/>
    <row r="716" s="383" customFormat="1" ht="42" customHeight="1"/>
    <row r="717" s="383" customFormat="1" ht="42" customHeight="1"/>
    <row r="718" s="383" customFormat="1" ht="42" customHeight="1"/>
    <row r="719" s="383" customFormat="1" ht="42" customHeight="1"/>
    <row r="720" s="383" customFormat="1" ht="42" customHeight="1"/>
    <row r="721" s="383" customFormat="1" ht="42" customHeight="1"/>
    <row r="722" s="383" customFormat="1" ht="42" customHeight="1"/>
    <row r="723" s="383" customFormat="1" ht="42" customHeight="1"/>
    <row r="724" s="383" customFormat="1" ht="42" customHeight="1"/>
    <row r="725" s="383" customFormat="1" ht="42" customHeight="1"/>
    <row r="726" s="383" customFormat="1" ht="42" customHeight="1"/>
    <row r="727" s="383" customFormat="1" ht="42" customHeight="1"/>
    <row r="728" s="383" customFormat="1" ht="42" customHeight="1"/>
    <row r="729" s="383" customFormat="1" ht="42" customHeight="1"/>
    <row r="730" s="383" customFormat="1" ht="42" customHeight="1"/>
    <row r="731" s="383" customFormat="1" ht="42" customHeight="1"/>
    <row r="732" s="383" customFormat="1" ht="42" customHeight="1"/>
    <row r="733" s="383" customFormat="1" ht="42" customHeight="1"/>
    <row r="734" s="383" customFormat="1" ht="42" customHeight="1"/>
    <row r="735" s="383" customFormat="1" ht="42" customHeight="1"/>
    <row r="736" s="383" customFormat="1" ht="42" customHeight="1"/>
    <row r="737" s="383" customFormat="1" ht="42" customHeight="1"/>
    <row r="738" s="383" customFormat="1" ht="42" customHeight="1"/>
    <row r="739" s="383" customFormat="1" ht="42" customHeight="1"/>
    <row r="740" s="383" customFormat="1" ht="42" customHeight="1"/>
    <row r="741" s="383" customFormat="1" ht="42" customHeight="1"/>
    <row r="742" s="383" customFormat="1" ht="42" customHeight="1"/>
    <row r="743" s="383" customFormat="1" ht="42" customHeight="1"/>
    <row r="744" s="383" customFormat="1" ht="42" customHeight="1"/>
    <row r="745" s="383" customFormat="1" ht="42" customHeight="1"/>
    <row r="746" s="383" customFormat="1" ht="42" customHeight="1"/>
    <row r="747" s="383" customFormat="1" ht="42" customHeight="1"/>
    <row r="748" s="383" customFormat="1" ht="42" customHeight="1"/>
    <row r="749" s="383" customFormat="1" ht="42" customHeight="1"/>
    <row r="750" s="383" customFormat="1" ht="42" customHeight="1"/>
    <row r="751" s="383" customFormat="1" ht="42" customHeight="1"/>
    <row r="752" s="383" customFormat="1" ht="42" customHeight="1"/>
    <row r="753" s="383" customFormat="1" ht="42" customHeight="1"/>
    <row r="754" s="383" customFormat="1" ht="42" customHeight="1"/>
    <row r="755" s="383" customFormat="1" ht="42" customHeight="1"/>
    <row r="756" s="383" customFormat="1" ht="42" customHeight="1"/>
    <row r="757" s="383" customFormat="1" ht="42" customHeight="1"/>
    <row r="758" s="383" customFormat="1" ht="42" customHeight="1"/>
    <row r="759" s="383" customFormat="1" ht="42" customHeight="1"/>
    <row r="760" s="383" customFormat="1" ht="42" customHeight="1"/>
    <row r="761" s="383" customFormat="1" ht="42" customHeight="1"/>
    <row r="762" s="383" customFormat="1" ht="42" customHeight="1"/>
    <row r="763" s="383" customFormat="1" ht="42" customHeight="1"/>
    <row r="764" s="383" customFormat="1" ht="42" customHeight="1"/>
    <row r="765" s="383" customFormat="1" ht="42" customHeight="1"/>
    <row r="766" s="383" customFormat="1" ht="42" customHeight="1"/>
    <row r="767" s="383" customFormat="1" ht="42" customHeight="1"/>
    <row r="768" s="383" customFormat="1" ht="42" customHeight="1"/>
    <row r="769" s="383" customFormat="1" ht="42" customHeight="1"/>
    <row r="770" s="383" customFormat="1" ht="42" customHeight="1"/>
    <row r="771" s="383" customFormat="1" ht="42" customHeight="1"/>
    <row r="772" s="383" customFormat="1" ht="42" customHeight="1"/>
    <row r="773" s="383" customFormat="1" ht="42" customHeight="1"/>
    <row r="774" s="383" customFormat="1" ht="42" customHeight="1"/>
    <row r="775" s="383" customFormat="1" ht="42" customHeight="1"/>
    <row r="776" s="383" customFormat="1" ht="42" customHeight="1"/>
    <row r="777" s="383" customFormat="1" ht="42" customHeight="1"/>
    <row r="778" s="383" customFormat="1" ht="42" customHeight="1"/>
    <row r="779" s="383" customFormat="1" ht="42" customHeight="1"/>
    <row r="780" s="383" customFormat="1" ht="42" customHeight="1"/>
    <row r="781" s="383" customFormat="1" ht="42" customHeight="1"/>
    <row r="782" s="383" customFormat="1" ht="42" customHeight="1"/>
    <row r="783" s="383" customFormat="1" ht="42" customHeight="1"/>
    <row r="784" s="383" customFormat="1" ht="42" customHeight="1"/>
    <row r="785" s="383" customFormat="1" ht="42" customHeight="1"/>
    <row r="786" s="383" customFormat="1" ht="42" customHeight="1"/>
    <row r="787" s="383" customFormat="1" ht="42" customHeight="1"/>
    <row r="788" s="383" customFormat="1" ht="42" customHeight="1"/>
    <row r="789" s="383" customFormat="1" ht="42" customHeight="1"/>
    <row r="790" s="383" customFormat="1" ht="42" customHeight="1"/>
    <row r="791" s="383" customFormat="1" ht="42" customHeight="1"/>
    <row r="792" s="383" customFormat="1" ht="42" customHeight="1"/>
    <row r="793" s="383" customFormat="1" ht="42" customHeight="1"/>
    <row r="794" s="383" customFormat="1" ht="42" customHeight="1"/>
    <row r="795" s="383" customFormat="1" ht="42" customHeight="1"/>
    <row r="796" s="383" customFormat="1" ht="42" customHeight="1"/>
    <row r="797" s="383" customFormat="1" ht="42" customHeight="1"/>
    <row r="798" s="383" customFormat="1" ht="42" customHeight="1"/>
    <row r="799" s="383" customFormat="1" ht="42" customHeight="1"/>
    <row r="800" s="383" customFormat="1" ht="42" customHeight="1"/>
    <row r="801" s="383" customFormat="1" ht="42" customHeight="1"/>
    <row r="802" s="383" customFormat="1" ht="42" customHeight="1"/>
    <row r="803" s="383" customFormat="1" ht="42" customHeight="1"/>
    <row r="804" s="383" customFormat="1" ht="42" customHeight="1"/>
    <row r="805" s="383" customFormat="1" ht="42" customHeight="1"/>
    <row r="806" s="383" customFormat="1" ht="42" customHeight="1"/>
    <row r="807" s="383" customFormat="1" ht="42" customHeight="1"/>
    <row r="808" s="383" customFormat="1" ht="42" customHeight="1"/>
    <row r="809" s="383" customFormat="1" ht="42" customHeight="1"/>
    <row r="810" s="383" customFormat="1" ht="42" customHeight="1"/>
    <row r="811" s="383" customFormat="1" ht="42" customHeight="1"/>
    <row r="812" s="383" customFormat="1" ht="42" customHeight="1"/>
    <row r="813" s="383" customFormat="1" ht="42" customHeight="1"/>
    <row r="814" s="383" customFormat="1" ht="42" customHeight="1"/>
    <row r="815" s="383" customFormat="1" ht="42" customHeight="1"/>
    <row r="816" s="383" customFormat="1" ht="42" customHeight="1"/>
    <row r="817" s="383" customFormat="1" ht="42" customHeight="1"/>
    <row r="818" s="383" customFormat="1" ht="42" customHeight="1"/>
    <row r="819" s="383" customFormat="1" ht="42" customHeight="1"/>
    <row r="820" s="383" customFormat="1" ht="42" customHeight="1"/>
    <row r="821" s="383" customFormat="1" ht="42" customHeight="1"/>
    <row r="822" s="383" customFormat="1" ht="42" customHeight="1"/>
    <row r="823" s="383" customFormat="1" ht="42" customHeight="1"/>
    <row r="824" s="383" customFormat="1" ht="42" customHeight="1"/>
    <row r="825" s="383" customFormat="1" ht="42" customHeight="1"/>
    <row r="826" s="383" customFormat="1" ht="42" customHeight="1"/>
    <row r="827" s="383" customFormat="1" ht="42" customHeight="1"/>
    <row r="828" s="383" customFormat="1" ht="42" customHeight="1"/>
    <row r="829" s="383" customFormat="1" ht="42" customHeight="1"/>
    <row r="830" s="383" customFormat="1" ht="42" customHeight="1"/>
    <row r="831" s="383" customFormat="1" ht="42" customHeight="1"/>
    <row r="832" s="383" customFormat="1" ht="42" customHeight="1"/>
    <row r="833" s="383" customFormat="1" ht="42" customHeight="1"/>
    <row r="834" s="383" customFormat="1" ht="42" customHeight="1"/>
    <row r="835" s="383" customFormat="1" ht="42" customHeight="1"/>
    <row r="836" s="383" customFormat="1" ht="42" customHeight="1"/>
    <row r="837" s="383" customFormat="1" ht="42" customHeight="1"/>
    <row r="838" s="383" customFormat="1" ht="42" customHeight="1"/>
    <row r="839" s="383" customFormat="1" ht="42" customHeight="1"/>
    <row r="840" s="383" customFormat="1" ht="42" customHeight="1"/>
    <row r="841" s="383" customFormat="1" ht="42" customHeight="1"/>
    <row r="842" s="383" customFormat="1" ht="42" customHeight="1"/>
    <row r="843" s="383" customFormat="1" ht="42" customHeight="1"/>
    <row r="844" s="383" customFormat="1" ht="42" customHeight="1"/>
    <row r="845" s="383" customFormat="1" ht="42" customHeight="1"/>
    <row r="846" s="383" customFormat="1" ht="42" customHeight="1"/>
    <row r="847" s="383" customFormat="1" ht="42" customHeight="1"/>
    <row r="848" s="383" customFormat="1" ht="42" customHeight="1"/>
    <row r="849" s="383" customFormat="1" ht="42" customHeight="1"/>
    <row r="850" s="383" customFormat="1" ht="42" customHeight="1"/>
    <row r="851" s="383" customFormat="1" ht="42" customHeight="1"/>
    <row r="852" s="383" customFormat="1" ht="42" customHeight="1"/>
    <row r="853" s="383" customFormat="1" ht="42" customHeight="1"/>
    <row r="854" s="383" customFormat="1" ht="42" customHeight="1"/>
    <row r="855" s="383" customFormat="1" ht="42" customHeight="1"/>
    <row r="856" s="383" customFormat="1" ht="42" customHeight="1"/>
    <row r="857" s="383" customFormat="1" ht="42" customHeight="1"/>
    <row r="858" s="383" customFormat="1" ht="42" customHeight="1"/>
    <row r="859" s="383" customFormat="1" ht="42" customHeight="1"/>
    <row r="860" s="383" customFormat="1" ht="42" customHeight="1"/>
    <row r="861" s="383" customFormat="1" ht="42" customHeight="1"/>
    <row r="862" s="383" customFormat="1" ht="42" customHeight="1"/>
    <row r="863" s="383" customFormat="1" ht="42" customHeight="1"/>
    <row r="864" s="383" customFormat="1" ht="42" customHeight="1"/>
    <row r="865" s="383" customFormat="1" ht="42" customHeight="1"/>
    <row r="866" s="383" customFormat="1" ht="42" customHeight="1"/>
    <row r="867" s="383" customFormat="1" ht="42" customHeight="1"/>
    <row r="868" s="383" customFormat="1" ht="42" customHeight="1"/>
    <row r="869" s="383" customFormat="1" ht="42" customHeight="1"/>
    <row r="870" s="383" customFormat="1" ht="42" customHeight="1"/>
    <row r="871" s="383" customFormat="1" ht="42" customHeight="1"/>
    <row r="872" s="383" customFormat="1" ht="42" customHeight="1"/>
    <row r="873" s="383" customFormat="1" ht="42" customHeight="1"/>
    <row r="874" s="383" customFormat="1" ht="42" customHeight="1"/>
    <row r="875" s="383" customFormat="1" ht="42" customHeight="1"/>
    <row r="876" s="383" customFormat="1" ht="42" customHeight="1"/>
    <row r="877" s="383" customFormat="1" ht="42" customHeight="1"/>
    <row r="878" s="383" customFormat="1" ht="42" customHeight="1"/>
    <row r="879" s="383" customFormat="1" ht="42" customHeight="1"/>
    <row r="880" s="383" customFormat="1" ht="42" customHeight="1"/>
    <row r="881" s="383" customFormat="1" ht="42" customHeight="1"/>
    <row r="882" s="383" customFormat="1" ht="42" customHeight="1"/>
    <row r="883" s="383" customFormat="1" ht="42" customHeight="1"/>
    <row r="884" s="383" customFormat="1" ht="42" customHeight="1"/>
    <row r="885" s="383" customFormat="1" ht="42" customHeight="1"/>
    <row r="886" s="383" customFormat="1" ht="42" customHeight="1"/>
    <row r="887" s="383" customFormat="1" ht="42" customHeight="1"/>
    <row r="888" s="383" customFormat="1" ht="42" customHeight="1"/>
    <row r="889" s="383" customFormat="1" ht="42" customHeight="1"/>
    <row r="890" s="383" customFormat="1" ht="42" customHeight="1"/>
    <row r="891" s="383" customFormat="1" ht="42" customHeight="1"/>
    <row r="892" s="383" customFormat="1" ht="42" customHeight="1"/>
    <row r="893" s="383" customFormat="1" ht="42" customHeight="1"/>
    <row r="894" s="383" customFormat="1" ht="42" customHeight="1"/>
    <row r="895" s="383" customFormat="1" ht="42" customHeight="1"/>
    <row r="896" s="383" customFormat="1" ht="42" customHeight="1"/>
    <row r="897" s="383" customFormat="1" ht="42" customHeight="1"/>
    <row r="898" s="383" customFormat="1" ht="42" customHeight="1"/>
    <row r="899" s="383" customFormat="1" ht="42" customHeight="1"/>
    <row r="900" s="383" customFormat="1" ht="42" customHeight="1"/>
    <row r="901" s="383" customFormat="1" ht="42" customHeight="1"/>
    <row r="902" s="383" customFormat="1" ht="42" customHeight="1"/>
    <row r="903" s="383" customFormat="1" ht="42" customHeight="1"/>
    <row r="904" s="383" customFormat="1" ht="42" customHeight="1"/>
    <row r="905" s="383" customFormat="1" ht="42" customHeight="1"/>
    <row r="906" s="383" customFormat="1" ht="42" customHeight="1"/>
    <row r="907" s="383" customFormat="1" ht="42" customHeight="1"/>
    <row r="908" s="383" customFormat="1" ht="42" customHeight="1"/>
    <row r="909" s="383" customFormat="1" ht="42" customHeight="1"/>
    <row r="910" s="383" customFormat="1" ht="42" customHeight="1"/>
    <row r="911" s="383" customFormat="1" ht="42" customHeight="1"/>
    <row r="912" s="383" customFormat="1" ht="42" customHeight="1"/>
    <row r="913" s="383" customFormat="1" ht="42" customHeight="1"/>
    <row r="914" s="383" customFormat="1" ht="42" customHeight="1"/>
    <row r="915" s="383" customFormat="1" ht="42" customHeight="1"/>
    <row r="916" s="383" customFormat="1" ht="42" customHeight="1"/>
    <row r="917" s="383" customFormat="1" ht="42" customHeight="1"/>
    <row r="918" s="383" customFormat="1" ht="42" customHeight="1"/>
    <row r="919" s="383" customFormat="1" ht="42" customHeight="1"/>
    <row r="920" s="383" customFormat="1" ht="42" customHeight="1"/>
    <row r="921" s="383" customFormat="1" ht="42" customHeight="1"/>
    <row r="922" s="383" customFormat="1" ht="42" customHeight="1"/>
    <row r="923" s="383" customFormat="1" ht="42" customHeight="1"/>
    <row r="924" s="383" customFormat="1" ht="42" customHeight="1"/>
    <row r="925" s="383" customFormat="1" ht="42" customHeight="1"/>
    <row r="926" s="383" customFormat="1" ht="42" customHeight="1"/>
    <row r="927" s="383" customFormat="1" ht="42" customHeight="1"/>
    <row r="928" s="383" customFormat="1" ht="42" customHeight="1"/>
    <row r="929" s="383" customFormat="1" ht="42" customHeight="1"/>
    <row r="930" s="383" customFormat="1" ht="42" customHeight="1"/>
    <row r="931" s="383" customFormat="1" ht="42" customHeight="1"/>
    <row r="932" s="383" customFormat="1" ht="42" customHeight="1"/>
    <row r="933" s="383" customFormat="1" ht="42" customHeight="1"/>
    <row r="934" s="383" customFormat="1" ht="42" customHeight="1"/>
    <row r="935" s="383" customFormat="1" ht="42" customHeight="1"/>
    <row r="936" s="383" customFormat="1" ht="42" customHeight="1"/>
    <row r="937" s="383" customFormat="1" ht="42" customHeight="1"/>
    <row r="938" s="383" customFormat="1" ht="42" customHeight="1"/>
    <row r="939" s="383" customFormat="1" ht="42" customHeight="1"/>
    <row r="940" s="383" customFormat="1" ht="42" customHeight="1"/>
    <row r="941" s="383" customFormat="1" ht="42" customHeight="1"/>
    <row r="942" s="383" customFormat="1" ht="42" customHeight="1"/>
    <row r="943" s="383" customFormat="1" ht="42" customHeight="1"/>
    <row r="944" s="383" customFormat="1" ht="42" customHeight="1"/>
    <row r="945" s="383" customFormat="1" ht="42" customHeight="1"/>
    <row r="946" s="383" customFormat="1" ht="42" customHeight="1"/>
    <row r="947" s="383" customFormat="1" ht="42" customHeight="1"/>
    <row r="948" s="383" customFormat="1" ht="42" customHeight="1"/>
    <row r="949" s="383" customFormat="1" ht="42" customHeight="1"/>
    <row r="950" s="383" customFormat="1" ht="42" customHeight="1"/>
    <row r="951" s="383" customFormat="1" ht="42" customHeight="1"/>
    <row r="952" s="383" customFormat="1" ht="42" customHeight="1"/>
    <row r="953" s="383" customFormat="1" ht="42" customHeight="1"/>
    <row r="954" s="383" customFormat="1" ht="42" customHeight="1"/>
    <row r="955" s="383" customFormat="1" ht="42" customHeight="1"/>
    <row r="956" s="383" customFormat="1" ht="42" customHeight="1"/>
    <row r="957" s="383" customFormat="1" ht="42" customHeight="1"/>
    <row r="958" s="383" customFormat="1" ht="42" customHeight="1"/>
    <row r="959" s="383" customFormat="1" ht="42" customHeight="1"/>
    <row r="960" s="383" customFormat="1" ht="42" customHeight="1"/>
    <row r="961" s="383" customFormat="1" ht="42" customHeight="1"/>
    <row r="962" s="383" customFormat="1" ht="42" customHeight="1"/>
    <row r="963" s="383" customFormat="1" ht="42" customHeight="1"/>
    <row r="964" s="383" customFormat="1" ht="42" customHeight="1"/>
    <row r="965" s="383" customFormat="1" ht="42" customHeight="1"/>
    <row r="966" s="383" customFormat="1" ht="42" customHeight="1"/>
    <row r="967" s="383" customFormat="1" ht="42" customHeight="1"/>
    <row r="968" s="383" customFormat="1" ht="42" customHeight="1"/>
    <row r="969" s="383" customFormat="1" ht="42" customHeight="1"/>
    <row r="970" s="383" customFormat="1" ht="42" customHeight="1"/>
    <row r="971" s="383" customFormat="1" ht="42" customHeight="1"/>
    <row r="972" s="383" customFormat="1" ht="42" customHeight="1"/>
    <row r="973" s="383" customFormat="1" ht="42" customHeight="1"/>
    <row r="974" s="383" customFormat="1" ht="42" customHeight="1"/>
    <row r="975" s="383" customFormat="1" ht="42" customHeight="1"/>
    <row r="976" s="383" customFormat="1" ht="42" customHeight="1"/>
    <row r="977" s="383" customFormat="1" ht="42" customHeight="1"/>
    <row r="978" s="383" customFormat="1" ht="42" customHeight="1"/>
    <row r="979" s="383" customFormat="1" ht="42" customHeight="1"/>
    <row r="980" s="383" customFormat="1" ht="42" customHeight="1"/>
    <row r="981" s="383" customFormat="1" ht="42" customHeight="1"/>
    <row r="982" s="383" customFormat="1" ht="42" customHeight="1"/>
    <row r="983" s="383" customFormat="1" ht="42" customHeight="1"/>
    <row r="984" s="383" customFormat="1" ht="42" customHeight="1"/>
    <row r="985" s="383" customFormat="1" ht="42" customHeight="1"/>
    <row r="986" s="383" customFormat="1" ht="42" customHeight="1"/>
    <row r="987" s="383" customFormat="1" ht="42" customHeight="1"/>
    <row r="988" s="383" customFormat="1" ht="42" customHeight="1"/>
    <row r="989" s="383" customFormat="1" ht="42" customHeight="1"/>
    <row r="990" s="383" customFormat="1" ht="42" customHeight="1"/>
    <row r="991" s="383" customFormat="1" ht="42" customHeight="1"/>
    <row r="992" s="383" customFormat="1" ht="42" customHeight="1"/>
    <row r="993" s="383" customFormat="1" ht="42" customHeight="1"/>
    <row r="994" s="383" customFormat="1" ht="42" customHeight="1"/>
    <row r="995" s="383" customFormat="1" ht="42" customHeight="1"/>
    <row r="996" s="383" customFormat="1" ht="42" customHeight="1"/>
    <row r="997" s="383" customFormat="1" ht="42" customHeight="1"/>
    <row r="998" s="383" customFormat="1" ht="42" customHeight="1"/>
    <row r="999" s="383" customFormat="1" ht="42" customHeight="1"/>
    <row r="1000" s="383" customFormat="1" ht="42" customHeight="1"/>
    <row r="1001" s="383" customFormat="1" ht="42" customHeight="1"/>
    <row r="1002" s="383" customFormat="1" ht="42" customHeight="1"/>
    <row r="1003" s="383" customFormat="1" ht="42" customHeight="1"/>
    <row r="1004" s="383" customFormat="1" ht="42" customHeight="1"/>
    <row r="1005" s="383" customFormat="1" ht="42" customHeight="1"/>
    <row r="1006" s="383" customFormat="1" ht="42" customHeight="1"/>
    <row r="1007" s="383" customFormat="1" ht="42" customHeight="1"/>
    <row r="1008" s="383" customFormat="1" ht="42" customHeight="1"/>
    <row r="1009" s="383" customFormat="1" ht="42" customHeight="1"/>
    <row r="1010" s="383" customFormat="1" ht="42" customHeight="1"/>
    <row r="1011" s="383" customFormat="1" ht="42" customHeight="1"/>
    <row r="1012" s="383" customFormat="1" ht="42" customHeight="1"/>
    <row r="1013" s="383" customFormat="1" ht="42" customHeight="1"/>
    <row r="1014" s="383" customFormat="1" ht="42" customHeight="1"/>
    <row r="1015" s="383" customFormat="1" ht="42" customHeight="1"/>
    <row r="1016" s="383" customFormat="1" ht="42" customHeight="1"/>
    <row r="1017" s="383" customFormat="1" ht="42" customHeight="1"/>
    <row r="1018" s="383" customFormat="1" ht="42" customHeight="1"/>
    <row r="1019" s="383" customFormat="1" ht="42" customHeight="1"/>
    <row r="1020" s="383" customFormat="1" ht="42" customHeight="1"/>
    <row r="1021" s="383" customFormat="1" ht="42" customHeight="1"/>
    <row r="1022" s="383" customFormat="1" ht="42" customHeight="1"/>
    <row r="1023" s="383" customFormat="1" ht="42" customHeight="1"/>
    <row r="1024" s="383" customFormat="1" ht="42" customHeight="1"/>
    <row r="1025" s="383" customFormat="1" ht="42" customHeight="1"/>
    <row r="1026" s="383" customFormat="1" ht="42" customHeight="1"/>
    <row r="1027" s="383" customFormat="1" ht="42" customHeight="1"/>
    <row r="1028" s="383" customFormat="1" ht="42" customHeight="1"/>
    <row r="1029" s="383" customFormat="1" ht="42" customHeight="1"/>
    <row r="1030" s="383" customFormat="1" ht="42" customHeight="1"/>
    <row r="1031" s="383" customFormat="1" ht="42" customHeight="1"/>
    <row r="1032" s="383" customFormat="1" ht="42" customHeight="1"/>
    <row r="1033" s="383" customFormat="1" ht="42" customHeight="1"/>
    <row r="1034" s="383" customFormat="1" ht="42" customHeight="1"/>
    <row r="1035" s="383" customFormat="1" ht="42" customHeight="1"/>
    <row r="1036" s="383" customFormat="1" ht="42" customHeight="1"/>
    <row r="1037" s="383" customFormat="1" ht="42" customHeight="1"/>
    <row r="1038" s="383" customFormat="1" ht="42" customHeight="1"/>
    <row r="1039" s="383" customFormat="1" ht="42" customHeight="1"/>
    <row r="1040" s="383" customFormat="1" ht="42" customHeight="1"/>
    <row r="1041" s="383" customFormat="1" ht="42" customHeight="1"/>
    <row r="1042" s="383" customFormat="1" ht="42" customHeight="1"/>
    <row r="1043" s="383" customFormat="1" ht="42" customHeight="1"/>
    <row r="1044" s="383" customFormat="1" ht="42" customHeight="1"/>
    <row r="1045" s="383" customFormat="1" ht="42" customHeight="1"/>
    <row r="1046" s="383" customFormat="1" ht="42" customHeight="1"/>
    <row r="1047" s="383" customFormat="1" ht="42" customHeight="1"/>
    <row r="1048" s="383" customFormat="1" ht="42" customHeight="1"/>
    <row r="1049" s="383" customFormat="1" ht="42" customHeight="1"/>
    <row r="1050" s="383" customFormat="1" ht="42" customHeight="1"/>
    <row r="1051" s="383" customFormat="1" ht="42" customHeight="1"/>
    <row r="1052" s="383" customFormat="1" ht="42" customHeight="1"/>
    <row r="1053" s="383" customFormat="1" ht="42" customHeight="1"/>
    <row r="1054" s="383" customFormat="1" ht="42" customHeight="1"/>
    <row r="1055" s="383" customFormat="1" ht="42" customHeight="1"/>
    <row r="1056" s="383" customFormat="1" ht="42" customHeight="1"/>
    <row r="1057" s="383" customFormat="1" ht="42" customHeight="1"/>
    <row r="1058" s="383" customFormat="1" ht="42" customHeight="1"/>
    <row r="1059" s="383" customFormat="1" ht="42" customHeight="1"/>
    <row r="1060" s="383" customFormat="1" ht="42" customHeight="1"/>
    <row r="1061" s="383" customFormat="1" ht="42" customHeight="1"/>
    <row r="1062" s="383" customFormat="1" ht="42" customHeight="1"/>
    <row r="1063" s="383" customFormat="1" ht="42" customHeight="1"/>
    <row r="1064" s="383" customFormat="1" ht="42" customHeight="1"/>
    <row r="1065" s="383" customFormat="1" ht="42" customHeight="1"/>
    <row r="1066" s="383" customFormat="1" ht="42" customHeight="1"/>
    <row r="1067" s="383" customFormat="1" ht="42" customHeight="1"/>
    <row r="1068" s="383" customFormat="1" ht="42" customHeight="1"/>
    <row r="1069" s="383" customFormat="1" ht="42" customHeight="1"/>
    <row r="1070" s="383" customFormat="1" ht="42" customHeight="1"/>
    <row r="1071" s="383" customFormat="1" ht="42" customHeight="1"/>
    <row r="1072" s="383" customFormat="1" ht="42" customHeight="1"/>
    <row r="1073" s="383" customFormat="1" ht="42" customHeight="1"/>
    <row r="1074" s="383" customFormat="1" ht="42" customHeight="1"/>
    <row r="1075" s="383" customFormat="1" ht="42" customHeight="1"/>
    <row r="1076" s="383" customFormat="1" ht="42" customHeight="1"/>
    <row r="1077" s="383" customFormat="1" ht="42" customHeight="1"/>
    <row r="1078" s="383" customFormat="1" ht="42" customHeight="1"/>
    <row r="1079" s="383" customFormat="1" ht="42" customHeight="1"/>
    <row r="1080" s="383" customFormat="1" ht="42" customHeight="1"/>
    <row r="1081" s="383" customFormat="1" ht="42" customHeight="1"/>
    <row r="1082" s="383" customFormat="1" ht="42" customHeight="1"/>
    <row r="1083" s="383" customFormat="1" ht="42" customHeight="1"/>
    <row r="1084" s="383" customFormat="1" ht="42" customHeight="1"/>
    <row r="1085" s="383" customFormat="1" ht="42" customHeight="1"/>
    <row r="1086" s="383" customFormat="1" ht="42" customHeight="1"/>
    <row r="1087" s="383" customFormat="1" ht="42" customHeight="1"/>
    <row r="1088" s="383" customFormat="1" ht="42" customHeight="1"/>
    <row r="1089" s="383" customFormat="1" ht="42" customHeight="1"/>
    <row r="1090" s="383" customFormat="1" ht="42" customHeight="1"/>
    <row r="1091" s="383" customFormat="1" ht="42" customHeight="1"/>
    <row r="1092" s="383" customFormat="1" ht="42" customHeight="1"/>
    <row r="1093" s="383" customFormat="1" ht="42" customHeight="1"/>
    <row r="1094" s="383" customFormat="1" ht="42" customHeight="1"/>
    <row r="1095" s="383" customFormat="1" ht="42" customHeight="1"/>
    <row r="1096" s="383" customFormat="1" ht="42" customHeight="1"/>
    <row r="1097" s="383" customFormat="1" ht="42" customHeight="1"/>
    <row r="1098" s="383" customFormat="1" ht="42" customHeight="1"/>
    <row r="1099" s="383" customFormat="1" ht="42" customHeight="1"/>
    <row r="1100" s="383" customFormat="1" ht="42" customHeight="1"/>
    <row r="1101" s="383" customFormat="1" ht="42" customHeight="1"/>
    <row r="1102" s="383" customFormat="1" ht="42" customHeight="1"/>
    <row r="1103" s="383" customFormat="1" ht="42" customHeight="1"/>
    <row r="1104" s="383" customFormat="1" ht="42" customHeight="1"/>
    <row r="1105" s="383" customFormat="1" ht="42" customHeight="1"/>
    <row r="1106" s="383" customFormat="1" ht="42" customHeight="1"/>
    <row r="1107" s="383" customFormat="1" ht="42" customHeight="1"/>
    <row r="1108" s="383" customFormat="1" ht="42" customHeight="1"/>
    <row r="1109" s="383" customFormat="1" ht="42" customHeight="1"/>
    <row r="1110" s="383" customFormat="1" ht="42" customHeight="1"/>
    <row r="1111" s="383" customFormat="1" ht="42" customHeight="1"/>
    <row r="1112" s="383" customFormat="1" ht="42" customHeight="1"/>
    <row r="1113" s="383" customFormat="1" ht="42" customHeight="1"/>
    <row r="1114" s="383" customFormat="1" ht="42" customHeight="1"/>
    <row r="1115" s="383" customFormat="1" ht="42" customHeight="1"/>
    <row r="1116" s="383" customFormat="1" ht="42" customHeight="1"/>
    <row r="1117" s="383" customFormat="1" ht="42" customHeight="1"/>
    <row r="1118" s="383" customFormat="1" ht="42" customHeight="1"/>
    <row r="1119" s="383" customFormat="1" ht="42" customHeight="1"/>
    <row r="1120" s="383" customFormat="1" ht="42" customHeight="1"/>
    <row r="1121" s="383" customFormat="1" ht="42" customHeight="1"/>
    <row r="1122" s="383" customFormat="1" ht="42" customHeight="1"/>
    <row r="1123" s="383" customFormat="1" ht="42" customHeight="1"/>
    <row r="1124" s="383" customFormat="1" ht="42" customHeight="1"/>
    <row r="1125" s="383" customFormat="1" ht="42" customHeight="1"/>
    <row r="1126" s="383" customFormat="1" ht="42" customHeight="1"/>
    <row r="1127" s="383" customFormat="1" ht="42" customHeight="1"/>
    <row r="1128" s="383" customFormat="1" ht="42" customHeight="1"/>
    <row r="1129" s="383" customFormat="1" ht="42" customHeight="1"/>
    <row r="1130" s="383" customFormat="1" ht="42" customHeight="1"/>
    <row r="1131" s="383" customFormat="1" ht="42" customHeight="1"/>
    <row r="1132" s="383" customFormat="1" ht="42" customHeight="1"/>
    <row r="1133" s="383" customFormat="1" ht="42" customHeight="1"/>
    <row r="1134" s="383" customFormat="1" ht="42" customHeight="1"/>
    <row r="1135" s="383" customFormat="1" ht="42" customHeight="1"/>
    <row r="1136" s="383" customFormat="1" ht="42" customHeight="1"/>
    <row r="1137" s="383" customFormat="1" ht="42" customHeight="1"/>
    <row r="1138" s="383" customFormat="1" ht="42" customHeight="1"/>
    <row r="1139" s="383" customFormat="1" ht="42" customHeight="1"/>
    <row r="1140" s="383" customFormat="1" ht="42" customHeight="1"/>
    <row r="1141" s="383" customFormat="1" ht="42" customHeight="1"/>
    <row r="1142" s="383" customFormat="1" ht="42" customHeight="1"/>
    <row r="1143" s="383" customFormat="1" ht="42" customHeight="1"/>
    <row r="1144" s="383" customFormat="1" ht="42" customHeight="1"/>
    <row r="1145" s="383" customFormat="1" ht="42" customHeight="1"/>
    <row r="1146" s="383" customFormat="1" ht="42" customHeight="1"/>
    <row r="1147" s="383" customFormat="1" ht="42" customHeight="1"/>
    <row r="1148" s="383" customFormat="1" ht="42" customHeight="1"/>
    <row r="1149" s="383" customFormat="1" ht="42" customHeight="1"/>
    <row r="1150" s="383" customFormat="1" ht="42" customHeight="1"/>
    <row r="1151" s="383" customFormat="1" ht="42" customHeight="1"/>
    <row r="1152" s="383" customFormat="1" ht="42" customHeight="1"/>
    <row r="1153" s="383" customFormat="1" ht="42" customHeight="1"/>
    <row r="1154" s="383" customFormat="1" ht="42" customHeight="1"/>
    <row r="1155" s="383" customFormat="1" ht="42" customHeight="1"/>
    <row r="1156" s="383" customFormat="1" ht="42" customHeight="1"/>
    <row r="1157" s="383" customFormat="1" ht="42" customHeight="1"/>
    <row r="1158" s="383" customFormat="1" ht="42" customHeight="1"/>
    <row r="1159" s="383" customFormat="1" ht="42" customHeight="1"/>
    <row r="1160" s="383" customFormat="1" ht="42" customHeight="1"/>
    <row r="1161" s="383" customFormat="1" ht="42" customHeight="1"/>
    <row r="1162" s="383" customFormat="1" ht="42" customHeight="1"/>
    <row r="1163" s="383" customFormat="1" ht="42" customHeight="1"/>
    <row r="1164" s="383" customFormat="1" ht="42" customHeight="1"/>
    <row r="1165" s="383" customFormat="1" ht="42" customHeight="1"/>
    <row r="1166" s="383" customFormat="1" ht="42" customHeight="1"/>
    <row r="1167" s="383" customFormat="1" ht="42" customHeight="1"/>
    <row r="1168" s="383" customFormat="1" ht="42" customHeight="1"/>
    <row r="1169" s="383" customFormat="1" ht="42" customHeight="1"/>
    <row r="1170" s="383" customFormat="1" ht="42" customHeight="1"/>
    <row r="1171" s="383" customFormat="1" ht="42" customHeight="1"/>
    <row r="1172" s="383" customFormat="1" ht="42" customHeight="1"/>
    <row r="1173" s="383" customFormat="1" ht="42" customHeight="1"/>
    <row r="1174" s="383" customFormat="1" ht="42" customHeight="1"/>
    <row r="1175" s="383" customFormat="1" ht="42" customHeight="1"/>
    <row r="1176" s="383" customFormat="1" ht="42" customHeight="1"/>
    <row r="1177" s="383" customFormat="1" ht="42" customHeight="1"/>
    <row r="1178" s="383" customFormat="1" ht="42" customHeight="1"/>
    <row r="1179" s="383" customFormat="1" ht="42" customHeight="1"/>
    <row r="1180" s="383" customFormat="1" ht="42" customHeight="1"/>
    <row r="1181" s="383" customFormat="1" ht="42" customHeight="1"/>
    <row r="1182" s="383" customFormat="1" ht="42" customHeight="1"/>
    <row r="1183" s="383" customFormat="1" ht="42" customHeight="1"/>
    <row r="1184" s="383" customFormat="1" ht="42" customHeight="1"/>
    <row r="1185" s="383" customFormat="1" ht="42" customHeight="1"/>
    <row r="1186" s="383" customFormat="1" ht="42" customHeight="1"/>
    <row r="1187" s="383" customFormat="1" ht="42" customHeight="1"/>
    <row r="1188" s="383" customFormat="1" ht="42" customHeight="1"/>
    <row r="1189" s="383" customFormat="1" ht="42" customHeight="1"/>
    <row r="1190" s="383" customFormat="1" ht="42" customHeight="1"/>
    <row r="1191" s="383" customFormat="1" ht="42" customHeight="1"/>
    <row r="1192" s="383" customFormat="1" ht="42" customHeight="1"/>
    <row r="1193" s="383" customFormat="1" ht="42" customHeight="1"/>
    <row r="1194" s="383" customFormat="1" ht="42" customHeight="1"/>
    <row r="1195" s="383" customFormat="1" ht="42" customHeight="1"/>
    <row r="1196" s="383" customFormat="1" ht="42" customHeight="1"/>
    <row r="1197" s="383" customFormat="1" ht="42" customHeight="1"/>
    <row r="1198" s="383" customFormat="1" ht="42" customHeight="1"/>
    <row r="1199" s="383" customFormat="1" ht="42" customHeight="1"/>
    <row r="1200" s="383" customFormat="1" ht="42" customHeight="1"/>
    <row r="1201" s="383" customFormat="1" ht="42" customHeight="1"/>
    <row r="1202" s="383" customFormat="1" ht="42" customHeight="1"/>
    <row r="1203" s="383" customFormat="1" ht="42" customHeight="1"/>
    <row r="1204" s="383" customFormat="1" ht="42" customHeight="1"/>
    <row r="1205" s="383" customFormat="1" ht="42" customHeight="1"/>
    <row r="1206" s="383" customFormat="1" ht="42" customHeight="1"/>
    <row r="1207" s="383" customFormat="1" ht="42" customHeight="1"/>
    <row r="1208" s="383" customFormat="1" ht="42" customHeight="1"/>
    <row r="1209" s="383" customFormat="1" ht="42" customHeight="1"/>
    <row r="1210" s="383" customFormat="1" ht="42" customHeight="1"/>
    <row r="1211" s="383" customFormat="1" ht="42" customHeight="1"/>
    <row r="1212" s="383" customFormat="1" ht="42" customHeight="1"/>
    <row r="1213" s="383" customFormat="1" ht="42" customHeight="1"/>
    <row r="1214" s="383" customFormat="1" ht="42" customHeight="1"/>
    <row r="1215" s="383" customFormat="1" ht="42" customHeight="1"/>
  </sheetData>
  <sheetProtection algorithmName="SHA-512" hashValue="gDBPAuwB8ShPilutIBaU/2rFoUAxooTUrNX1xRXwb+4l1kOnlApdKVBq7zJXWnYOqABECQNHKYgvGDCuXcXKTQ==" saltValue="nk09VU4K7f/c0ZhTpsussw==" spinCount="100000" sheet="1" objects="1" scenarios="1"/>
  <mergeCells count="481">
    <mergeCell ref="N142:N143"/>
    <mergeCell ref="M138:M141"/>
    <mergeCell ref="N105:N106"/>
    <mergeCell ref="L100:L103"/>
    <mergeCell ref="A66:A68"/>
    <mergeCell ref="B66:B68"/>
    <mergeCell ref="C66:C68"/>
    <mergeCell ref="K66:K68"/>
    <mergeCell ref="L66:L68"/>
    <mergeCell ref="M66:M68"/>
    <mergeCell ref="N66:N68"/>
    <mergeCell ref="K85:K86"/>
    <mergeCell ref="K89:K91"/>
    <mergeCell ref="K94:K99"/>
    <mergeCell ref="K105:K106"/>
    <mergeCell ref="L105:L106"/>
    <mergeCell ref="N85:N86"/>
    <mergeCell ref="M85:M86"/>
    <mergeCell ref="N138:N141"/>
    <mergeCell ref="M128:M129"/>
    <mergeCell ref="L128:L129"/>
    <mergeCell ref="A105:A106"/>
    <mergeCell ref="A125:A126"/>
    <mergeCell ref="C128:C129"/>
    <mergeCell ref="O142:O143"/>
    <mergeCell ref="P131:P132"/>
    <mergeCell ref="O125:O126"/>
    <mergeCell ref="P125:P126"/>
    <mergeCell ref="Q125:Q126"/>
    <mergeCell ref="R125:R126"/>
    <mergeCell ref="Q131:Q132"/>
    <mergeCell ref="O131:O132"/>
    <mergeCell ref="O134:O135"/>
    <mergeCell ref="R136:R153"/>
    <mergeCell ref="O138:O141"/>
    <mergeCell ref="P142:P143"/>
    <mergeCell ref="Q142:Q143"/>
    <mergeCell ref="P138:P141"/>
    <mergeCell ref="Q138:Q141"/>
    <mergeCell ref="P35:P38"/>
    <mergeCell ref="Q35:Q38"/>
    <mergeCell ref="B125:B126"/>
    <mergeCell ref="C125:C126"/>
    <mergeCell ref="L125:L126"/>
    <mergeCell ref="M125:M126"/>
    <mergeCell ref="L136:L137"/>
    <mergeCell ref="C134:C135"/>
    <mergeCell ref="P134:P135"/>
    <mergeCell ref="Q134:Q135"/>
    <mergeCell ref="Q128:Q129"/>
    <mergeCell ref="N136:N137"/>
    <mergeCell ref="N131:N132"/>
    <mergeCell ref="O128:O129"/>
    <mergeCell ref="P128:P129"/>
    <mergeCell ref="N128:N129"/>
    <mergeCell ref="N134:N135"/>
    <mergeCell ref="Q66:Q68"/>
    <mergeCell ref="P85:P86"/>
    <mergeCell ref="Q85:Q86"/>
    <mergeCell ref="O105:O106"/>
    <mergeCell ref="P105:P106"/>
    <mergeCell ref="Q105:Q106"/>
    <mergeCell ref="O100:O103"/>
    <mergeCell ref="P100:P103"/>
    <mergeCell ref="Q100:Q103"/>
    <mergeCell ref="P94:P99"/>
    <mergeCell ref="Q94:Q99"/>
    <mergeCell ref="P87:P88"/>
    <mergeCell ref="Q89:Q91"/>
    <mergeCell ref="Q87:Q88"/>
    <mergeCell ref="P89:P91"/>
    <mergeCell ref="O89:O91"/>
    <mergeCell ref="O94:O99"/>
    <mergeCell ref="O87:O88"/>
    <mergeCell ref="M146:M147"/>
    <mergeCell ref="L146:L147"/>
    <mergeCell ref="K125:K126"/>
    <mergeCell ref="A142:A143"/>
    <mergeCell ref="A152:A153"/>
    <mergeCell ref="B152:B153"/>
    <mergeCell ref="N100:N103"/>
    <mergeCell ref="M105:M106"/>
    <mergeCell ref="M131:M132"/>
    <mergeCell ref="M134:M135"/>
    <mergeCell ref="L134:L135"/>
    <mergeCell ref="N125:N126"/>
    <mergeCell ref="M136:M137"/>
    <mergeCell ref="C136:C137"/>
    <mergeCell ref="M152:M153"/>
    <mergeCell ref="N152:N153"/>
    <mergeCell ref="N146:N147"/>
    <mergeCell ref="B105:B106"/>
    <mergeCell ref="C105:C106"/>
    <mergeCell ref="L131:L132"/>
    <mergeCell ref="K131:K132"/>
    <mergeCell ref="K134:K135"/>
    <mergeCell ref="B128:B129"/>
    <mergeCell ref="K128:K129"/>
    <mergeCell ref="B180:D180"/>
    <mergeCell ref="B178:D178"/>
    <mergeCell ref="P136:P137"/>
    <mergeCell ref="Q136:Q137"/>
    <mergeCell ref="K167:K168"/>
    <mergeCell ref="K164:K165"/>
    <mergeCell ref="K161:K162"/>
    <mergeCell ref="K155:K159"/>
    <mergeCell ref="B175:D175"/>
    <mergeCell ref="O136:O137"/>
    <mergeCell ref="B179:D179"/>
    <mergeCell ref="B177:D177"/>
    <mergeCell ref="O152:O153"/>
    <mergeCell ref="M148:M149"/>
    <mergeCell ref="N148:N149"/>
    <mergeCell ref="O148:O149"/>
    <mergeCell ref="M164:M165"/>
    <mergeCell ref="P155:P156"/>
    <mergeCell ref="Q155:Q156"/>
    <mergeCell ref="N164:N165"/>
    <mergeCell ref="M167:M168"/>
    <mergeCell ref="N167:N168"/>
    <mergeCell ref="M157:M159"/>
    <mergeCell ref="N157:N159"/>
    <mergeCell ref="B172:D172"/>
    <mergeCell ref="B173:D173"/>
    <mergeCell ref="B174:D174"/>
    <mergeCell ref="B176:D176"/>
    <mergeCell ref="B146:B147"/>
    <mergeCell ref="C146:C147"/>
    <mergeCell ref="L148:L149"/>
    <mergeCell ref="C164:C165"/>
    <mergeCell ref="L164:L165"/>
    <mergeCell ref="C157:C159"/>
    <mergeCell ref="L157:L159"/>
    <mergeCell ref="B157:B159"/>
    <mergeCell ref="K136:K147"/>
    <mergeCell ref="A169:D169"/>
    <mergeCell ref="B170:D170"/>
    <mergeCell ref="A136:A137"/>
    <mergeCell ref="B136:B137"/>
    <mergeCell ref="B138:B141"/>
    <mergeCell ref="C138:C141"/>
    <mergeCell ref="A146:A147"/>
    <mergeCell ref="A167:A168"/>
    <mergeCell ref="B167:B168"/>
    <mergeCell ref="C167:C168"/>
    <mergeCell ref="B142:B143"/>
    <mergeCell ref="C152:C153"/>
    <mergeCell ref="A148:A149"/>
    <mergeCell ref="B148:B149"/>
    <mergeCell ref="C148:C149"/>
    <mergeCell ref="A150:A151"/>
    <mergeCell ref="B150:B151"/>
    <mergeCell ref="C150:C151"/>
    <mergeCell ref="B171:D171"/>
    <mergeCell ref="M100:M103"/>
    <mergeCell ref="A94:A99"/>
    <mergeCell ref="A89:A91"/>
    <mergeCell ref="B89:B91"/>
    <mergeCell ref="C89:C91"/>
    <mergeCell ref="L89:L91"/>
    <mergeCell ref="M89:M91"/>
    <mergeCell ref="M94:M99"/>
    <mergeCell ref="A134:A135"/>
    <mergeCell ref="B134:B135"/>
    <mergeCell ref="A131:A132"/>
    <mergeCell ref="B131:B132"/>
    <mergeCell ref="C131:C132"/>
    <mergeCell ref="A128:A129"/>
    <mergeCell ref="A87:A88"/>
    <mergeCell ref="B87:B88"/>
    <mergeCell ref="A100:A103"/>
    <mergeCell ref="B100:B103"/>
    <mergeCell ref="C100:C103"/>
    <mergeCell ref="B94:B99"/>
    <mergeCell ref="C94:C99"/>
    <mergeCell ref="C87:C88"/>
    <mergeCell ref="L87:L88"/>
    <mergeCell ref="A83:A84"/>
    <mergeCell ref="B83:B84"/>
    <mergeCell ref="C83:C84"/>
    <mergeCell ref="L83:L84"/>
    <mergeCell ref="M83:M84"/>
    <mergeCell ref="A85:A86"/>
    <mergeCell ref="B85:B86"/>
    <mergeCell ref="C85:C86"/>
    <mergeCell ref="L85:L86"/>
    <mergeCell ref="C71:C74"/>
    <mergeCell ref="L71:L74"/>
    <mergeCell ref="M71:M74"/>
    <mergeCell ref="N71:N74"/>
    <mergeCell ref="A71:A74"/>
    <mergeCell ref="M75:M79"/>
    <mergeCell ref="N75:N79"/>
    <mergeCell ref="K75:K79"/>
    <mergeCell ref="C81:C82"/>
    <mergeCell ref="L81:L82"/>
    <mergeCell ref="M81:M82"/>
    <mergeCell ref="N81:N82"/>
    <mergeCell ref="A81:A82"/>
    <mergeCell ref="B81:B82"/>
    <mergeCell ref="K81:K82"/>
    <mergeCell ref="A75:A79"/>
    <mergeCell ref="B75:B79"/>
    <mergeCell ref="C75:C79"/>
    <mergeCell ref="L75:L79"/>
    <mergeCell ref="A69:A70"/>
    <mergeCell ref="B69:B70"/>
    <mergeCell ref="C69:C70"/>
    <mergeCell ref="K69:K70"/>
    <mergeCell ref="K71:K74"/>
    <mergeCell ref="M58:M59"/>
    <mergeCell ref="N58:N59"/>
    <mergeCell ref="O58:O59"/>
    <mergeCell ref="P58:P59"/>
    <mergeCell ref="K58:K59"/>
    <mergeCell ref="K60:K61"/>
    <mergeCell ref="O69:O70"/>
    <mergeCell ref="P69:P70"/>
    <mergeCell ref="L69:L70"/>
    <mergeCell ref="K63:K65"/>
    <mergeCell ref="N69:N70"/>
    <mergeCell ref="B63:B65"/>
    <mergeCell ref="C63:C65"/>
    <mergeCell ref="L63:L65"/>
    <mergeCell ref="M63:M65"/>
    <mergeCell ref="N63:N65"/>
    <mergeCell ref="M69:M70"/>
    <mergeCell ref="A63:A65"/>
    <mergeCell ref="B71:B74"/>
    <mergeCell ref="C58:C59"/>
    <mergeCell ref="L58:L59"/>
    <mergeCell ref="B52:B57"/>
    <mergeCell ref="C52:C57"/>
    <mergeCell ref="L52:L57"/>
    <mergeCell ref="Q58:Q59"/>
    <mergeCell ref="B58:B59"/>
    <mergeCell ref="A60:A61"/>
    <mergeCell ref="A58:A59"/>
    <mergeCell ref="P60:P61"/>
    <mergeCell ref="Q60:Q61"/>
    <mergeCell ref="B60:B61"/>
    <mergeCell ref="C60:C61"/>
    <mergeCell ref="L60:L61"/>
    <mergeCell ref="A52:A57"/>
    <mergeCell ref="P52:P57"/>
    <mergeCell ref="Q52:Q57"/>
    <mergeCell ref="M52:M57"/>
    <mergeCell ref="N52:N57"/>
    <mergeCell ref="O52:O57"/>
    <mergeCell ref="K50:K51"/>
    <mergeCell ref="K52:K57"/>
    <mergeCell ref="A50:A51"/>
    <mergeCell ref="B50:B51"/>
    <mergeCell ref="C50:C51"/>
    <mergeCell ref="L50:L51"/>
    <mergeCell ref="B48:B49"/>
    <mergeCell ref="C48:C49"/>
    <mergeCell ref="L48:L49"/>
    <mergeCell ref="K48:K49"/>
    <mergeCell ref="P41:P44"/>
    <mergeCell ref="Q41:Q44"/>
    <mergeCell ref="B41:B44"/>
    <mergeCell ref="C41:C44"/>
    <mergeCell ref="L41:L44"/>
    <mergeCell ref="M45:M47"/>
    <mergeCell ref="N45:N47"/>
    <mergeCell ref="O45:O47"/>
    <mergeCell ref="M41:M44"/>
    <mergeCell ref="N41:N44"/>
    <mergeCell ref="A48:A49"/>
    <mergeCell ref="P48:P49"/>
    <mergeCell ref="Q48:Q49"/>
    <mergeCell ref="M48:M49"/>
    <mergeCell ref="N48:N49"/>
    <mergeCell ref="O48:O49"/>
    <mergeCell ref="A45:A47"/>
    <mergeCell ref="B45:B47"/>
    <mergeCell ref="C45:C47"/>
    <mergeCell ref="L45:L47"/>
    <mergeCell ref="K45:K47"/>
    <mergeCell ref="O1:R1"/>
    <mergeCell ref="A17:E17"/>
    <mergeCell ref="C24:C25"/>
    <mergeCell ref="L24:L25"/>
    <mergeCell ref="M24:M25"/>
    <mergeCell ref="M21:M22"/>
    <mergeCell ref="N21:N22"/>
    <mergeCell ref="A24:A25"/>
    <mergeCell ref="B24:B25"/>
    <mergeCell ref="K21:K22"/>
    <mergeCell ref="K24:K27"/>
    <mergeCell ref="N24:N27"/>
    <mergeCell ref="O24:O27"/>
    <mergeCell ref="P24:P27"/>
    <mergeCell ref="Q24:Q27"/>
    <mergeCell ref="R24:R27"/>
    <mergeCell ref="B11:K11"/>
    <mergeCell ref="L4:R4"/>
    <mergeCell ref="L7:N7"/>
    <mergeCell ref="M35:M38"/>
    <mergeCell ref="A35:A38"/>
    <mergeCell ref="B35:B38"/>
    <mergeCell ref="C35:C38"/>
    <mergeCell ref="B28:B29"/>
    <mergeCell ref="C28:C29"/>
    <mergeCell ref="K35:K38"/>
    <mergeCell ref="P28:P29"/>
    <mergeCell ref="Q28:Q29"/>
    <mergeCell ref="Q32:Q33"/>
    <mergeCell ref="L32:L33"/>
    <mergeCell ref="M32:M33"/>
    <mergeCell ref="N32:N33"/>
    <mergeCell ref="O32:O33"/>
    <mergeCell ref="P32:P33"/>
    <mergeCell ref="L35:L38"/>
    <mergeCell ref="N35:N38"/>
    <mergeCell ref="R36:R38"/>
    <mergeCell ref="O21:Q21"/>
    <mergeCell ref="R21:R22"/>
    <mergeCell ref="L28:L29"/>
    <mergeCell ref="M28:M29"/>
    <mergeCell ref="A1:H1"/>
    <mergeCell ref="C26:C27"/>
    <mergeCell ref="A26:A27"/>
    <mergeCell ref="B26:B27"/>
    <mergeCell ref="B21:B22"/>
    <mergeCell ref="A21:A22"/>
    <mergeCell ref="A32:A33"/>
    <mergeCell ref="B32:B33"/>
    <mergeCell ref="C32:C33"/>
    <mergeCell ref="A28:A29"/>
    <mergeCell ref="B6:K6"/>
    <mergeCell ref="B10:K10"/>
    <mergeCell ref="K28:K29"/>
    <mergeCell ref="K32:K33"/>
    <mergeCell ref="B5:K5"/>
    <mergeCell ref="B12:K12"/>
    <mergeCell ref="B13:K13"/>
    <mergeCell ref="A2:R2"/>
    <mergeCell ref="A20:R20"/>
    <mergeCell ref="L26:L27"/>
    <mergeCell ref="M26:M27"/>
    <mergeCell ref="N28:N29"/>
    <mergeCell ref="O28:O29"/>
    <mergeCell ref="H21:H22"/>
    <mergeCell ref="R87:R88"/>
    <mergeCell ref="N87:N88"/>
    <mergeCell ref="Q50:Q51"/>
    <mergeCell ref="P63:P65"/>
    <mergeCell ref="Q63:Q65"/>
    <mergeCell ref="O63:O65"/>
    <mergeCell ref="M60:M61"/>
    <mergeCell ref="N60:N61"/>
    <mergeCell ref="O60:O61"/>
    <mergeCell ref="Q75:Q79"/>
    <mergeCell ref="N83:N84"/>
    <mergeCell ref="Q69:Q70"/>
    <mergeCell ref="Q71:Q74"/>
    <mergeCell ref="P50:P51"/>
    <mergeCell ref="O71:O74"/>
    <mergeCell ref="O75:O79"/>
    <mergeCell ref="M50:M51"/>
    <mergeCell ref="N50:N51"/>
    <mergeCell ref="O50:O51"/>
    <mergeCell ref="O85:O86"/>
    <mergeCell ref="O83:O84"/>
    <mergeCell ref="M87:M88"/>
    <mergeCell ref="R83:R84"/>
    <mergeCell ref="R66:R68"/>
    <mergeCell ref="R89:R91"/>
    <mergeCell ref="R94:R99"/>
    <mergeCell ref="R100:R103"/>
    <mergeCell ref="R105:R106"/>
    <mergeCell ref="R128:R129"/>
    <mergeCell ref="A144:A145"/>
    <mergeCell ref="B144:B145"/>
    <mergeCell ref="C144:C145"/>
    <mergeCell ref="L144:L145"/>
    <mergeCell ref="M144:M145"/>
    <mergeCell ref="N144:N145"/>
    <mergeCell ref="O144:O145"/>
    <mergeCell ref="P144:P145"/>
    <mergeCell ref="Q144:Q145"/>
    <mergeCell ref="N89:N91"/>
    <mergeCell ref="N94:N99"/>
    <mergeCell ref="L94:L99"/>
    <mergeCell ref="A138:A141"/>
    <mergeCell ref="L138:L141"/>
    <mergeCell ref="C142:C143"/>
    <mergeCell ref="L142:L143"/>
    <mergeCell ref="M142:M143"/>
    <mergeCell ref="R131:R132"/>
    <mergeCell ref="R134:R135"/>
    <mergeCell ref="L150:L151"/>
    <mergeCell ref="M150:M151"/>
    <mergeCell ref="N150:N151"/>
    <mergeCell ref="O150:O151"/>
    <mergeCell ref="L152:L153"/>
    <mergeCell ref="A155:A156"/>
    <mergeCell ref="B155:B156"/>
    <mergeCell ref="C155:C156"/>
    <mergeCell ref="L155:L156"/>
    <mergeCell ref="M155:M156"/>
    <mergeCell ref="N155:N156"/>
    <mergeCell ref="O155:O156"/>
    <mergeCell ref="K148:K153"/>
    <mergeCell ref="B184:D184"/>
    <mergeCell ref="R28:R29"/>
    <mergeCell ref="R32:R33"/>
    <mergeCell ref="R41:R44"/>
    <mergeCell ref="R45:R47"/>
    <mergeCell ref="R48:R49"/>
    <mergeCell ref="R50:R51"/>
    <mergeCell ref="R52:R57"/>
    <mergeCell ref="R58:R59"/>
    <mergeCell ref="R60:R61"/>
    <mergeCell ref="R63:R65"/>
    <mergeCell ref="R69:R70"/>
    <mergeCell ref="R71:R74"/>
    <mergeCell ref="R75:R79"/>
    <mergeCell ref="R81:R82"/>
    <mergeCell ref="R85:R86"/>
    <mergeCell ref="O167:O168"/>
    <mergeCell ref="P167:P168"/>
    <mergeCell ref="R164:R165"/>
    <mergeCell ref="O146:O147"/>
    <mergeCell ref="P146:P147"/>
    <mergeCell ref="Q146:Q147"/>
    <mergeCell ref="R167:R168"/>
    <mergeCell ref="L167:L168"/>
    <mergeCell ref="Q167:Q168"/>
    <mergeCell ref="O157:O159"/>
    <mergeCell ref="P157:P159"/>
    <mergeCell ref="P152:P153"/>
    <mergeCell ref="Q152:Q153"/>
    <mergeCell ref="P148:P149"/>
    <mergeCell ref="R155:R159"/>
    <mergeCell ref="P150:P151"/>
    <mergeCell ref="Q150:Q151"/>
    <mergeCell ref="R160:R162"/>
    <mergeCell ref="Q148:Q149"/>
    <mergeCell ref="A164:A165"/>
    <mergeCell ref="B164:B165"/>
    <mergeCell ref="O161:O162"/>
    <mergeCell ref="P161:P162"/>
    <mergeCell ref="Q161:Q162"/>
    <mergeCell ref="O164:O165"/>
    <mergeCell ref="P164:P165"/>
    <mergeCell ref="Q164:Q165"/>
    <mergeCell ref="A157:A159"/>
    <mergeCell ref="A161:A162"/>
    <mergeCell ref="B161:B162"/>
    <mergeCell ref="C161:C162"/>
    <mergeCell ref="L161:L162"/>
    <mergeCell ref="M161:M162"/>
    <mergeCell ref="Q157:Q159"/>
    <mergeCell ref="N161:N162"/>
    <mergeCell ref="A18:R18"/>
    <mergeCell ref="P75:P79"/>
    <mergeCell ref="P71:P74"/>
    <mergeCell ref="Q81:Q82"/>
    <mergeCell ref="O81:O82"/>
    <mergeCell ref="P81:P82"/>
    <mergeCell ref="P83:P84"/>
    <mergeCell ref="Q83:Q84"/>
    <mergeCell ref="O66:O68"/>
    <mergeCell ref="P66:P68"/>
    <mergeCell ref="I21:I22"/>
    <mergeCell ref="J21:J22"/>
    <mergeCell ref="L21:L22"/>
    <mergeCell ref="C21:C22"/>
    <mergeCell ref="D21:D22"/>
    <mergeCell ref="E21:E22"/>
    <mergeCell ref="F21:F22"/>
    <mergeCell ref="G21:G22"/>
    <mergeCell ref="O41:O44"/>
    <mergeCell ref="O35:O38"/>
    <mergeCell ref="K41:K44"/>
    <mergeCell ref="P45:P47"/>
    <mergeCell ref="Q45:Q47"/>
    <mergeCell ref="A41:A44"/>
  </mergeCells>
  <conditionalFormatting sqref="G22:J22 E21:L21">
    <cfRule type="dataBar" priority="2">
      <dataBar>
        <cfvo type="min"/>
        <cfvo type="max"/>
        <color rgb="FF638EC6"/>
      </dataBar>
      <extLst>
        <ext xmlns:x14="http://schemas.microsoft.com/office/spreadsheetml/2009/9/main" uri="{B025F937-C7B1-47D3-B67F-A62EFF666E3E}">
          <x14:id>{343C4AEC-2D81-485D-8AD5-A6BBEE40984A}</x14:id>
        </ext>
      </extLst>
    </cfRule>
  </conditionalFormatting>
  <pageMargins left="0.7" right="0.7" top="0.75" bottom="0.75" header="0.3" footer="0.3"/>
  <pageSetup paperSize="8" scale="70"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343C4AEC-2D81-485D-8AD5-A6BBEE40984A}">
            <x14:dataBar minLength="0" maxLength="100" border="1" negativeBarBorderColorSameAsPositive="0">
              <x14:cfvo type="autoMin"/>
              <x14:cfvo type="autoMax"/>
              <x14:borderColor rgb="FF638EC6"/>
              <x14:negativeFillColor rgb="FFFF0000"/>
              <x14:negativeBorderColor rgb="FFFF0000"/>
              <x14:axisColor rgb="FF000000"/>
            </x14:dataBar>
          </x14:cfRule>
          <xm:sqref>G22:J22 E21:L21</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C5A6B-838E-42D6-85DD-C63DC50AA0CF}">
  <dimension ref="C1:H198"/>
  <sheetViews>
    <sheetView zoomScale="70" zoomScaleNormal="70" workbookViewId="0">
      <pane xSplit="2" ySplit="5" topLeftCell="C9" activePane="bottomRight" state="frozen"/>
      <selection pane="topRight" activeCell="C1" sqref="C1"/>
      <selection pane="bottomLeft" activeCell="A3" sqref="A3"/>
      <selection pane="bottomRight" activeCell="N13" sqref="N13"/>
    </sheetView>
  </sheetViews>
  <sheetFormatPr defaultColWidth="8.88671875" defaultRowHeight="34.950000000000003" customHeight="1"/>
  <cols>
    <col min="1" max="1" width="0" style="406" hidden="1" customWidth="1"/>
    <col min="2" max="2" width="8.88671875" style="406"/>
    <col min="3" max="3" width="6.6640625" style="406" customWidth="1"/>
    <col min="4" max="4" width="18.109375" style="1540" customWidth="1"/>
    <col min="5" max="5" width="43.6640625" style="406" customWidth="1"/>
    <col min="6" max="6" width="16.44140625" style="1540" customWidth="1"/>
    <col min="7" max="7" width="18.5546875" style="1540" customWidth="1"/>
    <col min="8" max="8" width="16.6640625" style="1540" customWidth="1"/>
    <col min="9" max="16384" width="8.88671875" style="406"/>
  </cols>
  <sheetData>
    <row r="1" spans="3:8" ht="34.950000000000003" hidden="1" customHeight="1"/>
    <row r="2" spans="3:8" ht="34.950000000000003" customHeight="1">
      <c r="C2" s="2426" t="s">
        <v>3878</v>
      </c>
      <c r="D2" s="2426"/>
      <c r="E2" s="2426"/>
      <c r="F2" s="2426"/>
      <c r="G2" s="2426"/>
      <c r="H2" s="2426"/>
    </row>
    <row r="3" spans="3:8" ht="70.2" customHeight="1">
      <c r="C3" s="417" t="s">
        <v>988</v>
      </c>
      <c r="D3" s="417" t="s">
        <v>2182</v>
      </c>
      <c r="E3" s="417" t="s">
        <v>1003</v>
      </c>
      <c r="F3" s="2410" t="s">
        <v>1004</v>
      </c>
      <c r="G3" s="2410"/>
      <c r="H3" s="2410"/>
    </row>
    <row r="4" spans="3:8" ht="34.950000000000003" customHeight="1">
      <c r="C4" s="417"/>
      <c r="D4" s="417"/>
      <c r="E4" s="417"/>
      <c r="F4" s="417">
        <v>2024</v>
      </c>
      <c r="G4" s="417">
        <v>2025</v>
      </c>
      <c r="H4" s="417">
        <v>2026</v>
      </c>
    </row>
    <row r="5" spans="3:8" ht="12.6" customHeight="1">
      <c r="C5" s="418">
        <v>1</v>
      </c>
      <c r="D5" s="418">
        <v>2</v>
      </c>
      <c r="E5" s="418">
        <v>3</v>
      </c>
      <c r="F5" s="418">
        <v>4</v>
      </c>
      <c r="G5" s="418">
        <v>5</v>
      </c>
      <c r="H5" s="418">
        <v>6</v>
      </c>
    </row>
    <row r="6" spans="3:8" ht="70.2" hidden="1" customHeight="1">
      <c r="C6" s="411" t="s">
        <v>988</v>
      </c>
      <c r="D6" s="411" t="s">
        <v>2182</v>
      </c>
      <c r="E6" s="411" t="s">
        <v>1003</v>
      </c>
      <c r="F6" s="2419" t="s">
        <v>1004</v>
      </c>
      <c r="G6" s="2419"/>
      <c r="H6" s="2419"/>
    </row>
    <row r="7" spans="3:8" ht="34.950000000000003" hidden="1" customHeight="1">
      <c r="C7" s="411"/>
      <c r="D7" s="411"/>
      <c r="E7" s="411"/>
      <c r="F7" s="411">
        <v>2024</v>
      </c>
      <c r="G7" s="411">
        <v>2025</v>
      </c>
      <c r="H7" s="411">
        <v>2026</v>
      </c>
    </row>
    <row r="8" spans="3:8" ht="12.6" hidden="1" customHeight="1">
      <c r="C8" s="412">
        <v>1</v>
      </c>
      <c r="D8" s="412">
        <v>2</v>
      </c>
      <c r="E8" s="412">
        <v>3</v>
      </c>
      <c r="F8" s="412">
        <v>4</v>
      </c>
      <c r="G8" s="412">
        <v>5</v>
      </c>
      <c r="H8" s="412">
        <v>6</v>
      </c>
    </row>
    <row r="9" spans="3:8" ht="34.950000000000003" customHeight="1">
      <c r="C9" s="2411" t="s">
        <v>2183</v>
      </c>
      <c r="D9" s="2411"/>
      <c r="E9" s="2411"/>
      <c r="F9" s="2411"/>
      <c r="G9" s="2411"/>
      <c r="H9" s="2411"/>
    </row>
    <row r="10" spans="3:8" ht="34.950000000000003" customHeight="1">
      <c r="C10" s="2416"/>
      <c r="D10" s="2418" t="s">
        <v>3514</v>
      </c>
      <c r="E10" s="413" t="s">
        <v>1006</v>
      </c>
      <c r="F10" s="412">
        <v>675</v>
      </c>
      <c r="G10" s="412">
        <v>680</v>
      </c>
      <c r="H10" s="412">
        <v>700</v>
      </c>
    </row>
    <row r="11" spans="3:8" ht="61.5" customHeight="1">
      <c r="C11" s="2416"/>
      <c r="D11" s="2418"/>
      <c r="E11" s="413" t="s">
        <v>1007</v>
      </c>
      <c r="F11" s="412" t="s">
        <v>1008</v>
      </c>
      <c r="G11" s="412" t="s">
        <v>2181</v>
      </c>
      <c r="H11" s="412" t="s">
        <v>3113</v>
      </c>
    </row>
    <row r="12" spans="3:8" ht="34.950000000000003" customHeight="1">
      <c r="C12" s="2416"/>
      <c r="D12" s="2418"/>
      <c r="E12" s="413" t="s">
        <v>1010</v>
      </c>
      <c r="F12" s="412">
        <v>320</v>
      </c>
      <c r="G12" s="412">
        <v>340</v>
      </c>
      <c r="H12" s="412">
        <v>350</v>
      </c>
    </row>
    <row r="13" spans="3:8" ht="34.950000000000003" customHeight="1">
      <c r="C13" s="2416"/>
      <c r="D13" s="2418"/>
      <c r="E13" s="413" t="s">
        <v>1011</v>
      </c>
      <c r="F13" s="412">
        <v>10</v>
      </c>
      <c r="G13" s="412">
        <v>11</v>
      </c>
      <c r="H13" s="412">
        <v>12</v>
      </c>
    </row>
    <row r="14" spans="3:8" ht="34.950000000000003" customHeight="1">
      <c r="C14" s="2416"/>
      <c r="D14" s="2418"/>
      <c r="E14" s="413" t="s">
        <v>1012</v>
      </c>
      <c r="F14" s="412">
        <v>12</v>
      </c>
      <c r="G14" s="412">
        <v>13</v>
      </c>
      <c r="H14" s="412">
        <v>14</v>
      </c>
    </row>
    <row r="15" spans="3:8" ht="34.950000000000003" customHeight="1">
      <c r="C15" s="2416"/>
      <c r="D15" s="2418"/>
      <c r="E15" s="413" t="s">
        <v>1013</v>
      </c>
      <c r="F15" s="412">
        <v>0</v>
      </c>
      <c r="G15" s="412">
        <v>1</v>
      </c>
      <c r="H15" s="412">
        <v>1</v>
      </c>
    </row>
    <row r="16" spans="3:8" ht="34.950000000000003" customHeight="1">
      <c r="C16" s="2416"/>
      <c r="D16" s="2418"/>
      <c r="E16" s="413" t="s">
        <v>1014</v>
      </c>
      <c r="F16" s="412" t="s">
        <v>1015</v>
      </c>
      <c r="G16" s="412" t="s">
        <v>1016</v>
      </c>
      <c r="H16" s="412" t="s">
        <v>1017</v>
      </c>
    </row>
    <row r="17" spans="3:8" ht="34.950000000000003" customHeight="1">
      <c r="C17" s="2416"/>
      <c r="D17" s="2418"/>
      <c r="E17" s="413" t="s">
        <v>1018</v>
      </c>
      <c r="F17" s="412" t="s">
        <v>3114</v>
      </c>
      <c r="G17" s="412" t="s">
        <v>1015</v>
      </c>
      <c r="H17" s="412" t="s">
        <v>1016</v>
      </c>
    </row>
    <row r="18" spans="3:8" ht="34.950000000000003" customHeight="1">
      <c r="C18" s="2416"/>
      <c r="D18" s="2418"/>
      <c r="E18" s="413" t="s">
        <v>1020</v>
      </c>
      <c r="F18" s="412">
        <v>1</v>
      </c>
      <c r="G18" s="412">
        <v>1</v>
      </c>
      <c r="H18" s="412">
        <v>1</v>
      </c>
    </row>
    <row r="19" spans="3:8" ht="34.950000000000003" customHeight="1">
      <c r="C19" s="2416"/>
      <c r="D19" s="2418"/>
      <c r="E19" s="413" t="s">
        <v>1021</v>
      </c>
      <c r="F19" s="412" t="s">
        <v>1022</v>
      </c>
      <c r="G19" s="412" t="s">
        <v>1022</v>
      </c>
      <c r="H19" s="412" t="s">
        <v>1023</v>
      </c>
    </row>
    <row r="20" spans="3:8" ht="34.950000000000003" customHeight="1">
      <c r="C20" s="2416"/>
      <c r="D20" s="2418"/>
      <c r="E20" s="413" t="s">
        <v>1024</v>
      </c>
      <c r="F20" s="412">
        <v>45</v>
      </c>
      <c r="G20" s="412">
        <v>50</v>
      </c>
      <c r="H20" s="412">
        <v>50</v>
      </c>
    </row>
    <row r="21" spans="3:8" ht="34.950000000000003" customHeight="1">
      <c r="C21" s="2416"/>
      <c r="D21" s="2418"/>
      <c r="E21" s="413" t="s">
        <v>1025</v>
      </c>
      <c r="F21" s="412">
        <v>34</v>
      </c>
      <c r="G21" s="412">
        <v>40</v>
      </c>
      <c r="H21" s="412">
        <v>45</v>
      </c>
    </row>
    <row r="22" spans="3:8" ht="18.75" customHeight="1">
      <c r="C22" s="2420"/>
      <c r="D22" s="2420"/>
      <c r="E22" s="2420"/>
      <c r="F22" s="2420"/>
      <c r="G22" s="2420"/>
      <c r="H22" s="2420"/>
    </row>
    <row r="23" spans="3:8" ht="34.950000000000003" customHeight="1">
      <c r="C23" s="2417"/>
      <c r="D23" s="2418" t="s">
        <v>3516</v>
      </c>
      <c r="E23" s="413" t="s">
        <v>1026</v>
      </c>
      <c r="F23" s="412">
        <v>60</v>
      </c>
      <c r="G23" s="412">
        <v>80</v>
      </c>
      <c r="H23" s="412">
        <v>100</v>
      </c>
    </row>
    <row r="24" spans="3:8" ht="54.6" customHeight="1">
      <c r="C24" s="2417"/>
      <c r="D24" s="2418"/>
      <c r="E24" s="413" t="s">
        <v>1007</v>
      </c>
      <c r="F24" s="412" t="s">
        <v>2181</v>
      </c>
      <c r="G24" s="412" t="s">
        <v>3850</v>
      </c>
      <c r="H24" s="412" t="s">
        <v>3851</v>
      </c>
    </row>
    <row r="25" spans="3:8" ht="34.950000000000003" customHeight="1">
      <c r="C25" s="2417"/>
      <c r="D25" s="2418"/>
      <c r="E25" s="413" t="s">
        <v>1026</v>
      </c>
      <c r="F25" s="412">
        <v>50</v>
      </c>
      <c r="G25" s="412">
        <v>50</v>
      </c>
      <c r="H25" s="412">
        <v>60</v>
      </c>
    </row>
    <row r="26" spans="3:8" ht="34.950000000000003" customHeight="1">
      <c r="C26" s="2417"/>
      <c r="D26" s="2418"/>
      <c r="E26" s="413" t="s">
        <v>3307</v>
      </c>
      <c r="F26" s="412">
        <v>1</v>
      </c>
      <c r="G26" s="412">
        <v>2</v>
      </c>
      <c r="H26" s="412">
        <v>2</v>
      </c>
    </row>
    <row r="27" spans="3:8" ht="34.950000000000003" customHeight="1">
      <c r="C27" s="2417"/>
      <c r="D27" s="2418"/>
      <c r="E27" s="413" t="s">
        <v>3308</v>
      </c>
      <c r="F27" s="412">
        <v>3</v>
      </c>
      <c r="G27" s="412">
        <v>4</v>
      </c>
      <c r="H27" s="412">
        <v>4</v>
      </c>
    </row>
    <row r="28" spans="3:8" ht="34.950000000000003" customHeight="1">
      <c r="C28" s="2417"/>
      <c r="D28" s="2418"/>
      <c r="E28" s="413" t="s">
        <v>1027</v>
      </c>
      <c r="F28" s="412">
        <v>9</v>
      </c>
      <c r="G28" s="412">
        <v>9</v>
      </c>
      <c r="H28" s="412">
        <v>10</v>
      </c>
    </row>
    <row r="29" spans="3:8" ht="34.950000000000003" customHeight="1">
      <c r="C29" s="2417"/>
      <c r="D29" s="2418"/>
      <c r="E29" s="413" t="s">
        <v>1012</v>
      </c>
      <c r="F29" s="412">
        <v>1</v>
      </c>
      <c r="G29" s="412">
        <v>1</v>
      </c>
      <c r="H29" s="412">
        <v>2</v>
      </c>
    </row>
    <row r="30" spans="3:8" ht="34.950000000000003" customHeight="1">
      <c r="C30" s="2417"/>
      <c r="D30" s="2418"/>
      <c r="E30" s="413" t="s">
        <v>1013</v>
      </c>
      <c r="F30" s="412">
        <v>3</v>
      </c>
      <c r="G30" s="412">
        <v>3</v>
      </c>
      <c r="H30" s="412">
        <v>3</v>
      </c>
    </row>
    <row r="31" spans="3:8" ht="34.950000000000003" customHeight="1">
      <c r="C31" s="2417"/>
      <c r="D31" s="2418"/>
      <c r="E31" s="413" t="s">
        <v>1014</v>
      </c>
      <c r="F31" s="412" t="s">
        <v>1028</v>
      </c>
      <c r="G31" s="412" t="s">
        <v>1029</v>
      </c>
      <c r="H31" s="412" t="s">
        <v>3309</v>
      </c>
    </row>
    <row r="32" spans="3:8" ht="34.950000000000003" customHeight="1">
      <c r="C32" s="2417"/>
      <c r="D32" s="2418"/>
      <c r="E32" s="413" t="s">
        <v>1018</v>
      </c>
      <c r="F32" s="412" t="s">
        <v>1040</v>
      </c>
      <c r="G32" s="412" t="s">
        <v>1040</v>
      </c>
      <c r="H32" s="412" t="s">
        <v>1040</v>
      </c>
    </row>
    <row r="33" spans="3:8" ht="34.950000000000003" customHeight="1">
      <c r="C33" s="2417"/>
      <c r="D33" s="2418"/>
      <c r="E33" s="413" t="s">
        <v>1020</v>
      </c>
      <c r="F33" s="412">
        <v>4</v>
      </c>
      <c r="G33" s="412">
        <v>4</v>
      </c>
      <c r="H33" s="412">
        <v>5</v>
      </c>
    </row>
    <row r="34" spans="3:8" ht="34.950000000000003" customHeight="1">
      <c r="C34" s="2417"/>
      <c r="D34" s="2418"/>
      <c r="E34" s="413" t="s">
        <v>1021</v>
      </c>
      <c r="F34" s="412" t="s">
        <v>1031</v>
      </c>
      <c r="G34" s="412" t="s">
        <v>1032</v>
      </c>
      <c r="H34" s="412" t="s">
        <v>1033</v>
      </c>
    </row>
    <row r="35" spans="3:8" ht="34.950000000000003" customHeight="1">
      <c r="C35" s="2417"/>
      <c r="D35" s="2418"/>
      <c r="E35" s="413" t="s">
        <v>1024</v>
      </c>
      <c r="F35" s="412">
        <v>30</v>
      </c>
      <c r="G35" s="412">
        <v>40</v>
      </c>
      <c r="H35" s="412">
        <v>50</v>
      </c>
    </row>
    <row r="36" spans="3:8" ht="34.950000000000003" customHeight="1">
      <c r="C36" s="2417"/>
      <c r="D36" s="2418"/>
      <c r="E36" s="413" t="s">
        <v>3310</v>
      </c>
      <c r="F36" s="412">
        <v>0</v>
      </c>
      <c r="G36" s="412">
        <v>1</v>
      </c>
      <c r="H36" s="412">
        <v>1</v>
      </c>
    </row>
    <row r="37" spans="3:8" ht="34.950000000000003" customHeight="1">
      <c r="C37" s="2417"/>
      <c r="D37" s="2418"/>
      <c r="E37" s="413" t="s">
        <v>3311</v>
      </c>
      <c r="F37" s="412">
        <v>0</v>
      </c>
      <c r="G37" s="412">
        <v>0</v>
      </c>
      <c r="H37" s="412">
        <v>1</v>
      </c>
    </row>
    <row r="38" spans="3:8" ht="20.25" customHeight="1">
      <c r="C38" s="2420"/>
      <c r="D38" s="2420"/>
      <c r="E38" s="2420"/>
      <c r="F38" s="2420"/>
      <c r="G38" s="2420"/>
      <c r="H38" s="2420"/>
    </row>
    <row r="39" spans="3:8" ht="34.950000000000003" customHeight="1">
      <c r="C39" s="2416"/>
      <c r="D39" s="2418" t="s">
        <v>2184</v>
      </c>
      <c r="E39" s="413" t="s">
        <v>1026</v>
      </c>
      <c r="F39" s="412">
        <v>50</v>
      </c>
      <c r="G39" s="412">
        <v>55</v>
      </c>
      <c r="H39" s="412" t="s">
        <v>1035</v>
      </c>
    </row>
    <row r="40" spans="3:8" ht="34.950000000000003" hidden="1" customHeight="1">
      <c r="C40" s="2416"/>
      <c r="D40" s="2418"/>
      <c r="E40" s="413" t="s">
        <v>1007</v>
      </c>
      <c r="F40" s="412" t="s">
        <v>1036</v>
      </c>
      <c r="G40" s="412" t="s">
        <v>1009</v>
      </c>
      <c r="H40" s="412" t="s">
        <v>1009</v>
      </c>
    </row>
    <row r="41" spans="3:8" ht="34.950000000000003" customHeight="1">
      <c r="C41" s="2416"/>
      <c r="D41" s="2418"/>
      <c r="E41" s="413" t="s">
        <v>1037</v>
      </c>
      <c r="F41" s="412">
        <v>50</v>
      </c>
      <c r="G41" s="412" t="s">
        <v>1038</v>
      </c>
      <c r="H41" s="412">
        <v>70</v>
      </c>
    </row>
    <row r="42" spans="3:8" ht="34.950000000000003" customHeight="1">
      <c r="C42" s="2416"/>
      <c r="D42" s="2418"/>
      <c r="E42" s="413" t="s">
        <v>1027</v>
      </c>
      <c r="F42" s="412">
        <v>0</v>
      </c>
      <c r="G42" s="412">
        <v>2</v>
      </c>
      <c r="H42" s="412">
        <v>2</v>
      </c>
    </row>
    <row r="43" spans="3:8" ht="34.950000000000003" customHeight="1">
      <c r="C43" s="2416"/>
      <c r="D43" s="2418"/>
      <c r="E43" s="413" t="s">
        <v>1012</v>
      </c>
      <c r="F43" s="412">
        <v>0</v>
      </c>
      <c r="G43" s="412">
        <v>1</v>
      </c>
      <c r="H43" s="412">
        <v>3</v>
      </c>
    </row>
    <row r="44" spans="3:8" ht="34.950000000000003" customHeight="1">
      <c r="C44" s="2416"/>
      <c r="D44" s="2418"/>
      <c r="E44" s="413" t="s">
        <v>1012</v>
      </c>
      <c r="F44" s="412">
        <v>0</v>
      </c>
      <c r="G44" s="412">
        <v>1</v>
      </c>
      <c r="H44" s="412">
        <v>1</v>
      </c>
    </row>
    <row r="45" spans="3:8" ht="34.950000000000003" customHeight="1">
      <c r="C45" s="2416"/>
      <c r="D45" s="2418"/>
      <c r="E45" s="413" t="s">
        <v>1013</v>
      </c>
      <c r="F45" s="412">
        <v>0</v>
      </c>
      <c r="G45" s="412">
        <v>0</v>
      </c>
      <c r="H45" s="412">
        <v>1</v>
      </c>
    </row>
    <row r="46" spans="3:8" ht="34.950000000000003" customHeight="1">
      <c r="C46" s="2416"/>
      <c r="D46" s="2418"/>
      <c r="E46" s="413" t="s">
        <v>1014</v>
      </c>
      <c r="F46" s="412">
        <v>0</v>
      </c>
      <c r="G46" s="412">
        <v>10</v>
      </c>
      <c r="H46" s="412">
        <v>15</v>
      </c>
    </row>
    <row r="47" spans="3:8" ht="34.950000000000003" customHeight="1">
      <c r="C47" s="2416"/>
      <c r="D47" s="2418"/>
      <c r="E47" s="413" t="s">
        <v>1018</v>
      </c>
      <c r="F47" s="412">
        <v>0</v>
      </c>
      <c r="G47" s="412">
        <v>10</v>
      </c>
      <c r="H47" s="412">
        <v>15</v>
      </c>
    </row>
    <row r="48" spans="3:8" ht="34.950000000000003" customHeight="1">
      <c r="C48" s="2416"/>
      <c r="D48" s="2418"/>
      <c r="E48" s="413" t="s">
        <v>1020</v>
      </c>
      <c r="F48" s="412">
        <v>0</v>
      </c>
      <c r="G48" s="412">
        <v>2</v>
      </c>
      <c r="H48" s="412">
        <v>3</v>
      </c>
    </row>
    <row r="49" spans="3:8" ht="34.950000000000003" customHeight="1">
      <c r="C49" s="2416"/>
      <c r="D49" s="2418"/>
      <c r="E49" s="413" t="s">
        <v>1021</v>
      </c>
      <c r="F49" s="412">
        <v>0</v>
      </c>
      <c r="G49" s="412" t="s">
        <v>1033</v>
      </c>
      <c r="H49" s="412" t="s">
        <v>1033</v>
      </c>
    </row>
    <row r="50" spans="3:8" ht="34.950000000000003" customHeight="1">
      <c r="C50" s="2416"/>
      <c r="D50" s="2418"/>
      <c r="E50" s="413" t="s">
        <v>1024</v>
      </c>
      <c r="F50" s="412">
        <v>0</v>
      </c>
      <c r="G50" s="412">
        <v>12</v>
      </c>
      <c r="H50" s="412">
        <v>24</v>
      </c>
    </row>
    <row r="51" spans="3:8" ht="28.5" customHeight="1">
      <c r="C51" s="2413"/>
      <c r="D51" s="2413"/>
      <c r="E51" s="2413"/>
      <c r="F51" s="2413"/>
      <c r="G51" s="2413"/>
      <c r="H51" s="2413"/>
    </row>
    <row r="52" spans="3:8" ht="34.950000000000003" customHeight="1">
      <c r="C52" s="2417"/>
      <c r="D52" s="2418" t="s">
        <v>3849</v>
      </c>
      <c r="E52" s="413" t="s">
        <v>1006</v>
      </c>
      <c r="F52" s="412">
        <v>350</v>
      </c>
      <c r="G52" s="412">
        <v>400</v>
      </c>
      <c r="H52" s="412">
        <v>420</v>
      </c>
    </row>
    <row r="53" spans="3:8" ht="54.6" customHeight="1">
      <c r="C53" s="2417"/>
      <c r="D53" s="2418"/>
      <c r="E53" s="413" t="s">
        <v>1007</v>
      </c>
      <c r="F53" s="412" t="s">
        <v>2181</v>
      </c>
      <c r="G53" s="412" t="s">
        <v>3850</v>
      </c>
      <c r="H53" s="412" t="s">
        <v>3851</v>
      </c>
    </row>
    <row r="54" spans="3:8" ht="34.950000000000003" customHeight="1">
      <c r="C54" s="2417"/>
      <c r="D54" s="2418"/>
      <c r="E54" s="413" t="s">
        <v>1034</v>
      </c>
      <c r="F54" s="412">
        <v>9</v>
      </c>
      <c r="G54" s="412">
        <v>10</v>
      </c>
      <c r="H54" s="412">
        <v>11</v>
      </c>
    </row>
    <row r="55" spans="3:8" ht="34.950000000000003" customHeight="1">
      <c r="C55" s="2417"/>
      <c r="D55" s="2418"/>
      <c r="E55" s="413" t="s">
        <v>1027</v>
      </c>
      <c r="F55" s="412">
        <v>4</v>
      </c>
      <c r="G55" s="412">
        <v>4</v>
      </c>
      <c r="H55" s="412">
        <v>4</v>
      </c>
    </row>
    <row r="56" spans="3:8" ht="34.950000000000003" customHeight="1">
      <c r="C56" s="2417"/>
      <c r="D56" s="2418"/>
      <c r="E56" s="413" t="s">
        <v>1012</v>
      </c>
      <c r="F56" s="412">
        <v>1</v>
      </c>
      <c r="G56" s="412">
        <v>1</v>
      </c>
      <c r="H56" s="412">
        <v>1</v>
      </c>
    </row>
    <row r="57" spans="3:8" ht="34.950000000000003" customHeight="1">
      <c r="C57" s="2417"/>
      <c r="D57" s="2418"/>
      <c r="E57" s="413" t="s">
        <v>1039</v>
      </c>
      <c r="F57" s="412">
        <v>1</v>
      </c>
      <c r="G57" s="412">
        <v>1</v>
      </c>
      <c r="H57" s="412">
        <v>1</v>
      </c>
    </row>
    <row r="58" spans="3:8" ht="34.950000000000003" customHeight="1">
      <c r="C58" s="2417"/>
      <c r="D58" s="2418"/>
      <c r="E58" s="413" t="s">
        <v>1014</v>
      </c>
      <c r="F58" s="412" t="s">
        <v>1029</v>
      </c>
      <c r="G58" s="412" t="s">
        <v>1029</v>
      </c>
      <c r="H58" s="412" t="s">
        <v>1029</v>
      </c>
    </row>
    <row r="59" spans="3:8" ht="34.950000000000003" customHeight="1">
      <c r="C59" s="2417"/>
      <c r="D59" s="2418"/>
      <c r="E59" s="413" t="s">
        <v>1018</v>
      </c>
      <c r="F59" s="412" t="s">
        <v>1030</v>
      </c>
      <c r="G59" s="412" t="s">
        <v>1030</v>
      </c>
      <c r="H59" s="412" t="s">
        <v>3421</v>
      </c>
    </row>
    <row r="60" spans="3:8" ht="34.950000000000003" customHeight="1">
      <c r="C60" s="2417"/>
      <c r="D60" s="2418"/>
      <c r="E60" s="413" t="s">
        <v>1020</v>
      </c>
      <c r="F60" s="412">
        <v>1</v>
      </c>
      <c r="G60" s="412">
        <v>1</v>
      </c>
      <c r="H60" s="412">
        <v>1</v>
      </c>
    </row>
    <row r="61" spans="3:8" ht="34.950000000000003" customHeight="1">
      <c r="C61" s="2417"/>
      <c r="D61" s="2418"/>
      <c r="E61" s="413" t="s">
        <v>1021</v>
      </c>
      <c r="F61" s="412" t="s">
        <v>1033</v>
      </c>
      <c r="G61" s="412" t="s">
        <v>1023</v>
      </c>
      <c r="H61" s="412" t="s">
        <v>1033</v>
      </c>
    </row>
    <row r="62" spans="3:8" ht="34.950000000000003" customHeight="1">
      <c r="C62" s="2417"/>
      <c r="D62" s="2418"/>
      <c r="E62" s="413" t="s">
        <v>1024</v>
      </c>
      <c r="F62" s="412">
        <v>40</v>
      </c>
      <c r="G62" s="412">
        <v>40</v>
      </c>
      <c r="H62" s="412">
        <v>40</v>
      </c>
    </row>
    <row r="63" spans="3:8" ht="25.5" customHeight="1">
      <c r="C63" s="2413"/>
      <c r="D63" s="2413"/>
      <c r="E63" s="2413"/>
      <c r="F63" s="2413"/>
      <c r="G63" s="2413"/>
      <c r="H63" s="2413"/>
    </row>
    <row r="64" spans="3:8" ht="34.950000000000003" customHeight="1">
      <c r="C64" s="2417"/>
      <c r="D64" s="2418" t="s">
        <v>3512</v>
      </c>
      <c r="E64" s="413" t="s">
        <v>3082</v>
      </c>
      <c r="F64" s="412">
        <v>360</v>
      </c>
      <c r="G64" s="412">
        <v>370</v>
      </c>
      <c r="H64" s="412">
        <v>370</v>
      </c>
    </row>
    <row r="65" spans="3:8" ht="34.950000000000003" customHeight="1">
      <c r="C65" s="2417"/>
      <c r="D65" s="2418"/>
      <c r="E65" s="413" t="s">
        <v>3083</v>
      </c>
      <c r="F65" s="412">
        <v>100</v>
      </c>
      <c r="G65" s="412">
        <v>100</v>
      </c>
      <c r="H65" s="412">
        <v>100</v>
      </c>
    </row>
    <row r="66" spans="3:8" ht="34.950000000000003" customHeight="1">
      <c r="C66" s="2417"/>
      <c r="D66" s="2418"/>
      <c r="E66" s="413" t="s">
        <v>1041</v>
      </c>
      <c r="F66" s="412">
        <v>5</v>
      </c>
      <c r="G66" s="412">
        <v>5</v>
      </c>
      <c r="H66" s="412">
        <v>6</v>
      </c>
    </row>
    <row r="67" spans="3:8" ht="34.950000000000003" customHeight="1">
      <c r="C67" s="2417"/>
      <c r="D67" s="2418"/>
      <c r="E67" s="413" t="s">
        <v>3084</v>
      </c>
      <c r="F67" s="412">
        <v>6</v>
      </c>
      <c r="G67" s="412">
        <v>6</v>
      </c>
      <c r="H67" s="412">
        <v>7</v>
      </c>
    </row>
    <row r="68" spans="3:8" ht="34.950000000000003" customHeight="1">
      <c r="C68" s="2417"/>
      <c r="D68" s="2418"/>
      <c r="E68" s="413" t="s">
        <v>3085</v>
      </c>
      <c r="F68" s="412">
        <v>90</v>
      </c>
      <c r="G68" s="412">
        <v>90</v>
      </c>
      <c r="H68" s="412">
        <v>105</v>
      </c>
    </row>
    <row r="69" spans="3:8" ht="34.950000000000003" customHeight="1">
      <c r="C69" s="2417"/>
      <c r="D69" s="2418"/>
      <c r="E69" s="413" t="s">
        <v>3086</v>
      </c>
      <c r="F69" s="412">
        <v>18</v>
      </c>
      <c r="G69" s="412">
        <v>18</v>
      </c>
      <c r="H69" s="412">
        <v>19</v>
      </c>
    </row>
    <row r="70" spans="3:8" ht="42" customHeight="1">
      <c r="C70" s="2417"/>
      <c r="D70" s="2418"/>
      <c r="E70" s="413" t="s">
        <v>3087</v>
      </c>
      <c r="F70" s="412">
        <v>4</v>
      </c>
      <c r="G70" s="412">
        <v>5</v>
      </c>
      <c r="H70" s="412">
        <v>5</v>
      </c>
    </row>
    <row r="71" spans="3:8" ht="41.25" customHeight="1">
      <c r="C71" s="2417"/>
      <c r="D71" s="2418"/>
      <c r="E71" s="413" t="s">
        <v>3088</v>
      </c>
      <c r="F71" s="412">
        <v>3</v>
      </c>
      <c r="G71" s="412">
        <v>3</v>
      </c>
      <c r="H71" s="412">
        <v>3</v>
      </c>
    </row>
    <row r="72" spans="3:8" ht="64.5" customHeight="1">
      <c r="C72" s="2417"/>
      <c r="D72" s="2418"/>
      <c r="E72" s="413" t="s">
        <v>3089</v>
      </c>
      <c r="F72" s="1537" t="s">
        <v>3090</v>
      </c>
      <c r="G72" s="412" t="s">
        <v>3090</v>
      </c>
      <c r="H72" s="412" t="s">
        <v>3091</v>
      </c>
    </row>
    <row r="73" spans="3:8" ht="34.950000000000003" customHeight="1">
      <c r="C73" s="2417"/>
      <c r="D73" s="2418"/>
      <c r="E73" s="413" t="s">
        <v>1018</v>
      </c>
      <c r="F73" s="412">
        <v>23</v>
      </c>
      <c r="G73" s="412">
        <v>23</v>
      </c>
      <c r="H73" s="412">
        <v>24</v>
      </c>
    </row>
    <row r="74" spans="3:8" ht="34.950000000000003" customHeight="1">
      <c r="C74" s="2417"/>
      <c r="D74" s="2418"/>
      <c r="E74" s="413" t="s">
        <v>1021</v>
      </c>
      <c r="F74" s="412">
        <v>100</v>
      </c>
      <c r="G74" s="412">
        <v>100</v>
      </c>
      <c r="H74" s="412">
        <v>100</v>
      </c>
    </row>
    <row r="75" spans="3:8" ht="34.950000000000003" customHeight="1">
      <c r="C75" s="2417"/>
      <c r="D75" s="2418"/>
      <c r="E75" s="413" t="s">
        <v>3092</v>
      </c>
      <c r="F75" s="412">
        <v>80</v>
      </c>
      <c r="G75" s="412">
        <v>90</v>
      </c>
      <c r="H75" s="412">
        <v>90</v>
      </c>
    </row>
    <row r="76" spans="3:8" ht="41.25" customHeight="1">
      <c r="C76" s="2417"/>
      <c r="D76" s="2418"/>
      <c r="E76" s="413" t="s">
        <v>3093</v>
      </c>
      <c r="F76" s="412">
        <v>5</v>
      </c>
      <c r="G76" s="412">
        <v>5</v>
      </c>
      <c r="H76" s="412">
        <v>6</v>
      </c>
    </row>
    <row r="77" spans="3:8" ht="28.5" customHeight="1">
      <c r="C77" s="2413"/>
      <c r="D77" s="2413"/>
      <c r="E77" s="2413"/>
      <c r="F77" s="2413"/>
      <c r="G77" s="2413"/>
      <c r="H77" s="2413"/>
    </row>
    <row r="78" spans="3:8" ht="27.75" customHeight="1">
      <c r="C78" s="2415"/>
      <c r="D78" s="2418" t="s">
        <v>3848</v>
      </c>
      <c r="E78" s="460" t="s">
        <v>1013</v>
      </c>
      <c r="F78" s="455">
        <v>1</v>
      </c>
      <c r="G78" s="455">
        <v>1</v>
      </c>
      <c r="H78" s="455">
        <v>1</v>
      </c>
    </row>
    <row r="79" spans="3:8" ht="34.950000000000003" customHeight="1">
      <c r="C79" s="2415"/>
      <c r="D79" s="2418"/>
      <c r="E79" s="413" t="s">
        <v>1014</v>
      </c>
      <c r="F79" s="412" t="s">
        <v>1042</v>
      </c>
      <c r="G79" s="412" t="s">
        <v>1042</v>
      </c>
      <c r="H79" s="412" t="s">
        <v>1019</v>
      </c>
    </row>
    <row r="80" spans="3:8" ht="34.950000000000003" customHeight="1">
      <c r="C80" s="2415"/>
      <c r="D80" s="2418"/>
      <c r="E80" s="413" t="s">
        <v>1018</v>
      </c>
      <c r="F80" s="412" t="s">
        <v>1043</v>
      </c>
      <c r="G80" s="412" t="s">
        <v>1043</v>
      </c>
      <c r="H80" s="412" t="s">
        <v>1044</v>
      </c>
    </row>
    <row r="81" spans="3:8" ht="34.950000000000003" customHeight="1">
      <c r="C81" s="2415"/>
      <c r="D81" s="2418"/>
      <c r="E81" s="413" t="s">
        <v>1020</v>
      </c>
      <c r="F81" s="412">
        <v>1</v>
      </c>
      <c r="G81" s="412">
        <v>1</v>
      </c>
      <c r="H81" s="412">
        <v>3</v>
      </c>
    </row>
    <row r="82" spans="3:8" ht="34.950000000000003" customHeight="1">
      <c r="C82" s="2415"/>
      <c r="D82" s="2418"/>
      <c r="E82" s="413" t="s">
        <v>1021</v>
      </c>
      <c r="F82" s="412" t="s">
        <v>1033</v>
      </c>
      <c r="G82" s="412" t="s">
        <v>1023</v>
      </c>
      <c r="H82" s="412" t="s">
        <v>1023</v>
      </c>
    </row>
    <row r="83" spans="3:8" ht="34.950000000000003" customHeight="1">
      <c r="C83" s="2415"/>
      <c r="D83" s="2418"/>
      <c r="E83" s="413" t="s">
        <v>1024</v>
      </c>
      <c r="F83" s="412">
        <v>10</v>
      </c>
      <c r="G83" s="412">
        <v>10</v>
      </c>
      <c r="H83" s="412">
        <v>36</v>
      </c>
    </row>
    <row r="84" spans="3:8" ht="34.950000000000003" customHeight="1">
      <c r="C84" s="2415"/>
      <c r="D84" s="2418"/>
      <c r="E84" s="413" t="s">
        <v>1045</v>
      </c>
      <c r="F84" s="412">
        <v>4</v>
      </c>
      <c r="G84" s="412">
        <v>4</v>
      </c>
      <c r="H84" s="412">
        <v>12</v>
      </c>
    </row>
    <row r="85" spans="3:8" ht="34.950000000000003" customHeight="1">
      <c r="C85" s="2415"/>
      <c r="D85" s="2418"/>
      <c r="E85" s="413" t="s">
        <v>1027</v>
      </c>
      <c r="F85" s="412">
        <v>4</v>
      </c>
      <c r="G85" s="412">
        <v>4</v>
      </c>
      <c r="H85" s="412">
        <v>10</v>
      </c>
    </row>
    <row r="86" spans="3:8" ht="24.75" customHeight="1">
      <c r="C86" s="2413"/>
      <c r="D86" s="2413"/>
      <c r="E86" s="2413"/>
      <c r="F86" s="2413"/>
      <c r="G86" s="2413"/>
      <c r="H86" s="2413"/>
    </row>
    <row r="87" spans="3:8" ht="34.950000000000003" customHeight="1">
      <c r="C87" s="2402"/>
      <c r="D87" s="2399" t="s">
        <v>3847</v>
      </c>
      <c r="E87" s="413" t="s">
        <v>3094</v>
      </c>
      <c r="F87" s="412">
        <v>4</v>
      </c>
      <c r="G87" s="412">
        <v>5</v>
      </c>
      <c r="H87" s="412">
        <v>5</v>
      </c>
    </row>
    <row r="88" spans="3:8" ht="34.950000000000003" customHeight="1">
      <c r="C88" s="2403"/>
      <c r="D88" s="2400"/>
      <c r="E88" s="413" t="s">
        <v>3095</v>
      </c>
      <c r="F88" s="412" t="s">
        <v>3096</v>
      </c>
      <c r="G88" s="412" t="s">
        <v>3097</v>
      </c>
      <c r="H88" s="412" t="s">
        <v>3098</v>
      </c>
    </row>
    <row r="89" spans="3:8" ht="49.5" customHeight="1">
      <c r="C89" s="2403"/>
      <c r="D89" s="2400"/>
      <c r="E89" s="413" t="s">
        <v>3099</v>
      </c>
      <c r="F89" s="412" t="s">
        <v>3100</v>
      </c>
      <c r="G89" s="412" t="s">
        <v>3101</v>
      </c>
      <c r="H89" s="412" t="s">
        <v>3102</v>
      </c>
    </row>
    <row r="90" spans="3:8" ht="34.950000000000003" customHeight="1">
      <c r="C90" s="2403"/>
      <c r="D90" s="2400"/>
      <c r="E90" s="413" t="s">
        <v>1024</v>
      </c>
      <c r="F90" s="412" t="s">
        <v>3103</v>
      </c>
      <c r="G90" s="412" t="s">
        <v>3104</v>
      </c>
      <c r="H90" s="412" t="s">
        <v>3105</v>
      </c>
    </row>
    <row r="91" spans="3:8" ht="34.950000000000003" customHeight="1">
      <c r="C91" s="2403"/>
      <c r="D91" s="2400"/>
      <c r="E91" s="413" t="s">
        <v>3106</v>
      </c>
      <c r="F91" s="412" t="s">
        <v>3100</v>
      </c>
      <c r="G91" s="412" t="s">
        <v>3100</v>
      </c>
      <c r="H91" s="412" t="s">
        <v>3100</v>
      </c>
    </row>
    <row r="92" spans="3:8" ht="57.75" customHeight="1">
      <c r="C92" s="2403"/>
      <c r="D92" s="2400"/>
      <c r="E92" s="413" t="s">
        <v>3107</v>
      </c>
      <c r="F92" s="412" t="s">
        <v>3108</v>
      </c>
      <c r="G92" s="412" t="s">
        <v>3108</v>
      </c>
      <c r="H92" s="412" t="s">
        <v>3108</v>
      </c>
    </row>
    <row r="93" spans="3:8" ht="45" customHeight="1">
      <c r="C93" s="2403"/>
      <c r="D93" s="2400"/>
      <c r="E93" s="413" t="s">
        <v>3109</v>
      </c>
      <c r="F93" s="412" t="s">
        <v>3100</v>
      </c>
      <c r="G93" s="412" t="s">
        <v>3100</v>
      </c>
      <c r="H93" s="412" t="s">
        <v>3100</v>
      </c>
    </row>
    <row r="94" spans="3:8" ht="56.25" customHeight="1">
      <c r="C94" s="2404"/>
      <c r="D94" s="2401"/>
      <c r="E94" s="413" t="s">
        <v>3110</v>
      </c>
      <c r="F94" s="412" t="s">
        <v>3100</v>
      </c>
      <c r="G94" s="412" t="s">
        <v>3100</v>
      </c>
      <c r="H94" s="412" t="s">
        <v>3100</v>
      </c>
    </row>
    <row r="95" spans="3:8" ht="24" customHeight="1">
      <c r="C95" s="2413"/>
      <c r="D95" s="2413"/>
      <c r="E95" s="2413"/>
      <c r="F95" s="2413"/>
      <c r="G95" s="2413"/>
      <c r="H95" s="2413"/>
    </row>
    <row r="96" spans="3:8" ht="34.950000000000003" customHeight="1">
      <c r="C96" s="2417"/>
      <c r="D96" s="2418" t="s">
        <v>1046</v>
      </c>
      <c r="E96" s="413" t="s">
        <v>3821</v>
      </c>
      <c r="F96" s="412">
        <v>100</v>
      </c>
      <c r="G96" s="412">
        <v>100</v>
      </c>
      <c r="H96" s="412">
        <v>100</v>
      </c>
    </row>
    <row r="97" spans="3:8" ht="34.950000000000003" customHeight="1">
      <c r="C97" s="2417"/>
      <c r="D97" s="2418"/>
      <c r="E97" s="413" t="s">
        <v>3822</v>
      </c>
      <c r="F97" s="412">
        <v>1</v>
      </c>
      <c r="G97" s="412">
        <v>1</v>
      </c>
      <c r="H97" s="412">
        <v>1</v>
      </c>
    </row>
    <row r="98" spans="3:8" ht="34.950000000000003" customHeight="1">
      <c r="C98" s="2417"/>
      <c r="D98" s="2418"/>
      <c r="E98" s="413" t="s">
        <v>3823</v>
      </c>
      <c r="F98" s="412">
        <v>0</v>
      </c>
      <c r="G98" s="412">
        <v>1</v>
      </c>
      <c r="H98" s="412">
        <v>0</v>
      </c>
    </row>
    <row r="99" spans="3:8" ht="34.950000000000003" customHeight="1">
      <c r="C99" s="2417"/>
      <c r="D99" s="2418"/>
      <c r="E99" s="413" t="s">
        <v>3824</v>
      </c>
      <c r="F99" s="412">
        <v>0</v>
      </c>
      <c r="G99" s="412">
        <v>0</v>
      </c>
      <c r="H99" s="412">
        <v>100</v>
      </c>
    </row>
    <row r="100" spans="3:8" ht="34.950000000000003" customHeight="1">
      <c r="C100" s="2417"/>
      <c r="D100" s="2418"/>
      <c r="E100" s="413" t="s">
        <v>3825</v>
      </c>
      <c r="F100" s="412">
        <v>0</v>
      </c>
      <c r="G100" s="412">
        <v>0</v>
      </c>
      <c r="H100" s="412">
        <v>0</v>
      </c>
    </row>
    <row r="101" spans="3:8" ht="34.950000000000003" customHeight="1">
      <c r="C101" s="2417"/>
      <c r="D101" s="2418"/>
      <c r="E101" s="413" t="s">
        <v>3826</v>
      </c>
      <c r="F101" s="412">
        <v>100</v>
      </c>
      <c r="G101" s="412">
        <v>100</v>
      </c>
      <c r="H101" s="412">
        <v>100</v>
      </c>
    </row>
    <row r="102" spans="3:8" ht="34.950000000000003" customHeight="1">
      <c r="C102" s="2417"/>
      <c r="D102" s="2418"/>
      <c r="E102" s="413" t="s">
        <v>3827</v>
      </c>
      <c r="F102" s="412">
        <v>1</v>
      </c>
      <c r="G102" s="412">
        <v>1</v>
      </c>
      <c r="H102" s="412">
        <v>1</v>
      </c>
    </row>
    <row r="103" spans="3:8" ht="34.950000000000003" customHeight="1">
      <c r="C103" s="2417"/>
      <c r="D103" s="2418"/>
      <c r="E103" s="413" t="s">
        <v>3828</v>
      </c>
      <c r="F103" s="412">
        <v>100</v>
      </c>
      <c r="G103" s="412">
        <v>100</v>
      </c>
      <c r="H103" s="412">
        <v>100</v>
      </c>
    </row>
    <row r="104" spans="3:8" ht="34.950000000000003" customHeight="1">
      <c r="C104" s="2417"/>
      <c r="D104" s="2418"/>
      <c r="E104" s="413" t="s">
        <v>3829</v>
      </c>
      <c r="F104" s="412">
        <v>0</v>
      </c>
      <c r="G104" s="412">
        <v>0</v>
      </c>
      <c r="H104" s="412">
        <v>0</v>
      </c>
    </row>
    <row r="105" spans="3:8" ht="34.950000000000003" customHeight="1">
      <c r="C105" s="2417"/>
      <c r="D105" s="2418"/>
      <c r="E105" s="413" t="s">
        <v>3830</v>
      </c>
      <c r="F105" s="412">
        <v>100</v>
      </c>
      <c r="G105" s="412">
        <v>100</v>
      </c>
      <c r="H105" s="412">
        <v>100</v>
      </c>
    </row>
    <row r="106" spans="3:8" ht="34.950000000000003" customHeight="1">
      <c r="C106" s="2417"/>
      <c r="D106" s="2418"/>
      <c r="E106" s="413" t="s">
        <v>3831</v>
      </c>
      <c r="F106" s="412">
        <v>242</v>
      </c>
      <c r="G106" s="412">
        <v>60</v>
      </c>
      <c r="H106" s="412">
        <v>48</v>
      </c>
    </row>
    <row r="107" spans="3:8" ht="34.950000000000003" customHeight="1">
      <c r="C107" s="2417"/>
      <c r="D107" s="2418"/>
      <c r="E107" s="413" t="s">
        <v>3832</v>
      </c>
      <c r="F107" s="412">
        <v>0</v>
      </c>
      <c r="G107" s="412">
        <v>0</v>
      </c>
      <c r="H107" s="412">
        <v>0</v>
      </c>
    </row>
    <row r="108" spans="3:8" ht="34.950000000000003" customHeight="1">
      <c r="C108" s="2417"/>
      <c r="D108" s="2418"/>
      <c r="E108" s="413" t="s">
        <v>3833</v>
      </c>
      <c r="F108" s="412">
        <v>0</v>
      </c>
      <c r="G108" s="412">
        <v>0</v>
      </c>
      <c r="H108" s="412">
        <v>1</v>
      </c>
    </row>
    <row r="109" spans="3:8" ht="34.950000000000003" customHeight="1">
      <c r="C109" s="2417"/>
      <c r="D109" s="2418"/>
      <c r="E109" s="413" t="s">
        <v>3834</v>
      </c>
      <c r="F109" s="412">
        <v>100</v>
      </c>
      <c r="G109" s="412">
        <v>100</v>
      </c>
      <c r="H109" s="412">
        <v>100</v>
      </c>
    </row>
    <row r="110" spans="3:8" ht="34.950000000000003" customHeight="1">
      <c r="C110" s="2417"/>
      <c r="D110" s="2418"/>
      <c r="E110" s="413" t="s">
        <v>3835</v>
      </c>
      <c r="F110" s="412">
        <v>150</v>
      </c>
      <c r="G110" s="412">
        <v>170</v>
      </c>
      <c r="H110" s="412">
        <v>170</v>
      </c>
    </row>
    <row r="111" spans="3:8" ht="34.950000000000003" customHeight="1">
      <c r="C111" s="2417"/>
      <c r="D111" s="2418"/>
      <c r="E111" s="413" t="s">
        <v>3836</v>
      </c>
      <c r="F111" s="412">
        <v>24</v>
      </c>
      <c r="G111" s="412">
        <v>30</v>
      </c>
      <c r="H111" s="412">
        <v>36</v>
      </c>
    </row>
    <row r="112" spans="3:8" ht="34.950000000000003" customHeight="1">
      <c r="C112" s="2417"/>
      <c r="D112" s="2418"/>
      <c r="E112" s="413" t="s">
        <v>3837</v>
      </c>
      <c r="F112" s="412">
        <v>1</v>
      </c>
      <c r="G112" s="412">
        <v>1</v>
      </c>
      <c r="H112" s="412">
        <v>1</v>
      </c>
    </row>
    <row r="113" spans="3:8" ht="34.950000000000003" customHeight="1">
      <c r="C113" s="2417"/>
      <c r="D113" s="2418"/>
      <c r="E113" s="413" t="s">
        <v>3838</v>
      </c>
      <c r="F113" s="412">
        <v>1</v>
      </c>
      <c r="G113" s="412">
        <v>1</v>
      </c>
      <c r="H113" s="412">
        <v>1</v>
      </c>
    </row>
    <row r="114" spans="3:8" ht="34.950000000000003" customHeight="1">
      <c r="C114" s="2417"/>
      <c r="D114" s="2418"/>
      <c r="E114" s="413" t="s">
        <v>3839</v>
      </c>
      <c r="F114" s="412">
        <v>258</v>
      </c>
      <c r="G114" s="412">
        <v>238</v>
      </c>
      <c r="H114" s="412">
        <v>218</v>
      </c>
    </row>
    <row r="115" spans="3:8" ht="34.950000000000003" customHeight="1">
      <c r="C115" s="2417"/>
      <c r="D115" s="2418"/>
      <c r="E115" s="413" t="s">
        <v>3840</v>
      </c>
      <c r="F115" s="412">
        <v>6</v>
      </c>
      <c r="G115" s="412">
        <v>8</v>
      </c>
      <c r="H115" s="412">
        <v>8</v>
      </c>
    </row>
    <row r="116" spans="3:8" ht="34.950000000000003" customHeight="1">
      <c r="C116" s="2417"/>
      <c r="D116" s="2418"/>
      <c r="E116" s="413" t="s">
        <v>3841</v>
      </c>
      <c r="F116" s="412">
        <v>6</v>
      </c>
      <c r="G116" s="412">
        <v>8</v>
      </c>
      <c r="H116" s="412">
        <v>8</v>
      </c>
    </row>
    <row r="117" spans="3:8" ht="34.950000000000003" customHeight="1">
      <c r="C117" s="2417"/>
      <c r="D117" s="2418"/>
      <c r="E117" s="413" t="s">
        <v>3842</v>
      </c>
      <c r="F117" s="412">
        <v>5</v>
      </c>
      <c r="G117" s="412">
        <v>8</v>
      </c>
      <c r="H117" s="412">
        <v>8</v>
      </c>
    </row>
    <row r="118" spans="3:8" ht="27" customHeight="1">
      <c r="C118" s="2413"/>
      <c r="D118" s="2413"/>
      <c r="E118" s="2413"/>
      <c r="F118" s="2413"/>
      <c r="G118" s="2413"/>
      <c r="H118" s="2413"/>
    </row>
    <row r="119" spans="3:8" ht="34.950000000000003" customHeight="1">
      <c r="C119" s="2402"/>
      <c r="D119" s="2399" t="s">
        <v>3843</v>
      </c>
      <c r="E119" s="2408" t="s">
        <v>3413</v>
      </c>
      <c r="F119" s="2402" t="s">
        <v>3354</v>
      </c>
      <c r="G119" s="2402" t="s">
        <v>3355</v>
      </c>
      <c r="H119" s="2416" t="s">
        <v>3356</v>
      </c>
    </row>
    <row r="120" spans="3:8" ht="77.400000000000006" customHeight="1">
      <c r="C120" s="2403"/>
      <c r="D120" s="2400"/>
      <c r="E120" s="2409"/>
      <c r="F120" s="2404"/>
      <c r="G120" s="2404"/>
      <c r="H120" s="2416"/>
    </row>
    <row r="121" spans="3:8" ht="28.95" customHeight="1">
      <c r="C121" s="2403"/>
      <c r="D121" s="2400"/>
      <c r="E121" s="2417" t="s">
        <v>3414</v>
      </c>
      <c r="F121" s="2416" t="s">
        <v>3357</v>
      </c>
      <c r="G121" s="2416">
        <v>0</v>
      </c>
      <c r="H121" s="2416">
        <v>0</v>
      </c>
    </row>
    <row r="122" spans="3:8" ht="21" customHeight="1">
      <c r="C122" s="2403"/>
      <c r="D122" s="2400"/>
      <c r="E122" s="2417"/>
      <c r="F122" s="2416"/>
      <c r="G122" s="2416"/>
      <c r="H122" s="2416"/>
    </row>
    <row r="123" spans="3:8" ht="28.95" customHeight="1">
      <c r="C123" s="2403"/>
      <c r="D123" s="2400"/>
      <c r="E123" s="2408" t="s">
        <v>3415</v>
      </c>
      <c r="F123" s="2402" t="s">
        <v>3358</v>
      </c>
      <c r="G123" s="2402"/>
      <c r="H123" s="2402"/>
    </row>
    <row r="124" spans="3:8" ht="12.6" customHeight="1">
      <c r="C124" s="2403"/>
      <c r="D124" s="2400"/>
      <c r="E124" s="2409" t="s">
        <v>3359</v>
      </c>
      <c r="F124" s="2404"/>
      <c r="G124" s="2404"/>
      <c r="H124" s="2404"/>
    </row>
    <row r="125" spans="3:8" ht="33.6" customHeight="1">
      <c r="C125" s="2403"/>
      <c r="D125" s="2400"/>
      <c r="E125" s="520" t="s">
        <v>3416</v>
      </c>
      <c r="F125" s="592"/>
      <c r="G125" s="592" t="s">
        <v>3360</v>
      </c>
      <c r="H125" s="592"/>
    </row>
    <row r="126" spans="3:8" ht="23.4" customHeight="1">
      <c r="C126" s="2403"/>
      <c r="D126" s="2400"/>
      <c r="E126" s="2408" t="s">
        <v>3361</v>
      </c>
      <c r="F126" s="2402" t="s">
        <v>3362</v>
      </c>
      <c r="G126" s="2402" t="s">
        <v>3362</v>
      </c>
      <c r="H126" s="2402" t="s">
        <v>3362</v>
      </c>
    </row>
    <row r="127" spans="3:8" ht="17.399999999999999" customHeight="1">
      <c r="C127" s="2403"/>
      <c r="D127" s="2400"/>
      <c r="E127" s="2409" t="s">
        <v>3363</v>
      </c>
      <c r="F127" s="2404"/>
      <c r="G127" s="2404"/>
      <c r="H127" s="2404"/>
    </row>
    <row r="128" spans="3:8" ht="34.950000000000003" customHeight="1">
      <c r="C128" s="2403"/>
      <c r="D128" s="2400"/>
      <c r="E128" s="520" t="s">
        <v>3363</v>
      </c>
      <c r="F128" s="592" t="s">
        <v>3364</v>
      </c>
      <c r="G128" s="592"/>
      <c r="H128" s="592"/>
    </row>
    <row r="129" spans="3:8" ht="27" customHeight="1">
      <c r="C129" s="2403"/>
      <c r="D129" s="2400"/>
      <c r="E129" s="517" t="s">
        <v>3365</v>
      </c>
      <c r="F129" s="455"/>
      <c r="G129" s="455" t="s">
        <v>3417</v>
      </c>
      <c r="H129" s="455"/>
    </row>
    <row r="130" spans="3:8" ht="43.2" customHeight="1">
      <c r="C130" s="2403"/>
      <c r="D130" s="2400"/>
      <c r="E130" s="413" t="s">
        <v>3366</v>
      </c>
      <c r="F130" s="455" t="s">
        <v>3367</v>
      </c>
      <c r="G130" s="455" t="s">
        <v>3368</v>
      </c>
      <c r="H130" s="455" t="s">
        <v>3369</v>
      </c>
    </row>
    <row r="131" spans="3:8" ht="58.95" customHeight="1">
      <c r="C131" s="2403"/>
      <c r="D131" s="2400"/>
      <c r="E131" s="523" t="s">
        <v>3370</v>
      </c>
      <c r="F131" s="515" t="s">
        <v>3371</v>
      </c>
      <c r="G131" s="515" t="s">
        <v>3372</v>
      </c>
      <c r="H131" s="515" t="s">
        <v>3373</v>
      </c>
    </row>
    <row r="132" spans="3:8" ht="59.4" customHeight="1">
      <c r="C132" s="2403"/>
      <c r="D132" s="2400"/>
      <c r="E132" s="524" t="s">
        <v>3374</v>
      </c>
      <c r="F132" s="515" t="s">
        <v>3375</v>
      </c>
      <c r="G132" s="515" t="s">
        <v>3375</v>
      </c>
      <c r="H132" s="515" t="s">
        <v>3375</v>
      </c>
    </row>
    <row r="133" spans="3:8" ht="37.200000000000003" customHeight="1">
      <c r="C133" s="2403"/>
      <c r="D133" s="2400"/>
      <c r="E133" s="525" t="s">
        <v>3376</v>
      </c>
      <c r="F133" s="515" t="s">
        <v>3377</v>
      </c>
      <c r="G133" s="515" t="s">
        <v>3377</v>
      </c>
      <c r="H133" s="515" t="s">
        <v>3378</v>
      </c>
    </row>
    <row r="134" spans="3:8" ht="60.6" customHeight="1">
      <c r="C134" s="2403"/>
      <c r="D134" s="2400"/>
      <c r="E134" s="525" t="s">
        <v>3379</v>
      </c>
      <c r="F134" s="515" t="s">
        <v>3380</v>
      </c>
      <c r="G134" s="515" t="s">
        <v>3381</v>
      </c>
      <c r="H134" s="515" t="s">
        <v>3382</v>
      </c>
    </row>
    <row r="135" spans="3:8" ht="49.2" customHeight="1">
      <c r="C135" s="2403"/>
      <c r="D135" s="2400"/>
      <c r="E135" s="525" t="s">
        <v>3383</v>
      </c>
      <c r="F135" s="526" t="s">
        <v>1049</v>
      </c>
      <c r="G135" s="526" t="s">
        <v>3384</v>
      </c>
      <c r="H135" s="526" t="s">
        <v>3385</v>
      </c>
    </row>
    <row r="136" spans="3:8" ht="78" customHeight="1">
      <c r="C136" s="2403"/>
      <c r="D136" s="2400"/>
      <c r="E136" s="525" t="s">
        <v>3386</v>
      </c>
      <c r="F136" s="515" t="s">
        <v>3387</v>
      </c>
      <c r="G136" s="515" t="s">
        <v>3388</v>
      </c>
      <c r="H136" s="515" t="s">
        <v>3389</v>
      </c>
    </row>
    <row r="137" spans="3:8" ht="91.95" customHeight="1">
      <c r="C137" s="2403"/>
      <c r="D137" s="2400"/>
      <c r="E137" s="2406" t="s">
        <v>3390</v>
      </c>
      <c r="F137" s="526" t="s">
        <v>1050</v>
      </c>
      <c r="G137" s="526" t="s">
        <v>1050</v>
      </c>
      <c r="H137" s="526" t="s">
        <v>1050</v>
      </c>
    </row>
    <row r="138" spans="3:8" ht="139.19999999999999" customHeight="1">
      <c r="C138" s="2403"/>
      <c r="D138" s="2400"/>
      <c r="E138" s="2407"/>
      <c r="F138" s="526" t="s">
        <v>3391</v>
      </c>
      <c r="G138" s="526" t="s">
        <v>3391</v>
      </c>
      <c r="H138" s="526" t="s">
        <v>3391</v>
      </c>
    </row>
    <row r="139" spans="3:8" ht="66" customHeight="1">
      <c r="C139" s="2403"/>
      <c r="D139" s="2400"/>
      <c r="E139" s="2402" t="s">
        <v>3392</v>
      </c>
      <c r="F139" s="2421" t="s">
        <v>3393</v>
      </c>
      <c r="G139" s="2422"/>
      <c r="H139" s="2423"/>
    </row>
    <row r="140" spans="3:8" ht="42.6" customHeight="1">
      <c r="C140" s="2403"/>
      <c r="D140" s="2400"/>
      <c r="E140" s="2403"/>
      <c r="F140" s="2421" t="s">
        <v>3394</v>
      </c>
      <c r="G140" s="2422"/>
      <c r="H140" s="2423"/>
    </row>
    <row r="141" spans="3:8" ht="55.2" customHeight="1">
      <c r="C141" s="2403"/>
      <c r="D141" s="2400"/>
      <c r="E141" s="2403"/>
      <c r="F141" s="2421" t="s">
        <v>3395</v>
      </c>
      <c r="G141" s="2422"/>
      <c r="H141" s="2423"/>
    </row>
    <row r="142" spans="3:8" ht="60.6" customHeight="1">
      <c r="C142" s="2403"/>
      <c r="D142" s="2400"/>
      <c r="E142" s="2404"/>
      <c r="F142" s="2421" t="s">
        <v>3396</v>
      </c>
      <c r="G142" s="2422"/>
      <c r="H142" s="2423"/>
    </row>
    <row r="143" spans="3:8" ht="101.4" customHeight="1">
      <c r="C143" s="2403"/>
      <c r="D143" s="2400"/>
      <c r="E143" s="412" t="s">
        <v>3397</v>
      </c>
      <c r="F143" s="526" t="s">
        <v>3398</v>
      </c>
      <c r="G143" s="526" t="s">
        <v>3399</v>
      </c>
      <c r="H143" s="526" t="s">
        <v>3400</v>
      </c>
    </row>
    <row r="144" spans="3:8" ht="79.95" customHeight="1">
      <c r="C144" s="2403"/>
      <c r="D144" s="2400"/>
      <c r="E144" s="522" t="s">
        <v>3401</v>
      </c>
      <c r="F144" s="526" t="s">
        <v>3402</v>
      </c>
      <c r="G144" s="526" t="s">
        <v>3402</v>
      </c>
      <c r="H144" s="526" t="s">
        <v>3402</v>
      </c>
    </row>
    <row r="145" spans="3:8" ht="52.2" customHeight="1">
      <c r="C145" s="2403"/>
      <c r="D145" s="2400"/>
      <c r="E145" s="521" t="s">
        <v>3403</v>
      </c>
      <c r="F145" s="527">
        <v>0.8</v>
      </c>
      <c r="G145" s="527">
        <v>0.82</v>
      </c>
      <c r="H145" s="527">
        <v>0.84</v>
      </c>
    </row>
    <row r="146" spans="3:8" ht="89.4" customHeight="1">
      <c r="C146" s="2403"/>
      <c r="D146" s="2400"/>
      <c r="E146" s="522" t="s">
        <v>3404</v>
      </c>
      <c r="F146" s="527">
        <v>0.15</v>
      </c>
      <c r="G146" s="527">
        <v>0.16</v>
      </c>
      <c r="H146" s="527">
        <v>0.17</v>
      </c>
    </row>
    <row r="147" spans="3:8" ht="208.2" customHeight="1" thickBot="1">
      <c r="C147" s="2403"/>
      <c r="D147" s="2400"/>
      <c r="E147" s="412" t="s">
        <v>3405</v>
      </c>
      <c r="F147" s="516" t="s">
        <v>3406</v>
      </c>
      <c r="G147" s="518" t="s">
        <v>173</v>
      </c>
      <c r="H147" s="518" t="s">
        <v>173</v>
      </c>
    </row>
    <row r="148" spans="3:8" ht="41.4" customHeight="1">
      <c r="C148" s="2403"/>
      <c r="D148" s="2400"/>
      <c r="E148" s="2402" t="s">
        <v>3420</v>
      </c>
      <c r="F148" s="519" t="s">
        <v>3402</v>
      </c>
      <c r="G148" s="519" t="s">
        <v>3402</v>
      </c>
      <c r="H148" s="519" t="s">
        <v>3402</v>
      </c>
    </row>
    <row r="149" spans="3:8" ht="57.6" customHeight="1">
      <c r="C149" s="2403"/>
      <c r="D149" s="2400"/>
      <c r="E149" s="2405"/>
      <c r="F149" s="527" t="s">
        <v>3418</v>
      </c>
      <c r="G149" s="527" t="s">
        <v>3407</v>
      </c>
      <c r="H149" s="527"/>
    </row>
    <row r="150" spans="3:8" ht="49.95" customHeight="1">
      <c r="C150" s="2403"/>
      <c r="D150" s="2400"/>
      <c r="E150" s="2406" t="s">
        <v>3408</v>
      </c>
      <c r="F150" s="526" t="s">
        <v>3409</v>
      </c>
      <c r="G150" s="526" t="s">
        <v>3410</v>
      </c>
      <c r="H150" s="526" t="s">
        <v>3410</v>
      </c>
    </row>
    <row r="151" spans="3:8" ht="66" customHeight="1">
      <c r="C151" s="2403"/>
      <c r="D151" s="2400"/>
      <c r="E151" s="2407"/>
      <c r="F151" s="526" t="s">
        <v>3411</v>
      </c>
      <c r="G151" s="526" t="s">
        <v>3411</v>
      </c>
      <c r="H151" s="526" t="s">
        <v>3411</v>
      </c>
    </row>
    <row r="152" spans="3:8" ht="45" customHeight="1">
      <c r="C152" s="2403"/>
      <c r="D152" s="2400"/>
      <c r="E152" s="2405"/>
      <c r="F152" s="526" t="s">
        <v>3412</v>
      </c>
      <c r="G152" s="526" t="s">
        <v>3412</v>
      </c>
      <c r="H152" s="526" t="s">
        <v>3412</v>
      </c>
    </row>
    <row r="153" spans="3:8" ht="45" customHeight="1">
      <c r="C153" s="2403"/>
      <c r="D153" s="2400"/>
      <c r="E153" s="2406" t="s">
        <v>3419</v>
      </c>
      <c r="F153" s="526" t="s">
        <v>3409</v>
      </c>
      <c r="G153" s="526" t="s">
        <v>3409</v>
      </c>
      <c r="H153" s="526" t="s">
        <v>3409</v>
      </c>
    </row>
    <row r="154" spans="3:8" ht="62.4" customHeight="1">
      <c r="C154" s="2403"/>
      <c r="D154" s="2400"/>
      <c r="E154" s="2407"/>
      <c r="F154" s="526" t="s">
        <v>3411</v>
      </c>
      <c r="G154" s="526" t="s">
        <v>3411</v>
      </c>
      <c r="H154" s="526" t="s">
        <v>3411</v>
      </c>
    </row>
    <row r="155" spans="3:8" ht="45" customHeight="1">
      <c r="C155" s="2404"/>
      <c r="D155" s="2401"/>
      <c r="E155" s="2405"/>
      <c r="F155" s="526" t="s">
        <v>3412</v>
      </c>
      <c r="G155" s="526" t="s">
        <v>3412</v>
      </c>
      <c r="H155" s="526" t="s">
        <v>3412</v>
      </c>
    </row>
    <row r="156" spans="3:8" ht="25.5" customHeight="1">
      <c r="C156" s="2413"/>
      <c r="D156" s="2413"/>
      <c r="E156" s="2413"/>
      <c r="F156" s="2414"/>
      <c r="G156" s="2414"/>
      <c r="H156" s="2414"/>
    </row>
    <row r="157" spans="3:8" ht="34.950000000000003" customHeight="1">
      <c r="C157" s="2402"/>
      <c r="D157" s="2399" t="s">
        <v>3844</v>
      </c>
      <c r="E157" s="2427" t="s">
        <v>3219</v>
      </c>
      <c r="F157" s="2424">
        <v>1</v>
      </c>
      <c r="G157" s="2424">
        <v>2</v>
      </c>
      <c r="H157" s="2424">
        <v>3</v>
      </c>
    </row>
    <row r="158" spans="3:8" ht="30.75" customHeight="1">
      <c r="C158" s="2403"/>
      <c r="D158" s="2400"/>
      <c r="E158" s="2427"/>
      <c r="F158" s="2424"/>
      <c r="G158" s="2424"/>
      <c r="H158" s="2424"/>
    </row>
    <row r="159" spans="3:8" ht="34.950000000000003" customHeight="1">
      <c r="C159" s="2403"/>
      <c r="D159" s="2400"/>
      <c r="E159" s="579" t="s">
        <v>3220</v>
      </c>
      <c r="F159" s="579" t="s">
        <v>3221</v>
      </c>
      <c r="G159" s="579" t="s">
        <v>1032</v>
      </c>
      <c r="H159" s="579" t="s">
        <v>3222</v>
      </c>
    </row>
    <row r="160" spans="3:8" ht="34.950000000000003" customHeight="1">
      <c r="C160" s="2403"/>
      <c r="D160" s="2400"/>
      <c r="E160" s="579" t="s">
        <v>3223</v>
      </c>
      <c r="F160" s="579" t="s">
        <v>3224</v>
      </c>
      <c r="G160" s="579" t="s">
        <v>3225</v>
      </c>
      <c r="H160" s="579" t="s">
        <v>3226</v>
      </c>
    </row>
    <row r="161" spans="3:8" ht="51" customHeight="1">
      <c r="C161" s="2403"/>
      <c r="D161" s="2400"/>
      <c r="E161" s="579" t="s">
        <v>3227</v>
      </c>
      <c r="F161" s="579" t="s">
        <v>3228</v>
      </c>
      <c r="G161" s="579" t="s">
        <v>3228</v>
      </c>
      <c r="H161" s="579" t="s">
        <v>3228</v>
      </c>
    </row>
    <row r="162" spans="3:8" ht="34.950000000000003" customHeight="1">
      <c r="C162" s="2403"/>
      <c r="D162" s="2400"/>
      <c r="E162" s="2425" t="s">
        <v>3229</v>
      </c>
      <c r="F162" s="2424" t="s">
        <v>3230</v>
      </c>
      <c r="G162" s="2424" t="s">
        <v>3230</v>
      </c>
      <c r="H162" s="2424" t="s">
        <v>3230</v>
      </c>
    </row>
    <row r="163" spans="3:8" ht="34.950000000000003" customHeight="1">
      <c r="C163" s="2403"/>
      <c r="D163" s="2400"/>
      <c r="E163" s="2425"/>
      <c r="F163" s="2424"/>
      <c r="G163" s="2424"/>
      <c r="H163" s="2424"/>
    </row>
    <row r="164" spans="3:8" ht="34.950000000000003" customHeight="1">
      <c r="C164" s="2403"/>
      <c r="D164" s="2400"/>
      <c r="E164" s="579" t="s">
        <v>3231</v>
      </c>
      <c r="F164" s="579" t="s">
        <v>3232</v>
      </c>
      <c r="G164" s="579" t="s">
        <v>1022</v>
      </c>
      <c r="H164" s="579" t="s">
        <v>3233</v>
      </c>
    </row>
    <row r="165" spans="3:8" ht="47.25" customHeight="1">
      <c r="C165" s="2403"/>
      <c r="D165" s="2400"/>
      <c r="E165" s="579" t="s">
        <v>3234</v>
      </c>
      <c r="F165" s="579" t="s">
        <v>3235</v>
      </c>
      <c r="G165" s="579" t="s">
        <v>3236</v>
      </c>
      <c r="H165" s="579" t="s">
        <v>3221</v>
      </c>
    </row>
    <row r="166" spans="3:8" ht="34.950000000000003" customHeight="1">
      <c r="C166" s="2403"/>
      <c r="D166" s="2400"/>
      <c r="E166" s="579" t="s">
        <v>3237</v>
      </c>
      <c r="F166" s="579" t="s">
        <v>3238</v>
      </c>
      <c r="G166" s="579" t="s">
        <v>3239</v>
      </c>
      <c r="H166" s="579" t="s">
        <v>3235</v>
      </c>
    </row>
    <row r="167" spans="3:8" ht="34.950000000000003" customHeight="1">
      <c r="C167" s="2404"/>
      <c r="D167" s="2401"/>
      <c r="E167" s="579" t="s">
        <v>3240</v>
      </c>
      <c r="F167" s="579">
        <v>20</v>
      </c>
      <c r="G167" s="579">
        <v>30</v>
      </c>
      <c r="H167" s="579">
        <v>40</v>
      </c>
    </row>
    <row r="168" spans="3:8" ht="34.950000000000003" customHeight="1">
      <c r="C168" s="2411" t="s">
        <v>2185</v>
      </c>
      <c r="D168" s="2411"/>
      <c r="E168" s="2412"/>
      <c r="F168" s="2412"/>
      <c r="G168" s="2412"/>
      <c r="H168" s="2412"/>
    </row>
    <row r="169" spans="3:8" ht="34.950000000000003" customHeight="1">
      <c r="C169" s="2416"/>
      <c r="D169" s="2418" t="s">
        <v>3845</v>
      </c>
      <c r="E169" s="580" t="s">
        <v>1053</v>
      </c>
      <c r="F169" s="579">
        <v>0.80700000000000005</v>
      </c>
      <c r="G169" s="579">
        <v>0.246</v>
      </c>
      <c r="H169" s="579">
        <v>1.8759999999999999</v>
      </c>
    </row>
    <row r="170" spans="3:8" ht="34.950000000000003" customHeight="1">
      <c r="C170" s="2416"/>
      <c r="D170" s="2418"/>
      <c r="E170" s="580" t="s">
        <v>3116</v>
      </c>
      <c r="F170" s="579">
        <v>1</v>
      </c>
      <c r="G170" s="579"/>
      <c r="H170" s="579"/>
    </row>
    <row r="171" spans="3:8" ht="34.950000000000003" customHeight="1">
      <c r="C171" s="2416"/>
      <c r="D171" s="2418"/>
      <c r="E171" s="580" t="s">
        <v>3117</v>
      </c>
      <c r="F171" s="579">
        <v>1</v>
      </c>
      <c r="G171" s="579"/>
      <c r="H171" s="579"/>
    </row>
    <row r="172" spans="3:8" ht="34.950000000000003" customHeight="1">
      <c r="C172" s="2416"/>
      <c r="D172" s="2418"/>
      <c r="E172" s="580" t="s">
        <v>1054</v>
      </c>
      <c r="F172" s="579"/>
      <c r="G172" s="579"/>
      <c r="H172" s="579"/>
    </row>
    <row r="173" spans="3:8" ht="34.950000000000003" customHeight="1">
      <c r="C173" s="2416"/>
      <c r="D173" s="2418"/>
      <c r="E173" s="580" t="s">
        <v>3118</v>
      </c>
      <c r="F173" s="579"/>
      <c r="G173" s="579"/>
      <c r="H173" s="579"/>
    </row>
    <row r="174" spans="3:8" ht="34.950000000000003" customHeight="1">
      <c r="C174" s="2416"/>
      <c r="D174" s="2418"/>
      <c r="E174" s="580" t="s">
        <v>1055</v>
      </c>
      <c r="F174" s="579">
        <v>1.2949999999999999</v>
      </c>
      <c r="G174" s="579">
        <v>2.512</v>
      </c>
      <c r="H174" s="579">
        <v>2</v>
      </c>
    </row>
    <row r="175" spans="3:8" ht="48.6" customHeight="1">
      <c r="C175" s="2416"/>
      <c r="D175" s="2418"/>
      <c r="E175" s="580" t="s">
        <v>3119</v>
      </c>
      <c r="F175" s="579"/>
      <c r="G175" s="579">
        <v>2.8</v>
      </c>
      <c r="H175" s="579"/>
    </row>
    <row r="176" spans="3:8" ht="34.950000000000003" customHeight="1">
      <c r="C176" s="2416"/>
      <c r="D176" s="2418"/>
      <c r="E176" s="580" t="s">
        <v>3120</v>
      </c>
      <c r="F176" s="579"/>
      <c r="G176" s="579">
        <v>1</v>
      </c>
      <c r="H176" s="579"/>
    </row>
    <row r="177" spans="3:8" ht="34.950000000000003" customHeight="1">
      <c r="C177" s="2416"/>
      <c r="D177" s="2418"/>
      <c r="E177" s="580" t="s">
        <v>3121</v>
      </c>
      <c r="F177" s="579">
        <v>1</v>
      </c>
      <c r="G177" s="579"/>
      <c r="H177" s="579"/>
    </row>
    <row r="178" spans="3:8" ht="34.950000000000003" customHeight="1">
      <c r="C178" s="2416"/>
      <c r="D178" s="2418"/>
      <c r="E178" s="580" t="s">
        <v>3122</v>
      </c>
      <c r="F178" s="579"/>
      <c r="G178" s="579"/>
      <c r="H178" s="579"/>
    </row>
    <row r="179" spans="3:8" ht="34.950000000000003" customHeight="1">
      <c r="C179" s="2416"/>
      <c r="D179" s="2418"/>
      <c r="E179" s="580" t="s">
        <v>1057</v>
      </c>
      <c r="F179" s="579">
        <v>1</v>
      </c>
      <c r="G179" s="579"/>
      <c r="H179" s="579"/>
    </row>
    <row r="180" spans="3:8" ht="48" customHeight="1">
      <c r="C180" s="2416"/>
      <c r="D180" s="2418"/>
      <c r="E180" s="580" t="s">
        <v>3123</v>
      </c>
      <c r="F180" s="579"/>
      <c r="G180" s="579">
        <v>3.27</v>
      </c>
      <c r="H180" s="579"/>
    </row>
    <row r="181" spans="3:8" ht="34.950000000000003" customHeight="1">
      <c r="C181" s="2416"/>
      <c r="D181" s="2418"/>
      <c r="E181" s="580" t="s">
        <v>3124</v>
      </c>
      <c r="F181" s="579"/>
      <c r="G181" s="579"/>
      <c r="H181" s="579"/>
    </row>
    <row r="182" spans="3:8" ht="34.950000000000003" customHeight="1">
      <c r="C182" s="2416"/>
      <c r="D182" s="2418"/>
      <c r="E182" s="580" t="s">
        <v>3125</v>
      </c>
      <c r="F182" s="579"/>
      <c r="G182" s="579"/>
      <c r="H182" s="579"/>
    </row>
    <row r="183" spans="3:8" ht="34.950000000000003" customHeight="1">
      <c r="C183" s="2416"/>
      <c r="D183" s="2418"/>
      <c r="E183" s="580" t="s">
        <v>3126</v>
      </c>
      <c r="F183" s="579"/>
      <c r="G183" s="579"/>
      <c r="H183" s="579">
        <v>1</v>
      </c>
    </row>
    <row r="184" spans="3:8" ht="34.950000000000003" customHeight="1">
      <c r="C184" s="2416"/>
      <c r="D184" s="2418"/>
      <c r="E184" s="580" t="s">
        <v>1056</v>
      </c>
      <c r="F184" s="579">
        <v>1</v>
      </c>
      <c r="G184" s="579">
        <v>1</v>
      </c>
      <c r="H184" s="579">
        <v>1</v>
      </c>
    </row>
    <row r="185" spans="3:8" ht="34.950000000000003" customHeight="1">
      <c r="C185" s="2416"/>
      <c r="D185" s="2418"/>
      <c r="E185" s="580" t="s">
        <v>1058</v>
      </c>
      <c r="F185" s="579">
        <v>1</v>
      </c>
      <c r="G185" s="579"/>
      <c r="H185" s="579"/>
    </row>
    <row r="186" spans="3:8" ht="34.950000000000003" customHeight="1">
      <c r="C186" s="2416"/>
      <c r="D186" s="2418"/>
      <c r="E186" s="580" t="s">
        <v>1059</v>
      </c>
      <c r="F186" s="579">
        <v>7</v>
      </c>
      <c r="G186" s="579">
        <v>7</v>
      </c>
      <c r="H186" s="579">
        <v>7</v>
      </c>
    </row>
    <row r="187" spans="3:8" ht="34.950000000000003" customHeight="1">
      <c r="C187" s="2416"/>
      <c r="D187" s="2418"/>
      <c r="E187" s="580" t="s">
        <v>3127</v>
      </c>
      <c r="F187" s="579"/>
      <c r="G187" s="579"/>
      <c r="H187" s="579"/>
    </row>
    <row r="188" spans="3:8" ht="34.950000000000003" customHeight="1">
      <c r="C188" s="2416"/>
      <c r="D188" s="2418"/>
      <c r="E188" s="580" t="s">
        <v>1060</v>
      </c>
      <c r="F188" s="579">
        <v>1</v>
      </c>
      <c r="G188" s="579"/>
      <c r="H188" s="579"/>
    </row>
    <row r="189" spans="3:8" ht="34.950000000000003" customHeight="1">
      <c r="C189" s="2416"/>
      <c r="D189" s="2418"/>
      <c r="E189" s="580" t="s">
        <v>3128</v>
      </c>
      <c r="F189" s="579"/>
      <c r="G189" s="579"/>
      <c r="H189" s="579"/>
    </row>
    <row r="190" spans="3:8" ht="34.950000000000003" customHeight="1">
      <c r="C190" s="2416"/>
      <c r="D190" s="2418"/>
      <c r="E190" s="580" t="s">
        <v>1061</v>
      </c>
      <c r="F190" s="579">
        <v>70</v>
      </c>
      <c r="G190" s="579">
        <v>70</v>
      </c>
      <c r="H190" s="579">
        <v>70</v>
      </c>
    </row>
    <row r="191" spans="3:8" ht="28.5" customHeight="1">
      <c r="C191" s="414"/>
      <c r="D191" s="1538"/>
      <c r="E191" s="414"/>
      <c r="F191" s="1538"/>
      <c r="G191" s="1538"/>
      <c r="H191" s="1538"/>
    </row>
    <row r="192" spans="3:8" ht="42" customHeight="1">
      <c r="C192" s="2402"/>
      <c r="D192" s="2399" t="s">
        <v>3846</v>
      </c>
      <c r="E192" s="415" t="s">
        <v>3241</v>
      </c>
      <c r="F192" s="412">
        <v>188</v>
      </c>
      <c r="G192" s="412">
        <v>185</v>
      </c>
      <c r="H192" s="412">
        <v>184</v>
      </c>
    </row>
    <row r="193" spans="3:8" ht="34.950000000000003" customHeight="1">
      <c r="C193" s="2403"/>
      <c r="D193" s="2400"/>
      <c r="E193" s="415" t="s">
        <v>3242</v>
      </c>
      <c r="F193" s="412">
        <v>64</v>
      </c>
      <c r="G193" s="412">
        <v>65</v>
      </c>
      <c r="H193" s="412">
        <v>66</v>
      </c>
    </row>
    <row r="194" spans="3:8" ht="51" customHeight="1">
      <c r="C194" s="2403"/>
      <c r="D194" s="2400"/>
      <c r="E194" s="415" t="s">
        <v>3243</v>
      </c>
      <c r="F194" s="412">
        <v>5</v>
      </c>
      <c r="G194" s="412">
        <v>6</v>
      </c>
      <c r="H194" s="412">
        <v>7</v>
      </c>
    </row>
    <row r="195" spans="3:8" ht="44.25" customHeight="1">
      <c r="C195" s="2403"/>
      <c r="D195" s="2400"/>
      <c r="E195" s="415" t="s">
        <v>3245</v>
      </c>
      <c r="F195" s="458">
        <v>4578</v>
      </c>
      <c r="G195" s="458">
        <v>4516</v>
      </c>
      <c r="H195" s="458">
        <v>4464</v>
      </c>
    </row>
    <row r="196" spans="3:8" ht="46.5" customHeight="1">
      <c r="C196" s="2403"/>
      <c r="D196" s="2400"/>
      <c r="E196" s="459" t="s">
        <v>3246</v>
      </c>
      <c r="F196" s="458">
        <v>530</v>
      </c>
      <c r="G196" s="458">
        <v>560</v>
      </c>
      <c r="H196" s="458">
        <v>590</v>
      </c>
    </row>
    <row r="197" spans="3:8" ht="34.950000000000003" customHeight="1">
      <c r="C197" s="2404"/>
      <c r="D197" s="2401"/>
      <c r="E197" s="415" t="s">
        <v>3244</v>
      </c>
      <c r="F197" s="458">
        <v>384</v>
      </c>
      <c r="G197" s="458">
        <v>401</v>
      </c>
      <c r="H197" s="458">
        <v>430</v>
      </c>
    </row>
    <row r="198" spans="3:8" ht="27.75" customHeight="1">
      <c r="C198" s="416"/>
      <c r="D198" s="1538"/>
      <c r="E198" s="457"/>
      <c r="F198" s="1539"/>
      <c r="G198" s="1539"/>
      <c r="H198" s="1539"/>
    </row>
  </sheetData>
  <sheetProtection algorithmName="SHA-512" hashValue="63svDxg1PDQzZLpPcoipQHKvWNAfFie8KQhxn4KkPd49jEoD7kpts/mXSOviYrnPS0NzcyXLFSgMCFtXqohzfw==" saltValue="l5ihx+FlFYfOUrAlrLYDQQ==" spinCount="100000" sheet="1" objects="1" scenarios="1"/>
  <mergeCells count="71">
    <mergeCell ref="C2:H2"/>
    <mergeCell ref="G162:G163"/>
    <mergeCell ref="H162:H163"/>
    <mergeCell ref="C192:C197"/>
    <mergeCell ref="D192:D197"/>
    <mergeCell ref="E157:E158"/>
    <mergeCell ref="F157:F158"/>
    <mergeCell ref="G157:G158"/>
    <mergeCell ref="C169:C190"/>
    <mergeCell ref="D169:D190"/>
    <mergeCell ref="C96:C117"/>
    <mergeCell ref="C157:C167"/>
    <mergeCell ref="D157:D167"/>
    <mergeCell ref="C95:H95"/>
    <mergeCell ref="F123:F124"/>
    <mergeCell ref="G123:G124"/>
    <mergeCell ref="H123:H124"/>
    <mergeCell ref="E126:E127"/>
    <mergeCell ref="F126:F127"/>
    <mergeCell ref="G126:G127"/>
    <mergeCell ref="H126:H127"/>
    <mergeCell ref="F139:H139"/>
    <mergeCell ref="F140:H140"/>
    <mergeCell ref="H157:H158"/>
    <mergeCell ref="E162:E163"/>
    <mergeCell ref="F162:F163"/>
    <mergeCell ref="F141:H141"/>
    <mergeCell ref="F142:H142"/>
    <mergeCell ref="E139:E142"/>
    <mergeCell ref="E153:E155"/>
    <mergeCell ref="C87:C94"/>
    <mergeCell ref="D87:D94"/>
    <mergeCell ref="C52:C62"/>
    <mergeCell ref="D52:D62"/>
    <mergeCell ref="C64:C76"/>
    <mergeCell ref="D64:D76"/>
    <mergeCell ref="D78:D85"/>
    <mergeCell ref="C38:H38"/>
    <mergeCell ref="C51:H51"/>
    <mergeCell ref="C63:H63"/>
    <mergeCell ref="C77:H77"/>
    <mergeCell ref="C86:H86"/>
    <mergeCell ref="C39:C50"/>
    <mergeCell ref="D39:D50"/>
    <mergeCell ref="D10:D21"/>
    <mergeCell ref="C23:C37"/>
    <mergeCell ref="D23:D37"/>
    <mergeCell ref="C9:H9"/>
    <mergeCell ref="C22:H22"/>
    <mergeCell ref="F3:H3"/>
    <mergeCell ref="C168:H168"/>
    <mergeCell ref="C156:H156"/>
    <mergeCell ref="C78:C85"/>
    <mergeCell ref="F121:F122"/>
    <mergeCell ref="E121:E122"/>
    <mergeCell ref="H121:H122"/>
    <mergeCell ref="G121:G122"/>
    <mergeCell ref="D96:D117"/>
    <mergeCell ref="C118:H118"/>
    <mergeCell ref="E119:E120"/>
    <mergeCell ref="F119:F120"/>
    <mergeCell ref="G119:G120"/>
    <mergeCell ref="H119:H120"/>
    <mergeCell ref="F6:H6"/>
    <mergeCell ref="C10:C21"/>
    <mergeCell ref="D119:D155"/>
    <mergeCell ref="C119:C155"/>
    <mergeCell ref="E148:E149"/>
    <mergeCell ref="E150:E152"/>
    <mergeCell ref="E137:E138"/>
    <mergeCell ref="E123:E124"/>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6EE88-1F19-4930-9D6F-4602E0F69714}">
  <dimension ref="A2:Z55"/>
  <sheetViews>
    <sheetView zoomScale="80" zoomScaleNormal="80" workbookViewId="0">
      <selection activeCell="O22" sqref="O22"/>
    </sheetView>
  </sheetViews>
  <sheetFormatPr defaultColWidth="8.88671875" defaultRowHeight="13.2"/>
  <cols>
    <col min="1" max="1" width="8.88671875" style="407"/>
    <col min="2" max="2" width="7" style="407" customWidth="1"/>
    <col min="3" max="3" width="43" style="407" customWidth="1"/>
    <col min="4" max="4" width="22.6640625" style="407" customWidth="1"/>
    <col min="5" max="5" width="39" style="407" customWidth="1"/>
    <col min="6" max="7" width="11.33203125" style="409" customWidth="1"/>
    <col min="8" max="8" width="20.109375" style="407" customWidth="1"/>
    <col min="9" max="9" width="30.6640625" style="407" customWidth="1"/>
    <col min="10" max="10" width="42.33203125" style="407" customWidth="1"/>
    <col min="11" max="16384" width="8.88671875" style="407"/>
  </cols>
  <sheetData>
    <row r="2" spans="1:26" ht="25.95" customHeight="1">
      <c r="B2" s="2433" t="s">
        <v>2092</v>
      </c>
      <c r="C2" s="2433"/>
      <c r="D2" s="2433"/>
      <c r="E2" s="2433"/>
      <c r="F2" s="2433"/>
      <c r="G2" s="2433"/>
      <c r="H2" s="2433"/>
    </row>
    <row r="3" spans="1:26" ht="39.6">
      <c r="B3" s="394" t="s">
        <v>988</v>
      </c>
      <c r="C3" s="394" t="s">
        <v>1068</v>
      </c>
      <c r="D3" s="394" t="s">
        <v>1069</v>
      </c>
      <c r="E3" s="394" t="s">
        <v>708</v>
      </c>
      <c r="F3" s="395" t="s">
        <v>3312</v>
      </c>
      <c r="G3" s="395" t="s">
        <v>3313</v>
      </c>
      <c r="H3" s="394" t="s">
        <v>308</v>
      </c>
    </row>
    <row r="4" spans="1:26" s="408" customFormat="1" ht="40.950000000000003" customHeight="1">
      <c r="A4" s="407"/>
      <c r="B4" s="393" t="s">
        <v>1005</v>
      </c>
      <c r="C4" s="393" t="s">
        <v>2090</v>
      </c>
      <c r="D4" s="398" t="s">
        <v>2103</v>
      </c>
      <c r="E4" s="393" t="s">
        <v>1070</v>
      </c>
      <c r="F4" s="396">
        <v>15</v>
      </c>
      <c r="G4" s="396" t="s">
        <v>668</v>
      </c>
      <c r="H4" s="393" t="s">
        <v>2091</v>
      </c>
      <c r="I4" s="407"/>
      <c r="J4" s="407"/>
      <c r="K4" s="407"/>
      <c r="L4" s="407"/>
      <c r="M4" s="407"/>
      <c r="N4" s="407"/>
      <c r="O4" s="407"/>
      <c r="P4" s="407"/>
      <c r="Q4" s="407"/>
      <c r="R4" s="407"/>
      <c r="S4" s="407"/>
      <c r="T4" s="407"/>
      <c r="U4" s="407"/>
      <c r="V4" s="407"/>
      <c r="W4" s="407"/>
      <c r="X4" s="407"/>
      <c r="Y4" s="407"/>
      <c r="Z4" s="407"/>
    </row>
    <row r="5" spans="1:26" s="408" customFormat="1" ht="85.95" customHeight="1">
      <c r="A5" s="407"/>
      <c r="B5" s="393" t="s">
        <v>1062</v>
      </c>
      <c r="C5" s="393" t="s">
        <v>2093</v>
      </c>
      <c r="D5" s="398" t="s">
        <v>2104</v>
      </c>
      <c r="E5" s="393" t="s">
        <v>2094</v>
      </c>
      <c r="F5" s="396">
        <v>58</v>
      </c>
      <c r="G5" s="396" t="s">
        <v>3314</v>
      </c>
      <c r="H5" s="393" t="s">
        <v>1071</v>
      </c>
      <c r="I5" s="407"/>
      <c r="J5" s="407"/>
      <c r="K5" s="407"/>
      <c r="L5" s="407"/>
      <c r="M5" s="407"/>
      <c r="N5" s="407"/>
      <c r="O5" s="407"/>
      <c r="P5" s="407"/>
      <c r="Q5" s="407"/>
      <c r="R5" s="407"/>
      <c r="S5" s="407"/>
      <c r="T5" s="407"/>
      <c r="U5" s="407"/>
      <c r="V5" s="407"/>
      <c r="W5" s="407"/>
      <c r="X5" s="407"/>
      <c r="Y5" s="407"/>
      <c r="Z5" s="407"/>
    </row>
    <row r="6" spans="1:26" ht="44.4" customHeight="1">
      <c r="B6" s="393" t="s">
        <v>1063</v>
      </c>
      <c r="C6" s="393" t="s">
        <v>1072</v>
      </c>
      <c r="D6" s="393" t="s">
        <v>1073</v>
      </c>
      <c r="E6" s="393" t="s">
        <v>1074</v>
      </c>
      <c r="F6" s="397">
        <v>0</v>
      </c>
      <c r="G6" s="397"/>
      <c r="H6" s="393" t="s">
        <v>1075</v>
      </c>
    </row>
    <row r="7" spans="1:26">
      <c r="B7" s="2431" t="s">
        <v>1076</v>
      </c>
      <c r="C7" s="2431" t="s">
        <v>1077</v>
      </c>
      <c r="D7" s="2431" t="s">
        <v>2104</v>
      </c>
      <c r="E7" s="2431" t="s">
        <v>2131</v>
      </c>
      <c r="F7" s="2432">
        <v>0</v>
      </c>
      <c r="G7" s="2428"/>
      <c r="H7" s="2431" t="s">
        <v>1078</v>
      </c>
    </row>
    <row r="8" spans="1:26">
      <c r="B8" s="2431"/>
      <c r="C8" s="2431"/>
      <c r="D8" s="2431"/>
      <c r="E8" s="2431"/>
      <c r="F8" s="2432"/>
      <c r="G8" s="2430"/>
      <c r="H8" s="2431"/>
    </row>
    <row r="9" spans="1:26">
      <c r="B9" s="2431"/>
      <c r="C9" s="2431"/>
      <c r="D9" s="2431"/>
      <c r="E9" s="2431"/>
      <c r="F9" s="2432"/>
      <c r="G9" s="2430"/>
      <c r="H9" s="2431"/>
    </row>
    <row r="10" spans="1:26">
      <c r="B10" s="2431"/>
      <c r="C10" s="2431"/>
      <c r="D10" s="2431"/>
      <c r="E10" s="2431"/>
      <c r="F10" s="2432"/>
      <c r="G10" s="2430"/>
      <c r="H10" s="2431"/>
    </row>
    <row r="11" spans="1:26">
      <c r="B11" s="2431"/>
      <c r="C11" s="2431"/>
      <c r="D11" s="2431"/>
      <c r="E11" s="2431"/>
      <c r="F11" s="2432"/>
      <c r="G11" s="2430"/>
      <c r="H11" s="2431"/>
    </row>
    <row r="12" spans="1:26" ht="21" customHeight="1">
      <c r="B12" s="2431"/>
      <c r="C12" s="2431"/>
      <c r="D12" s="2431"/>
      <c r="E12" s="2431"/>
      <c r="F12" s="2432"/>
      <c r="G12" s="2429"/>
      <c r="H12" s="2431"/>
    </row>
    <row r="13" spans="1:26">
      <c r="B13" s="2431" t="s">
        <v>1064</v>
      </c>
      <c r="C13" s="2431" t="s">
        <v>1079</v>
      </c>
      <c r="D13" s="2431" t="s">
        <v>2095</v>
      </c>
      <c r="E13" s="2431" t="s">
        <v>1080</v>
      </c>
      <c r="F13" s="2432">
        <v>0</v>
      </c>
      <c r="G13" s="2428"/>
      <c r="H13" s="2431" t="s">
        <v>2100</v>
      </c>
    </row>
    <row r="14" spans="1:26" ht="42.6" customHeight="1">
      <c r="B14" s="2431"/>
      <c r="C14" s="2431"/>
      <c r="D14" s="2431"/>
      <c r="E14" s="2431"/>
      <c r="F14" s="2432"/>
      <c r="G14" s="2429"/>
      <c r="H14" s="2431"/>
    </row>
    <row r="15" spans="1:26">
      <c r="B15" s="2431" t="s">
        <v>1065</v>
      </c>
      <c r="C15" s="2431" t="s">
        <v>2101</v>
      </c>
      <c r="D15" s="2431" t="s">
        <v>1081</v>
      </c>
      <c r="E15" s="2431" t="s">
        <v>1082</v>
      </c>
      <c r="F15" s="2432">
        <v>0</v>
      </c>
      <c r="G15" s="2428"/>
      <c r="H15" s="2431" t="s">
        <v>2102</v>
      </c>
    </row>
    <row r="16" spans="1:26">
      <c r="B16" s="2431"/>
      <c r="C16" s="2431"/>
      <c r="D16" s="2431"/>
      <c r="E16" s="2431"/>
      <c r="F16" s="2432"/>
      <c r="G16" s="2430"/>
      <c r="H16" s="2431"/>
    </row>
    <row r="17" spans="2:9" ht="36.6" customHeight="1">
      <c r="B17" s="2431"/>
      <c r="C17" s="2431"/>
      <c r="D17" s="2431"/>
      <c r="E17" s="2431"/>
      <c r="F17" s="2432"/>
      <c r="G17" s="2429"/>
      <c r="H17" s="2431"/>
    </row>
    <row r="18" spans="2:9" ht="39.6">
      <c r="B18" s="393" t="s">
        <v>1066</v>
      </c>
      <c r="C18" s="393" t="s">
        <v>1083</v>
      </c>
      <c r="D18" s="393" t="s">
        <v>2096</v>
      </c>
      <c r="E18" s="393" t="s">
        <v>2099</v>
      </c>
      <c r="F18" s="397">
        <v>0</v>
      </c>
      <c r="G18" s="397"/>
      <c r="H18" s="393" t="s">
        <v>1084</v>
      </c>
    </row>
    <row r="19" spans="2:9" ht="66">
      <c r="B19" s="393" t="s">
        <v>1067</v>
      </c>
      <c r="C19" s="393" t="s">
        <v>1085</v>
      </c>
      <c r="D19" s="393" t="s">
        <v>2097</v>
      </c>
      <c r="E19" s="393" t="s">
        <v>1086</v>
      </c>
      <c r="F19" s="397">
        <v>0</v>
      </c>
      <c r="G19" s="397"/>
      <c r="H19" s="393" t="s">
        <v>2098</v>
      </c>
    </row>
    <row r="22" spans="2:9" ht="29.4" customHeight="1">
      <c r="C22" s="556"/>
      <c r="D22" s="556"/>
      <c r="E22" s="556"/>
      <c r="F22" s="556"/>
      <c r="G22" s="556"/>
      <c r="H22" s="556"/>
    </row>
    <row r="24" spans="2:9" ht="15.6">
      <c r="B24" s="507"/>
      <c r="C24" s="507"/>
      <c r="D24" s="513"/>
      <c r="E24" s="513"/>
      <c r="F24" s="513"/>
      <c r="G24" s="513"/>
      <c r="H24" s="508"/>
      <c r="I24" s="501"/>
    </row>
    <row r="25" spans="2:9" ht="13.2" customHeight="1">
      <c r="B25" s="513"/>
      <c r="C25" s="513"/>
      <c r="D25" s="513"/>
      <c r="E25" s="513"/>
      <c r="F25" s="513"/>
      <c r="G25" s="513"/>
      <c r="H25" s="513"/>
      <c r="I25" s="501"/>
    </row>
    <row r="26" spans="2:9" ht="45" customHeight="1">
      <c r="B26" s="509"/>
      <c r="C26" s="510"/>
      <c r="D26" s="511"/>
      <c r="E26" s="511"/>
      <c r="F26" s="510"/>
      <c r="G26" s="510"/>
      <c r="H26" s="508"/>
      <c r="I26" s="501"/>
    </row>
    <row r="27" spans="2:9" ht="15.6">
      <c r="B27" s="509"/>
      <c r="C27" s="510"/>
      <c r="D27" s="511"/>
      <c r="E27" s="511"/>
      <c r="F27" s="510"/>
      <c r="G27" s="510"/>
      <c r="H27" s="508"/>
      <c r="I27" s="501"/>
    </row>
    <row r="28" spans="2:9" ht="13.2" customHeight="1">
      <c r="B28" s="510"/>
      <c r="C28" s="510"/>
      <c r="D28" s="511"/>
      <c r="E28" s="511"/>
      <c r="F28" s="510"/>
      <c r="G28" s="510"/>
      <c r="H28" s="508"/>
      <c r="I28" s="501"/>
    </row>
    <row r="29" spans="2:9" ht="22.95" customHeight="1">
      <c r="B29" s="509"/>
      <c r="C29" s="510"/>
      <c r="D29" s="511"/>
      <c r="E29" s="511"/>
      <c r="F29" s="510"/>
      <c r="G29" s="510"/>
      <c r="H29" s="508"/>
      <c r="I29" s="501"/>
    </row>
    <row r="30" spans="2:9" ht="45" customHeight="1">
      <c r="B30" s="510"/>
      <c r="C30" s="510"/>
      <c r="D30" s="511"/>
      <c r="E30" s="511"/>
      <c r="F30" s="510"/>
      <c r="G30" s="510"/>
      <c r="H30" s="508"/>
      <c r="I30" s="501"/>
    </row>
    <row r="31" spans="2:9" ht="13.2" hidden="1" customHeight="1">
      <c r="B31" s="510"/>
      <c r="C31" s="510"/>
      <c r="D31" s="511"/>
      <c r="E31" s="511"/>
      <c r="F31" s="510"/>
      <c r="G31" s="510"/>
      <c r="H31" s="508"/>
      <c r="I31" s="501"/>
    </row>
    <row r="32" spans="2:9" ht="15.6">
      <c r="B32" s="510"/>
      <c r="C32" s="510"/>
      <c r="D32" s="511"/>
      <c r="E32" s="511"/>
      <c r="F32" s="510"/>
      <c r="G32" s="510"/>
      <c r="H32" s="508"/>
      <c r="I32" s="501"/>
    </row>
    <row r="33" spans="2:9" ht="15.6">
      <c r="B33" s="509"/>
      <c r="C33" s="510"/>
      <c r="D33" s="511"/>
      <c r="E33" s="511"/>
      <c r="F33" s="510"/>
      <c r="G33" s="510"/>
      <c r="H33" s="508"/>
      <c r="I33" s="501"/>
    </row>
    <row r="34" spans="2:9" ht="37.950000000000003" customHeight="1">
      <c r="B34" s="513"/>
      <c r="C34" s="513"/>
      <c r="D34" s="513"/>
      <c r="E34" s="513"/>
      <c r="F34" s="513"/>
      <c r="G34" s="513"/>
      <c r="H34" s="513"/>
      <c r="I34" s="501"/>
    </row>
    <row r="35" spans="2:9" ht="15.6">
      <c r="B35" s="510"/>
      <c r="C35" s="510"/>
      <c r="D35" s="511"/>
      <c r="E35" s="511"/>
      <c r="F35" s="510"/>
      <c r="G35" s="510"/>
      <c r="H35" s="508"/>
      <c r="I35" s="501"/>
    </row>
    <row r="36" spans="2:9" ht="23.4" customHeight="1">
      <c r="B36" s="510"/>
      <c r="C36" s="510"/>
      <c r="D36" s="511"/>
      <c r="E36" s="511"/>
      <c r="F36" s="510"/>
      <c r="G36" s="510"/>
      <c r="H36" s="508"/>
      <c r="I36" s="501"/>
    </row>
    <row r="37" spans="2:9" ht="15.6">
      <c r="B37" s="510"/>
      <c r="C37" s="510"/>
      <c r="D37" s="511"/>
      <c r="E37" s="511"/>
      <c r="F37" s="510"/>
      <c r="G37" s="510"/>
      <c r="H37" s="508"/>
      <c r="I37" s="501"/>
    </row>
    <row r="38" spans="2:9" ht="13.8">
      <c r="B38" s="514"/>
      <c r="C38" s="514"/>
      <c r="D38" s="514"/>
      <c r="E38" s="514"/>
      <c r="F38" s="514"/>
      <c r="G38" s="514"/>
      <c r="H38" s="514"/>
      <c r="I38" s="501"/>
    </row>
    <row r="39" spans="2:9" ht="13.2" customHeight="1">
      <c r="B39" s="510"/>
      <c r="C39" s="510"/>
      <c r="D39" s="511"/>
      <c r="E39" s="511"/>
      <c r="F39" s="510"/>
      <c r="G39" s="510"/>
      <c r="H39" s="508"/>
      <c r="I39" s="501"/>
    </row>
    <row r="40" spans="2:9" ht="20.399999999999999" customHeight="1">
      <c r="B40" s="510"/>
      <c r="C40" s="510"/>
      <c r="D40" s="511"/>
      <c r="E40" s="511"/>
      <c r="F40" s="510"/>
      <c r="G40" s="510"/>
      <c r="H40" s="508"/>
      <c r="I40" s="501"/>
    </row>
    <row r="41" spans="2:9" ht="15.6">
      <c r="B41" s="510"/>
      <c r="C41" s="510"/>
      <c r="D41" s="511"/>
      <c r="E41" s="511"/>
      <c r="F41" s="510"/>
      <c r="G41" s="510"/>
      <c r="H41" s="508"/>
      <c r="I41" s="501"/>
    </row>
    <row r="42" spans="2:9" ht="15.6">
      <c r="B42" s="510"/>
      <c r="C42" s="510"/>
      <c r="D42" s="511"/>
      <c r="E42" s="511"/>
      <c r="F42" s="510"/>
      <c r="G42" s="510"/>
      <c r="H42" s="508"/>
      <c r="I42" s="501"/>
    </row>
    <row r="43" spans="2:9" ht="15.6">
      <c r="B43" s="510"/>
      <c r="C43" s="510"/>
      <c r="D43" s="511"/>
      <c r="E43" s="512"/>
      <c r="F43" s="510"/>
      <c r="G43" s="510"/>
      <c r="H43" s="508"/>
      <c r="I43" s="501"/>
    </row>
    <row r="44" spans="2:9" ht="32.4" customHeight="1">
      <c r="B44" s="510"/>
      <c r="C44" s="510"/>
      <c r="D44" s="511"/>
      <c r="E44" s="511"/>
      <c r="F44" s="510"/>
      <c r="G44" s="510"/>
      <c r="H44" s="508"/>
      <c r="I44" s="501"/>
    </row>
    <row r="45" spans="2:9" ht="15.6">
      <c r="B45" s="510"/>
      <c r="C45" s="510"/>
      <c r="D45" s="511"/>
      <c r="E45" s="511"/>
      <c r="F45" s="510"/>
      <c r="G45" s="510"/>
      <c r="H45" s="508"/>
      <c r="I45" s="501"/>
    </row>
    <row r="46" spans="2:9" ht="31.95" customHeight="1">
      <c r="B46" s="510"/>
      <c r="C46" s="510"/>
      <c r="D46" s="511"/>
      <c r="E46" s="511"/>
      <c r="F46" s="510"/>
      <c r="G46" s="510"/>
      <c r="H46" s="508"/>
      <c r="I46" s="501"/>
    </row>
    <row r="47" spans="2:9" ht="13.2" customHeight="1">
      <c r="B47" s="510"/>
      <c r="C47" s="510"/>
      <c r="D47" s="511"/>
      <c r="E47" s="511"/>
      <c r="F47" s="510"/>
      <c r="G47" s="510"/>
      <c r="H47" s="508"/>
      <c r="I47" s="501"/>
    </row>
    <row r="48" spans="2:9" ht="15.6">
      <c r="B48" s="510"/>
      <c r="C48" s="510"/>
      <c r="D48" s="511"/>
      <c r="E48" s="512"/>
      <c r="F48" s="510"/>
      <c r="G48" s="510"/>
      <c r="H48" s="508"/>
      <c r="I48" s="501"/>
    </row>
    <row r="49" spans="2:9" ht="13.8">
      <c r="B49" s="513"/>
      <c r="C49" s="513"/>
      <c r="D49" s="513"/>
      <c r="E49" s="513"/>
      <c r="F49" s="513"/>
      <c r="G49" s="513"/>
      <c r="H49" s="513"/>
      <c r="I49" s="501"/>
    </row>
    <row r="50" spans="2:9">
      <c r="B50" s="502"/>
      <c r="C50" s="502"/>
      <c r="D50" s="502"/>
      <c r="E50" s="502"/>
      <c r="F50" s="502"/>
      <c r="G50" s="502"/>
      <c r="H50" s="502"/>
    </row>
    <row r="51" spans="2:9" ht="13.2" customHeight="1">
      <c r="B51" s="506"/>
      <c r="C51" s="506"/>
      <c r="D51" s="504"/>
      <c r="E51" s="504"/>
      <c r="F51" s="504"/>
      <c r="G51" s="504"/>
      <c r="H51" s="505"/>
    </row>
    <row r="52" spans="2:9">
      <c r="B52" s="506"/>
      <c r="C52" s="506"/>
      <c r="D52" s="504"/>
      <c r="E52" s="504"/>
      <c r="F52" s="504"/>
      <c r="G52" s="504"/>
      <c r="H52" s="503"/>
    </row>
    <row r="53" spans="2:9" ht="13.2" customHeight="1">
      <c r="B53" s="506"/>
      <c r="C53" s="506"/>
      <c r="D53" s="504"/>
      <c r="E53" s="504"/>
      <c r="F53" s="504"/>
      <c r="G53" s="504"/>
      <c r="H53" s="503"/>
    </row>
    <row r="54" spans="2:9" ht="13.2" customHeight="1">
      <c r="B54" s="506"/>
      <c r="C54" s="506"/>
      <c r="D54" s="504"/>
      <c r="E54" s="504"/>
      <c r="F54" s="504"/>
      <c r="G54" s="504"/>
      <c r="H54" s="503"/>
    </row>
    <row r="55" spans="2:9" ht="13.2" customHeight="1">
      <c r="B55" s="506"/>
      <c r="C55" s="506"/>
      <c r="D55" s="504"/>
      <c r="E55" s="504"/>
      <c r="F55" s="504"/>
      <c r="G55" s="504"/>
      <c r="H55" s="503"/>
    </row>
  </sheetData>
  <sheetProtection algorithmName="SHA-512" hashValue="EsaMGPI6oGp9tABDXaElKzoNC18vUe4w0vXt1d24RPdQG/3kWZRVRq8G+9wRd2wFmTGQW+AvGqJucpr+Yo69Ng==" saltValue="okN9Ko1Hjg/NxszLvCAveg==" spinCount="100000" sheet="1" objects="1" scenarios="1"/>
  <mergeCells count="22">
    <mergeCell ref="H13:H14"/>
    <mergeCell ref="B2:H2"/>
    <mergeCell ref="E7:E12"/>
    <mergeCell ref="B15:B17"/>
    <mergeCell ref="C15:C17"/>
    <mergeCell ref="D15:D17"/>
    <mergeCell ref="E15:E17"/>
    <mergeCell ref="F15:F17"/>
    <mergeCell ref="H15:H17"/>
    <mergeCell ref="B7:B12"/>
    <mergeCell ref="C7:C12"/>
    <mergeCell ref="D7:D12"/>
    <mergeCell ref="F7:F12"/>
    <mergeCell ref="H7:H12"/>
    <mergeCell ref="B13:B14"/>
    <mergeCell ref="G7:G12"/>
    <mergeCell ref="G13:G14"/>
    <mergeCell ref="G15:G17"/>
    <mergeCell ref="C13:C14"/>
    <mergeCell ref="D13:D14"/>
    <mergeCell ref="E13:E14"/>
    <mergeCell ref="F13:F1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168B2-5925-441A-8406-A2EB2BC5EDEC}">
  <dimension ref="A2:R10"/>
  <sheetViews>
    <sheetView workbookViewId="0">
      <selection activeCell="U21" sqref="U21"/>
    </sheetView>
  </sheetViews>
  <sheetFormatPr defaultRowHeight="13.2"/>
  <cols>
    <col min="5" max="5" width="7.33203125" customWidth="1"/>
    <col min="6" max="15" width="9.109375" hidden="1" customWidth="1"/>
    <col min="16" max="16" width="26.88671875" customWidth="1"/>
    <col min="17" max="17" width="18.33203125" customWidth="1"/>
    <col min="18" max="18" width="16.44140625" customWidth="1"/>
  </cols>
  <sheetData>
    <row r="2" spans="1:18" ht="54.75" customHeight="1">
      <c r="A2" s="2438" t="s">
        <v>3791</v>
      </c>
      <c r="B2" s="2439"/>
      <c r="C2" s="2439"/>
      <c r="D2" s="2439"/>
      <c r="E2" s="2440"/>
      <c r="F2" s="410"/>
      <c r="G2" s="410"/>
      <c r="H2" s="410"/>
      <c r="I2" s="410"/>
      <c r="J2" s="410"/>
      <c r="K2" s="410"/>
      <c r="L2" s="410"/>
      <c r="M2" s="410"/>
      <c r="N2" s="410"/>
      <c r="O2" s="410"/>
      <c r="P2" s="410" t="s">
        <v>3792</v>
      </c>
      <c r="Q2" s="393" t="s">
        <v>3790</v>
      </c>
      <c r="R2" s="410" t="s">
        <v>3789</v>
      </c>
    </row>
    <row r="3" spans="1:18" ht="43.5" customHeight="1">
      <c r="A3" s="2431" t="s">
        <v>3786</v>
      </c>
      <c r="B3" s="2434"/>
      <c r="C3" s="2434"/>
      <c r="D3" s="2434"/>
      <c r="E3" s="2434"/>
      <c r="F3" s="2434"/>
      <c r="G3" s="2434"/>
      <c r="H3" s="2434"/>
      <c r="I3" s="2434"/>
      <c r="J3" s="2434"/>
      <c r="K3" s="2434"/>
      <c r="L3" s="2434"/>
      <c r="M3" s="2434"/>
      <c r="N3" s="2434"/>
      <c r="O3" s="2434"/>
      <c r="P3" s="410" t="s">
        <v>2547</v>
      </c>
      <c r="Q3" s="585">
        <f>'9 programa'!H178</f>
        <v>2017.9159999999999</v>
      </c>
      <c r="R3" s="586">
        <f>Q3*100/Q8</f>
        <v>3.4720582738179484</v>
      </c>
    </row>
    <row r="4" spans="1:18" ht="90" customHeight="1">
      <c r="A4" s="2431" t="s">
        <v>3787</v>
      </c>
      <c r="B4" s="2434"/>
      <c r="C4" s="2434"/>
      <c r="D4" s="2434"/>
      <c r="E4" s="2434"/>
      <c r="F4" s="2434"/>
      <c r="G4" s="2434"/>
      <c r="H4" s="2434"/>
      <c r="I4" s="2434"/>
      <c r="J4" s="2434"/>
      <c r="K4" s="2434"/>
      <c r="L4" s="2434"/>
      <c r="M4" s="2434"/>
      <c r="N4" s="2434"/>
      <c r="O4" s="2434"/>
      <c r="P4" s="393" t="s">
        <v>3784</v>
      </c>
      <c r="Q4" s="410">
        <f>'1 programa '!H179+'2 programa '!H235+'3 programa'!H45+'4 programa'!H115+'5 programa'!H71+'6 programa'!H213+'7 programa'!H78</f>
        <v>46035.807999999997</v>
      </c>
      <c r="R4" s="586">
        <f>Q4*100/Q8</f>
        <v>79.209941374316116</v>
      </c>
    </row>
    <row r="5" spans="1:18" ht="37.5" customHeight="1">
      <c r="A5" s="2435" t="s">
        <v>3788</v>
      </c>
      <c r="B5" s="2436"/>
      <c r="C5" s="2436"/>
      <c r="D5" s="2436"/>
      <c r="E5" s="2436"/>
      <c r="F5" s="2436"/>
      <c r="G5" s="2436"/>
      <c r="H5" s="2436"/>
      <c r="I5" s="2436"/>
      <c r="J5" s="2436"/>
      <c r="K5" s="2436"/>
      <c r="L5" s="2436"/>
      <c r="M5" s="2436"/>
      <c r="N5" s="2436"/>
      <c r="O5" s="2437"/>
      <c r="P5" s="393" t="s">
        <v>3785</v>
      </c>
      <c r="Q5" s="410">
        <f>'8 programa'!H100+'10 programa'!H178</f>
        <v>10065.001</v>
      </c>
      <c r="R5" s="586">
        <f>Q5*100/Q8</f>
        <v>17.318000351865944</v>
      </c>
    </row>
    <row r="7" spans="1:18" hidden="1">
      <c r="R7" s="538">
        <f>R3+R4+R5</f>
        <v>100.00000000000001</v>
      </c>
    </row>
    <row r="8" spans="1:18" hidden="1">
      <c r="Q8">
        <f>Q3+Q4+Q5</f>
        <v>58118.724999999991</v>
      </c>
    </row>
    <row r="9" spans="1:18" hidden="1"/>
    <row r="10" spans="1:18" hidden="1"/>
  </sheetData>
  <mergeCells count="4">
    <mergeCell ref="A4:O4"/>
    <mergeCell ref="A3:O3"/>
    <mergeCell ref="A5:O5"/>
    <mergeCell ref="A2:E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7D869-E02F-43FB-B40C-B7D7D73FEAB4}">
  <sheetPr>
    <pageSetUpPr fitToPage="1"/>
  </sheetPr>
  <dimension ref="A2:P45"/>
  <sheetViews>
    <sheetView workbookViewId="0">
      <selection activeCell="E30" sqref="E30"/>
    </sheetView>
  </sheetViews>
  <sheetFormatPr defaultRowHeight="13.2"/>
  <cols>
    <col min="1" max="1" width="15.6640625" customWidth="1"/>
    <col min="2" max="2" width="19.109375" customWidth="1"/>
    <col min="3" max="3" width="20.88671875" customWidth="1"/>
    <col min="4" max="4" width="15.44140625" customWidth="1"/>
    <col min="5" max="5" width="15.88671875" customWidth="1"/>
    <col min="6" max="6" width="13.44140625" customWidth="1"/>
    <col min="7" max="7" width="12.88671875" customWidth="1"/>
    <col min="8" max="8" width="11.5546875" customWidth="1"/>
    <col min="9" max="9" width="15.5546875" customWidth="1"/>
    <col min="10" max="10" width="20.88671875" customWidth="1"/>
    <col min="11" max="11" width="21.44140625" customWidth="1"/>
    <col min="12" max="12" width="14" customWidth="1"/>
    <col min="13" max="13" width="25.109375" customWidth="1"/>
    <col min="14" max="14" width="21.33203125" customWidth="1"/>
    <col min="15" max="15" width="14.109375" customWidth="1"/>
  </cols>
  <sheetData>
    <row r="2" spans="1:16">
      <c r="C2" s="1583" t="s">
        <v>3708</v>
      </c>
      <c r="D2" s="1583"/>
      <c r="E2" s="1583"/>
      <c r="F2" s="1583"/>
      <c r="G2" s="1583"/>
      <c r="H2" s="1583"/>
      <c r="I2" s="1583"/>
    </row>
    <row r="5" spans="1:16" ht="48.75" customHeight="1">
      <c r="A5" s="567"/>
      <c r="B5" s="567" t="s">
        <v>3707</v>
      </c>
      <c r="C5" s="567" t="s">
        <v>3702</v>
      </c>
      <c r="D5" s="568" t="s">
        <v>3709</v>
      </c>
      <c r="E5" s="567" t="s">
        <v>1422</v>
      </c>
      <c r="F5" s="567" t="s">
        <v>1817</v>
      </c>
      <c r="G5" s="567" t="s">
        <v>2341</v>
      </c>
      <c r="H5" s="567" t="s">
        <v>3587</v>
      </c>
      <c r="I5" s="567" t="s">
        <v>3716</v>
      </c>
      <c r="J5" s="568" t="s">
        <v>3712</v>
      </c>
      <c r="K5" s="567" t="s">
        <v>3710</v>
      </c>
      <c r="L5" s="567" t="s">
        <v>3711</v>
      </c>
      <c r="M5" s="567" t="s">
        <v>3714</v>
      </c>
      <c r="N5" s="567" t="s">
        <v>3703</v>
      </c>
    </row>
    <row r="6" spans="1:16" ht="24" customHeight="1">
      <c r="A6" s="562" t="s">
        <v>2540</v>
      </c>
      <c r="B6" s="563">
        <f>'1 programa '!H20+'1 programa '!H30+'1 programa '!H36+'1 programa '!H44+'1 programa '!H47+'1 programa '!H78+'1 programa '!H63</f>
        <v>3719.6999999999994</v>
      </c>
      <c r="C6" s="563">
        <f>'1 programa '!H142</f>
        <v>121</v>
      </c>
      <c r="D6" s="562"/>
      <c r="E6" s="562">
        <v>0</v>
      </c>
      <c r="F6" s="562">
        <f>'1 programa '!H35+'1 programa '!H43+'1 programa '!H46+'1 programa '!H49+'1 programa '!H51+'1 programa '!H53+'1 programa '!H55+'1 programa '!H57+'1 programa '!H60+'1 programa '!H62+'1 programa '!H65+'1 programa '!H67+'1 programa '!H69+'1 programa '!H72+'1 programa '!H75+'1 programa '!H77+'1 programa '!H80+'1 programa '!H82+'1 programa '!H84</f>
        <v>255.30100000000002</v>
      </c>
      <c r="G6" s="562">
        <v>0</v>
      </c>
      <c r="H6" s="562"/>
      <c r="I6" s="563">
        <f>'1 programa '!H28+'1 programa '!H88+'1 programa '!H100+'1 programa '!H102+'1 programa '!H105+'1 programa '!H107+'1 programa '!H109+'1 programa '!H111+'1 programa '!H114+'1 programa '!H117+'1 programa '!H129+'1 programa '!H137+'1 programa '!H146+'1 programa '!H151+'1 programa '!H159+'1 programa '!H164+'1 programa '!H167</f>
        <v>1662.1</v>
      </c>
      <c r="J6" s="563">
        <v>0</v>
      </c>
      <c r="K6" s="563">
        <f>'1 programa '!H21</f>
        <v>17.3</v>
      </c>
      <c r="L6" s="562">
        <v>0</v>
      </c>
      <c r="M6" s="562">
        <f>'1 programa '!H178</f>
        <v>0</v>
      </c>
      <c r="N6" s="565">
        <f>SUM(B6:L6)</f>
        <v>5775.4009999999989</v>
      </c>
      <c r="O6" s="537">
        <f>'1 programa '!H179-'Suvestinė pagal FŠ'!N6</f>
        <v>0</v>
      </c>
      <c r="P6" s="537"/>
    </row>
    <row r="7" spans="1:16">
      <c r="A7" s="562" t="s">
        <v>2541</v>
      </c>
      <c r="B7" s="563">
        <f>'2 programa '!H180+'2 programa '!H16</f>
        <v>6368.1299999999992</v>
      </c>
      <c r="C7" s="562">
        <f>'2 programa '!H165+'2 programa '!H196+'2 programa '!H199+'2 programa '!H201+'2 programa '!H206+'2 programa '!H212</f>
        <v>960.60299999999995</v>
      </c>
      <c r="D7" s="562"/>
      <c r="E7" s="562">
        <f>'2 programa '!H103+'2 programa '!H182+'2 programa '!H218</f>
        <v>162.00300000000001</v>
      </c>
      <c r="F7" s="562">
        <v>0</v>
      </c>
      <c r="G7" s="563">
        <f>'2 programa '!H70+'2 programa '!H161</f>
        <v>8800.5400000000009</v>
      </c>
      <c r="H7" s="563">
        <f>'2 programa '!I127</f>
        <v>39</v>
      </c>
      <c r="I7" s="563">
        <f>'2 programa '!H152+'2 programa '!H156+'2 programa '!H160+'2 programa '!H190+'2 programa '!H192+'2 programa '!H216+'2 programa '!H181+'2 programa '!H183+'2 programa '!H72</f>
        <v>866.08999999999992</v>
      </c>
      <c r="J7" s="562">
        <f>'2 programa '!H166+'2 programa '!H167+'2 programa '!H168+'2 programa '!H195+'2 programa '!H197+'2 programa '!H202+'2 programa '!H207+'2 programa '!H211</f>
        <v>3086.6759999999995</v>
      </c>
      <c r="K7" s="562">
        <f>'2 programa '!H17</f>
        <v>824.35399999999993</v>
      </c>
      <c r="L7" s="562">
        <v>0</v>
      </c>
      <c r="M7" s="562">
        <f>'2 programa '!H234</f>
        <v>0.33300000000000002</v>
      </c>
      <c r="N7" s="565">
        <f>SUM(B7:M7)</f>
        <v>21107.728999999996</v>
      </c>
      <c r="O7" s="537">
        <f>'2 programa '!H235-'Suvestinė pagal FŠ'!N7</f>
        <v>0</v>
      </c>
    </row>
    <row r="8" spans="1:16">
      <c r="A8" s="562" t="s">
        <v>2542</v>
      </c>
      <c r="B8" s="562">
        <v>0</v>
      </c>
      <c r="C8" s="562">
        <v>0</v>
      </c>
      <c r="D8" s="562"/>
      <c r="E8" s="562">
        <v>0</v>
      </c>
      <c r="F8" s="562">
        <v>0</v>
      </c>
      <c r="G8" s="563">
        <f>'3 programa'!H14</f>
        <v>24.36</v>
      </c>
      <c r="H8" s="562"/>
      <c r="I8" s="563">
        <f>'3 programa'!H13+'3 programa'!H23+'3 programa'!H25+'3 programa'!H27+'3 programa'!H29+'3 programa'!H31+'3 programa'!H33</f>
        <v>1455.3</v>
      </c>
      <c r="J8" s="562">
        <v>0</v>
      </c>
      <c r="K8" s="562">
        <v>0</v>
      </c>
      <c r="L8" s="562">
        <v>0</v>
      </c>
      <c r="M8" s="562">
        <f>'3 programa'!H44</f>
        <v>0</v>
      </c>
      <c r="N8" s="565">
        <f>SUM(B8:L8)</f>
        <v>1479.6599999999999</v>
      </c>
      <c r="O8" s="537">
        <f>N8-'3 programa'!H45</f>
        <v>0</v>
      </c>
    </row>
    <row r="9" spans="1:16">
      <c r="A9" s="562" t="s">
        <v>3593</v>
      </c>
      <c r="B9" s="563">
        <f>'4 programa'!H17</f>
        <v>1509.4499999999998</v>
      </c>
      <c r="C9" s="562">
        <v>0</v>
      </c>
      <c r="D9" s="562"/>
      <c r="E9" s="562">
        <f>'4 programa'!H19</f>
        <v>25.484000000000002</v>
      </c>
      <c r="F9" s="562">
        <v>0</v>
      </c>
      <c r="G9" s="562">
        <v>0</v>
      </c>
      <c r="H9" s="562"/>
      <c r="I9" s="563">
        <f>'4 programa'!H35+'4 programa'!H39+'4 programa'!H45+'4 programa'!H50+'4 programa'!H54+'4 programa'!H59+'4 programa'!H63+'4 programa'!H67+'4 programa'!H71+'4 programa'!H74+'4 programa'!H80+'4 programa'!H84+'4 programa'!H90+'4 programa'!H95+'4 programa'!H100</f>
        <v>381.88</v>
      </c>
      <c r="J9" s="562">
        <v>0</v>
      </c>
      <c r="K9" s="562">
        <f>'4 programa'!H18</f>
        <v>69.643000000000001</v>
      </c>
      <c r="L9" s="562">
        <v>0</v>
      </c>
      <c r="M9" s="563">
        <f>'4 programa'!H114</f>
        <v>16</v>
      </c>
      <c r="N9" s="565">
        <f>SUM(B9:M9)</f>
        <v>2002.4569999999999</v>
      </c>
      <c r="O9" s="537">
        <f>'4 programa'!H115-'Suvestinė pagal FŠ'!N9</f>
        <v>0</v>
      </c>
    </row>
    <row r="10" spans="1:16">
      <c r="A10" s="562" t="s">
        <v>2544</v>
      </c>
      <c r="B10" s="562">
        <v>0</v>
      </c>
      <c r="C10" s="563">
        <f>'5 programa'!H25</f>
        <v>88.73</v>
      </c>
      <c r="D10" s="562"/>
      <c r="E10" s="562">
        <v>0</v>
      </c>
      <c r="F10" s="562">
        <v>0</v>
      </c>
      <c r="G10" s="562">
        <v>0</v>
      </c>
      <c r="H10" s="562"/>
      <c r="I10" s="563">
        <f>'5 programa'!H18+'5 programa'!H20+'5 programa'!H23+'5 programa'!H27+'5 programa'!H29+'5 programa'!H32+'5 programa'!H34+'5 programa'!H36+'5 programa'!H38+'5 programa'!H41+'5 programa'!H43+'5 programa'!H46+'5 programa'!H48+'5 programa'!H51+'5 programa'!H60</f>
        <v>301.72000000000003</v>
      </c>
      <c r="J10" s="562">
        <f>'5 programa'!H53</f>
        <v>4.8390000000000004</v>
      </c>
      <c r="K10" s="562">
        <v>0</v>
      </c>
      <c r="L10" s="562">
        <v>0</v>
      </c>
      <c r="M10" s="562">
        <f>'5 programa'!H70</f>
        <v>0</v>
      </c>
      <c r="N10" s="565">
        <f>SUM(B10:L10)</f>
        <v>395.28900000000004</v>
      </c>
      <c r="O10" s="537">
        <f>N10-'5 programa'!H71</f>
        <v>0</v>
      </c>
    </row>
    <row r="11" spans="1:16">
      <c r="A11" s="562" t="s">
        <v>531</v>
      </c>
      <c r="B11" s="563">
        <f>'6 programa'!H21+'6 programa'!H26+'6 programa'!H40</f>
        <v>3227.88</v>
      </c>
      <c r="C11" s="562">
        <f>'6 programa'!H124+'6 programa'!H178+'6 programa'!H189+'6 programa'!H193+'6 programa'!H199+'6 programa'!H181</f>
        <v>253.26399999999998</v>
      </c>
      <c r="D11" s="562"/>
      <c r="E11" s="562">
        <f>'6 programa'!H23+'6 programa'!H28+'6 programa'!H59+'6 programa'!H95+'6 programa'!H102+'6 programa'!H132+'6 programa'!H141+'6 programa'!H145+'6 programa'!H154+'6 programa'!H160+'6 programa'!H167</f>
        <v>194.976</v>
      </c>
      <c r="F11" s="562">
        <f>'6 programa'!H39+'6 programa'!H56+'6 programa'!H58+'6 programa'!H72+'6 programa'!H86+'6 programa'!H140</f>
        <v>2128.585</v>
      </c>
      <c r="G11" s="562">
        <v>0</v>
      </c>
      <c r="H11" s="562"/>
      <c r="I11" s="563">
        <f>'6 programa'!H31+'6 programa'!H45+'6 programa'!H91+'6 programa'!H94+'6 programa'!H97+'6 programa'!H99+'6 programa'!H101+'6 programa'!H105+'6 programa'!H109+'6 programa'!H112+'6 programa'!H114+'6 programa'!H116+'6 programa'!H121+'6 programa'!H137+'6 programa'!H148+'6 programa'!H159+'6 programa'!H166+'6 programa'!H184</f>
        <v>747.03</v>
      </c>
      <c r="J11" s="562">
        <f>'6 programa'!H126+'6 programa'!H131+'6 programa'!H133+'6 programa'!H162+'6 programa'!H163+'6 programa'!H190+'6 programa'!H191+'6 programa'!H194+'6 programa'!H200</f>
        <v>708.21799999999996</v>
      </c>
      <c r="K11" s="562">
        <f>'6 programa'!H17+'6 programa'!H110+'6 programa'!H122+'6 programa'!H153</f>
        <v>511.10300000000001</v>
      </c>
      <c r="L11" s="563">
        <f>'6 programa'!H179</f>
        <v>100</v>
      </c>
      <c r="M11" s="563">
        <f>'6 programa'!H212</f>
        <v>6510.7999999999993</v>
      </c>
      <c r="N11" s="565">
        <f>SUM(B11:M11)</f>
        <v>14381.856</v>
      </c>
      <c r="O11" s="537">
        <f>N11-'6 programa'!H213</f>
        <v>0</v>
      </c>
    </row>
    <row r="12" spans="1:16">
      <c r="A12" s="562" t="s">
        <v>2545</v>
      </c>
      <c r="B12" s="562">
        <v>0</v>
      </c>
      <c r="C12" s="562">
        <v>0</v>
      </c>
      <c r="D12" s="563">
        <f>'7 programa'!H13</f>
        <v>19.54</v>
      </c>
      <c r="E12" s="562">
        <v>0</v>
      </c>
      <c r="F12" s="563">
        <f>'7 programa'!H17+'7 programa'!H24+'7 programa'!H33</f>
        <v>211.84</v>
      </c>
      <c r="G12" s="562">
        <v>0</v>
      </c>
      <c r="H12" s="562"/>
      <c r="I12" s="563">
        <f>'7 programa'!H23+'7 programa'!H35+'7 programa'!H47</f>
        <v>54.8</v>
      </c>
      <c r="J12" s="563">
        <f>'7 programa'!H31+'7 programa'!H38+'7 programa'!H66</f>
        <v>478.2</v>
      </c>
      <c r="K12" s="562">
        <v>0</v>
      </c>
      <c r="L12" s="562">
        <v>0</v>
      </c>
      <c r="M12" s="562">
        <f>'7 programa'!H77</f>
        <v>129.036</v>
      </c>
      <c r="N12" s="565">
        <f>SUM(B12:M12)</f>
        <v>893.41599999999994</v>
      </c>
      <c r="O12" s="537">
        <f>N12-'7 programa'!H78</f>
        <v>0</v>
      </c>
    </row>
    <row r="13" spans="1:16">
      <c r="A13" s="562" t="s">
        <v>3594</v>
      </c>
      <c r="B13" s="563">
        <f>'8 programa'!H18+'8 programa'!H22</f>
        <v>3436.76</v>
      </c>
      <c r="C13" s="562">
        <f>'8 programa'!H57+'8 programa'!H29+'8 programa'!H44</f>
        <v>349.125</v>
      </c>
      <c r="D13" s="562">
        <f>'8 programa'!H16+'8 programa'!H25+'8 programa'!H34+'8 programa'!H39+'8 programa'!H42+'8 programa'!H52</f>
        <v>64.096000000000004</v>
      </c>
      <c r="E13" s="562">
        <v>0</v>
      </c>
      <c r="F13" s="562">
        <v>0</v>
      </c>
      <c r="G13" s="562">
        <v>0</v>
      </c>
      <c r="H13" s="562"/>
      <c r="I13" s="563">
        <f>'8 programa'!H15+'8 programa'!H20+'8 programa'!H24+'8 programa'!H27+'8 programa'!H33+'8 programa'!H38+'8 programa'!H51+'8 programa'!H61+'8 programa'!H80+'8 programa'!H83</f>
        <v>371.37</v>
      </c>
      <c r="J13" s="562">
        <f>'8 programa'!H30+'8 programa'!H55+'8 programa'!H58+'8 programa'!H88</f>
        <v>0</v>
      </c>
      <c r="K13" s="562">
        <v>0</v>
      </c>
      <c r="L13" s="562">
        <v>0</v>
      </c>
      <c r="M13" s="562">
        <f>'8 programa'!H99</f>
        <v>141.36799999999999</v>
      </c>
      <c r="N13" s="565">
        <f>SUM(B13:M13)</f>
        <v>4362.719000000001</v>
      </c>
      <c r="O13" s="537">
        <f>N13-'8 programa'!H100</f>
        <v>0</v>
      </c>
    </row>
    <row r="14" spans="1:16">
      <c r="A14" s="562" t="s">
        <v>2547</v>
      </c>
      <c r="B14" s="563">
        <f>'9 programa'!H156</f>
        <v>213.8</v>
      </c>
      <c r="C14" s="562">
        <f>'9 programa'!H85+'9 programa'!H93+'9 programa'!H98+'9 programa'!H108+'9 programa'!H145+'9 programa'!H167+'9 programa'!H152</f>
        <v>923.69600000000003</v>
      </c>
      <c r="D14" s="562"/>
      <c r="E14" s="562">
        <v>0</v>
      </c>
      <c r="F14" s="562">
        <f>'9 programa'!H57</f>
        <v>86.06</v>
      </c>
      <c r="G14" s="562">
        <v>0</v>
      </c>
      <c r="H14" s="562"/>
      <c r="I14" s="563">
        <f>'9 programa'!H40+'9 programa'!H50+'9 programa'!H52+'9 programa'!H54+'9 programa'!H56+'9 programa'!H59+'9 programa'!H67+'9 programa'!H69+'9 programa'!H76+'9 programa'!H80+'9 programa'!H82+'9 programa'!H131+'9 programa'!H150+'9 programa'!H162</f>
        <v>560.5</v>
      </c>
      <c r="J14" s="563">
        <f>'9 programa'!H143</f>
        <v>2.375</v>
      </c>
      <c r="K14" s="563">
        <f>'9 programa'!H157</f>
        <v>136.69999999999999</v>
      </c>
      <c r="L14" s="562">
        <v>0</v>
      </c>
      <c r="M14" s="562">
        <f>'9 programa'!H96+'9 programa'!H91</f>
        <v>94.785000000000011</v>
      </c>
      <c r="N14" s="565">
        <f>SUM(B14:M14)</f>
        <v>2017.9160000000002</v>
      </c>
      <c r="O14" s="537">
        <f>N14-'9 programa'!H178</f>
        <v>0</v>
      </c>
    </row>
    <row r="15" spans="1:16">
      <c r="A15" s="562" t="s">
        <v>2548</v>
      </c>
      <c r="B15" s="563">
        <f>'10 programa'!H24+'10 programa'!H26+'10 programa'!H28+'10 programa'!H32+'10 programa'!H142</f>
        <v>704.57999999999993</v>
      </c>
      <c r="C15" s="562">
        <f>'10 programa'!H35+'10 programa'!H45+'10 programa'!H52+'10 programa'!H69+'10 programa'!H71+'10 programa'!H75+'10 programa'!H157+'10 programa'!H167+'10 programa'!H94</f>
        <v>1887.2269999999999</v>
      </c>
      <c r="D15" s="562"/>
      <c r="E15" s="563">
        <f>'10 programa'!H46</f>
        <v>1169.8</v>
      </c>
      <c r="F15" s="562">
        <v>0</v>
      </c>
      <c r="G15" s="562">
        <v>0</v>
      </c>
      <c r="H15" s="562"/>
      <c r="I15" s="563">
        <f>'10 programa'!H48+'10 programa'!H58+'10 programa'!H60+'10 programa'!H66+'10 programa'!H85+'10 programa'!H89+'10 programa'!H105+'10 programa'!H125+'10 programa'!H128+'10 programa'!H134+'10 programa'!H144+'10 programa'!H146+'10 programa'!H155+'10 programa'!H161+'10 programa'!H164</f>
        <v>1680.61</v>
      </c>
      <c r="J15" s="562">
        <f>'10 programa'!H36+'10 programa'!H42+'10 programa'!H53+'10 programa'!H64+'10 programa'!H78+'10 programa'!H97</f>
        <v>25.507999999999999</v>
      </c>
      <c r="K15" s="563">
        <f>'10 programa'!H90</f>
        <v>9.5</v>
      </c>
      <c r="L15" s="562">
        <f>'10 programa'!H55+'10 programa'!H77</f>
        <v>225.05700000000002</v>
      </c>
      <c r="M15" s="562">
        <f>'10 programa'!H177</f>
        <v>0</v>
      </c>
      <c r="N15" s="565">
        <f>SUM(B15:L15)</f>
        <v>5702.2819999999992</v>
      </c>
      <c r="O15" s="537">
        <f>'10 programa'!H178-'Suvestinė pagal FŠ'!N15</f>
        <v>0</v>
      </c>
    </row>
    <row r="16" spans="1:16">
      <c r="A16" s="562"/>
      <c r="B16" s="562"/>
      <c r="C16" s="562"/>
      <c r="D16" s="562"/>
      <c r="E16" s="562"/>
      <c r="F16" s="562"/>
      <c r="G16" s="562">
        <v>0</v>
      </c>
      <c r="H16" s="562"/>
      <c r="I16" s="562"/>
      <c r="J16" s="562"/>
      <c r="K16" s="562"/>
      <c r="L16" s="562"/>
      <c r="M16" s="562"/>
      <c r="N16" s="563"/>
    </row>
    <row r="17" spans="1:16" ht="36" customHeight="1">
      <c r="A17" s="581" t="s">
        <v>3703</v>
      </c>
      <c r="B17" s="582">
        <f>SUM(B6:B15)</f>
        <v>19180.299999999996</v>
      </c>
      <c r="C17" s="582">
        <f>C6+C7+C10+C11+C13+C14+C15+L17</f>
        <v>4908.7020000000002</v>
      </c>
      <c r="D17" s="582">
        <f>D12+D13</f>
        <v>83.635999999999996</v>
      </c>
      <c r="E17" s="583">
        <f>SUM(E6:E15)</f>
        <v>1552.2629999999999</v>
      </c>
      <c r="F17" s="583">
        <f>SUM(F6:F15)</f>
        <v>2681.7860000000001</v>
      </c>
      <c r="G17" s="582">
        <f>G7+G8</f>
        <v>8824.9000000000015</v>
      </c>
      <c r="H17" s="582">
        <f>H7</f>
        <v>39</v>
      </c>
      <c r="I17" s="582">
        <f>SUM(I6:I15)</f>
        <v>8081.4</v>
      </c>
      <c r="J17" s="582">
        <f>SUM(J6:J15)</f>
        <v>4305.8159999999989</v>
      </c>
      <c r="K17" s="582">
        <f>SUM(K6:K15)</f>
        <v>1568.6</v>
      </c>
      <c r="L17" s="583">
        <f>SUM(L6:L15)</f>
        <v>325.05700000000002</v>
      </c>
      <c r="M17" s="582">
        <f>M6+M7+M8+M9+M10+M11+M12+M13+M14+M15</f>
        <v>6892.3219999999992</v>
      </c>
      <c r="N17" s="565">
        <f>SUM(B17:M17)</f>
        <v>58443.781999999999</v>
      </c>
      <c r="O17" s="537"/>
      <c r="P17" s="537"/>
    </row>
    <row r="18" spans="1:16">
      <c r="A18" s="562"/>
      <c r="B18" s="562"/>
      <c r="C18" s="565"/>
      <c r="D18" s="562"/>
      <c r="E18" s="562"/>
      <c r="F18" s="562"/>
      <c r="G18" s="562"/>
      <c r="H18" s="562"/>
      <c r="I18" s="562"/>
      <c r="J18" s="562"/>
      <c r="K18" s="562"/>
      <c r="L18" s="562"/>
      <c r="M18" s="562"/>
      <c r="N18" s="562"/>
    </row>
    <row r="19" spans="1:16">
      <c r="A19" s="562"/>
      <c r="B19" s="562"/>
      <c r="C19" s="562"/>
      <c r="D19" s="562"/>
      <c r="E19" s="562"/>
      <c r="F19" s="562"/>
      <c r="G19" s="562"/>
      <c r="H19" s="562"/>
      <c r="I19" s="562"/>
      <c r="J19" s="562"/>
      <c r="K19" s="562"/>
      <c r="L19" s="562"/>
      <c r="M19" s="562"/>
      <c r="N19" s="562"/>
    </row>
    <row r="20" spans="1:16" ht="21.75" customHeight="1">
      <c r="A20" s="569" t="s">
        <v>3704</v>
      </c>
      <c r="B20" s="570">
        <v>19180.3</v>
      </c>
      <c r="C20" s="570">
        <v>4904.7</v>
      </c>
      <c r="D20" s="569">
        <v>83.635999999999996</v>
      </c>
      <c r="E20" s="569">
        <v>1552.2629999999999</v>
      </c>
      <c r="F20" s="569">
        <v>2681.7860000000001</v>
      </c>
      <c r="G20" s="570">
        <v>8824.9</v>
      </c>
      <c r="H20" s="570">
        <v>39</v>
      </c>
      <c r="I20" s="570">
        <v>8085.4</v>
      </c>
      <c r="J20" s="569"/>
      <c r="K20" s="570">
        <v>1550</v>
      </c>
      <c r="L20" s="569"/>
      <c r="M20" s="569"/>
      <c r="N20" s="570">
        <f>N6+N7+N8+N9+N10+N11+N12+N13+N14+N15</f>
        <v>58118.724999999984</v>
      </c>
    </row>
    <row r="21" spans="1:16">
      <c r="A21" s="562"/>
      <c r="B21" s="562"/>
      <c r="C21" s="562"/>
      <c r="D21" s="562"/>
      <c r="E21" s="562"/>
      <c r="F21" s="562"/>
      <c r="G21" s="562"/>
      <c r="H21" s="562"/>
      <c r="I21" s="562"/>
      <c r="J21" s="562"/>
      <c r="K21" s="570">
        <v>18.600000000000001</v>
      </c>
      <c r="L21" s="569" t="s">
        <v>3706</v>
      </c>
      <c r="M21" s="569"/>
      <c r="N21" s="562"/>
    </row>
    <row r="22" spans="1:16">
      <c r="A22" s="562"/>
      <c r="B22" s="563">
        <f t="shared" ref="B22:G22" si="0">B17-B20</f>
        <v>0</v>
      </c>
      <c r="C22" s="566">
        <f t="shared" si="0"/>
        <v>4.0020000000004075</v>
      </c>
      <c r="D22" s="563">
        <f t="shared" si="0"/>
        <v>0</v>
      </c>
      <c r="E22" s="563">
        <f t="shared" si="0"/>
        <v>0</v>
      </c>
      <c r="F22" s="563">
        <f t="shared" si="0"/>
        <v>0</v>
      </c>
      <c r="G22" s="563">
        <f t="shared" si="0"/>
        <v>0</v>
      </c>
      <c r="H22" s="563">
        <f>H20-H7</f>
        <v>0</v>
      </c>
      <c r="I22" s="566">
        <f>I17-I20</f>
        <v>-4</v>
      </c>
      <c r="J22" s="562"/>
      <c r="K22" s="563">
        <f>K20+K21</f>
        <v>1568.6</v>
      </c>
      <c r="L22" s="562"/>
      <c r="M22" s="562"/>
      <c r="N22" s="562"/>
    </row>
    <row r="23" spans="1:16">
      <c r="A23" s="562"/>
      <c r="B23" s="562"/>
      <c r="C23" s="577" t="s">
        <v>3782</v>
      </c>
      <c r="D23" s="562"/>
      <c r="E23" s="562"/>
      <c r="F23" s="562"/>
      <c r="G23" s="562"/>
      <c r="H23" s="562"/>
      <c r="I23" s="562"/>
      <c r="J23" s="562"/>
      <c r="K23" s="563">
        <f>K17-K22</f>
        <v>0</v>
      </c>
      <c r="L23" s="562"/>
      <c r="M23" s="562"/>
      <c r="N23" s="576">
        <f>N17-N20</f>
        <v>325.05700000001525</v>
      </c>
    </row>
    <row r="24" spans="1:16">
      <c r="A24" s="562"/>
      <c r="B24" s="562"/>
      <c r="C24" s="566"/>
      <c r="D24" s="562"/>
      <c r="E24" s="562"/>
      <c r="F24" s="562"/>
      <c r="G24" s="562"/>
      <c r="H24" s="562"/>
      <c r="I24" s="562"/>
      <c r="J24" s="562"/>
      <c r="K24" s="562"/>
      <c r="L24" s="562"/>
      <c r="M24" s="562"/>
      <c r="N24" s="562"/>
    </row>
    <row r="25" spans="1:16">
      <c r="A25" s="562"/>
      <c r="B25" s="562"/>
      <c r="C25" s="562"/>
      <c r="D25" s="562"/>
      <c r="E25" s="562"/>
      <c r="F25" s="570">
        <f>F20+G20+H20</f>
        <v>11545.686</v>
      </c>
      <c r="G25" s="562"/>
      <c r="H25" s="562"/>
      <c r="I25" s="562"/>
      <c r="J25" s="562"/>
      <c r="K25" s="562"/>
      <c r="L25" s="562"/>
      <c r="M25" s="562"/>
      <c r="N25" s="562"/>
    </row>
    <row r="26" spans="1:16">
      <c r="C26" s="537"/>
    </row>
    <row r="28" spans="1:16" ht="26.4">
      <c r="B28" s="571" t="s">
        <v>3717</v>
      </c>
      <c r="C28" s="565">
        <f>B17+C17+D17+I17+K17</f>
        <v>33822.637999999992</v>
      </c>
      <c r="E28" s="537"/>
      <c r="J28" s="539"/>
      <c r="K28" s="539"/>
      <c r="L28" s="537"/>
    </row>
    <row r="29" spans="1:16" ht="25.5" customHeight="1">
      <c r="B29" s="571" t="s">
        <v>3781</v>
      </c>
      <c r="C29" s="565">
        <f>L17</f>
        <v>325.05700000000002</v>
      </c>
      <c r="E29" s="537" t="s">
        <v>3461</v>
      </c>
      <c r="J29" s="539"/>
      <c r="K29" s="539"/>
      <c r="L29" s="537"/>
    </row>
    <row r="30" spans="1:16" ht="51" customHeight="1">
      <c r="B30" s="572" t="s">
        <v>3715</v>
      </c>
      <c r="C30" s="565">
        <f>E20+F25</f>
        <v>13097.949000000001</v>
      </c>
      <c r="J30" s="537"/>
      <c r="L30" s="537"/>
    </row>
    <row r="31" spans="1:16" ht="27.75" customHeight="1">
      <c r="B31" s="572" t="s">
        <v>3712</v>
      </c>
      <c r="C31" s="565">
        <f>J17</f>
        <v>4305.8159999999989</v>
      </c>
    </row>
    <row r="32" spans="1:16" ht="27.75" customHeight="1">
      <c r="B32" s="572" t="s">
        <v>3713</v>
      </c>
      <c r="C32" s="565">
        <f>M17</f>
        <v>6892.3219999999992</v>
      </c>
      <c r="J32" s="537"/>
    </row>
    <row r="33" spans="1:10" ht="24" customHeight="1">
      <c r="B33" s="564"/>
      <c r="C33" s="564"/>
    </row>
    <row r="34" spans="1:10" ht="28.5" customHeight="1">
      <c r="B34" s="584" t="s">
        <v>3629</v>
      </c>
      <c r="C34" s="565">
        <f>C28+C30+C31+C32+C29</f>
        <v>58443.781999999992</v>
      </c>
      <c r="J34" s="537"/>
    </row>
    <row r="37" spans="1:10">
      <c r="C37" s="537"/>
      <c r="D37" s="537"/>
    </row>
    <row r="40" spans="1:10">
      <c r="B40" s="537"/>
      <c r="C40" s="561"/>
    </row>
    <row r="45" spans="1:10">
      <c r="A45" t="s">
        <v>3783</v>
      </c>
    </row>
  </sheetData>
  <mergeCells count="1">
    <mergeCell ref="C2:I2"/>
  </mergeCells>
  <pageMargins left="0.7" right="0.7" top="0.75" bottom="0.75" header="0.3" footer="0.3"/>
  <pageSetup paperSize="9" scale="52"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409"/>
  <sheetViews>
    <sheetView workbookViewId="0">
      <selection activeCell="A74" sqref="A74:D74"/>
    </sheetView>
  </sheetViews>
  <sheetFormatPr defaultRowHeight="13.2"/>
  <cols>
    <col min="1" max="1" width="58.5546875" customWidth="1"/>
    <col min="2" max="2" width="16.5546875" customWidth="1"/>
    <col min="5" max="5" width="1.88671875" customWidth="1"/>
  </cols>
  <sheetData>
    <row r="1" spans="1:7" ht="15.6">
      <c r="A1" s="341" t="s">
        <v>960</v>
      </c>
      <c r="B1" s="341"/>
      <c r="C1" s="341"/>
      <c r="D1" s="341"/>
      <c r="E1" s="302"/>
      <c r="F1" s="302"/>
      <c r="G1" s="341"/>
    </row>
    <row r="2" spans="1:7">
      <c r="A2" s="302"/>
      <c r="B2" s="302"/>
      <c r="C2" s="302"/>
      <c r="D2" s="2448"/>
      <c r="E2" s="2448"/>
      <c r="F2" s="302"/>
      <c r="G2" s="302"/>
    </row>
    <row r="3" spans="1:7" ht="13.8" thickBot="1">
      <c r="A3" s="304"/>
      <c r="B3" s="304"/>
      <c r="C3" s="304"/>
      <c r="D3" s="2449" t="s">
        <v>677</v>
      </c>
      <c r="E3" s="2449"/>
      <c r="F3" s="304"/>
      <c r="G3" s="302"/>
    </row>
    <row r="4" spans="1:7" ht="24.75" customHeight="1">
      <c r="A4" s="2450" t="s">
        <v>308</v>
      </c>
      <c r="B4" s="2450" t="s">
        <v>707</v>
      </c>
      <c r="C4" s="2450" t="s">
        <v>175</v>
      </c>
      <c r="D4" s="2452" t="s">
        <v>863</v>
      </c>
      <c r="E4" s="2453"/>
      <c r="F4" s="303" t="s">
        <v>864</v>
      </c>
      <c r="G4" s="342" t="s">
        <v>961</v>
      </c>
    </row>
    <row r="5" spans="1:7" ht="13.8" thickBot="1">
      <c r="A5" s="2451"/>
      <c r="B5" s="2451"/>
      <c r="C5" s="2451"/>
      <c r="D5" s="2454" t="s">
        <v>799</v>
      </c>
      <c r="E5" s="2455"/>
      <c r="F5" s="305" t="s">
        <v>799</v>
      </c>
      <c r="G5" s="342" t="s">
        <v>799</v>
      </c>
    </row>
    <row r="6" spans="1:7" ht="40.5" customHeight="1" thickBot="1">
      <c r="A6" s="2441" t="s">
        <v>697</v>
      </c>
      <c r="B6" s="2442"/>
      <c r="C6" s="2442"/>
      <c r="D6" s="2442"/>
      <c r="E6" s="2442"/>
      <c r="F6" s="2442"/>
      <c r="G6" s="343"/>
    </row>
    <row r="7" spans="1:7" ht="14.4" thickBot="1">
      <c r="A7" s="2441" t="s">
        <v>698</v>
      </c>
      <c r="B7" s="2442"/>
      <c r="C7" s="2442"/>
      <c r="D7" s="2442"/>
      <c r="E7" s="2442"/>
      <c r="F7" s="2442"/>
      <c r="G7" s="343"/>
    </row>
    <row r="8" spans="1:7" ht="22.5" customHeight="1" thickBot="1">
      <c r="A8" s="306" t="s">
        <v>699</v>
      </c>
      <c r="B8" s="307" t="s">
        <v>455</v>
      </c>
      <c r="C8" s="308" t="s">
        <v>456</v>
      </c>
      <c r="D8" s="2443">
        <v>85</v>
      </c>
      <c r="E8" s="2444"/>
      <c r="F8" s="309">
        <v>85</v>
      </c>
      <c r="G8" s="344">
        <v>85</v>
      </c>
    </row>
    <row r="9" spans="1:7" ht="29.25" customHeight="1" thickBot="1">
      <c r="A9" s="306" t="s">
        <v>843</v>
      </c>
      <c r="B9" s="307" t="s">
        <v>844</v>
      </c>
      <c r="C9" s="308" t="s">
        <v>249</v>
      </c>
      <c r="D9" s="2443" t="s">
        <v>845</v>
      </c>
      <c r="E9" s="2444"/>
      <c r="F9" s="309" t="s">
        <v>845</v>
      </c>
      <c r="G9" s="344" t="s">
        <v>845</v>
      </c>
    </row>
    <row r="10" spans="1:7" ht="31.5" customHeight="1" thickBot="1">
      <c r="A10" s="2445" t="s">
        <v>434</v>
      </c>
      <c r="B10" s="2446"/>
      <c r="C10" s="2446"/>
      <c r="D10" s="2446"/>
      <c r="E10" s="2447"/>
      <c r="F10" s="2447"/>
      <c r="G10" s="345"/>
    </row>
    <row r="11" spans="1:7" ht="27" customHeight="1" thickBot="1">
      <c r="A11" s="2461" t="s">
        <v>280</v>
      </c>
      <c r="B11" s="2462"/>
      <c r="C11" s="2462"/>
      <c r="D11" s="2462"/>
      <c r="E11" s="2463"/>
      <c r="F11" s="2463"/>
      <c r="G11" s="346"/>
    </row>
    <row r="12" spans="1:7" ht="14.4" thickBot="1">
      <c r="A12" s="2461" t="s">
        <v>281</v>
      </c>
      <c r="B12" s="2462"/>
      <c r="C12" s="2462"/>
      <c r="D12" s="2462"/>
      <c r="E12" s="2463"/>
      <c r="F12" s="2463"/>
      <c r="G12" s="346"/>
    </row>
    <row r="13" spans="1:7" ht="20.25" customHeight="1" thickBot="1">
      <c r="A13" s="306" t="s">
        <v>218</v>
      </c>
      <c r="B13" s="307" t="s">
        <v>282</v>
      </c>
      <c r="C13" s="308" t="s">
        <v>283</v>
      </c>
      <c r="D13" s="2443">
        <v>250</v>
      </c>
      <c r="E13" s="2444"/>
      <c r="F13" s="309">
        <v>250</v>
      </c>
      <c r="G13" s="344">
        <v>250</v>
      </c>
    </row>
    <row r="14" spans="1:7" ht="30" customHeight="1" thickBot="1">
      <c r="A14" s="306" t="s">
        <v>684</v>
      </c>
      <c r="B14" s="307" t="s">
        <v>247</v>
      </c>
      <c r="C14" s="308" t="s">
        <v>283</v>
      </c>
      <c r="D14" s="2443">
        <v>1400</v>
      </c>
      <c r="E14" s="2444"/>
      <c r="F14" s="309">
        <v>1400</v>
      </c>
      <c r="G14" s="344">
        <v>1400</v>
      </c>
    </row>
    <row r="15" spans="1:7" ht="33" customHeight="1" thickBot="1">
      <c r="A15" s="306" t="s">
        <v>111</v>
      </c>
      <c r="B15" s="307" t="s">
        <v>112</v>
      </c>
      <c r="C15" s="308" t="s">
        <v>456</v>
      </c>
      <c r="D15" s="2443">
        <v>99</v>
      </c>
      <c r="E15" s="2444"/>
      <c r="F15" s="309">
        <v>99</v>
      </c>
      <c r="G15" s="344">
        <v>99</v>
      </c>
    </row>
    <row r="16" spans="1:7" ht="36.75" customHeight="1" thickBot="1">
      <c r="A16" s="306" t="s">
        <v>865</v>
      </c>
      <c r="B16" s="307" t="s">
        <v>600</v>
      </c>
      <c r="C16" s="308" t="s">
        <v>283</v>
      </c>
      <c r="D16" s="2443">
        <v>11</v>
      </c>
      <c r="E16" s="2444"/>
      <c r="F16" s="309">
        <v>1</v>
      </c>
      <c r="G16" s="344">
        <v>10</v>
      </c>
    </row>
    <row r="17" spans="1:7" ht="13.8" thickBot="1">
      <c r="A17" s="2456" t="s">
        <v>113</v>
      </c>
      <c r="B17" s="2457"/>
      <c r="C17" s="2457"/>
      <c r="D17" s="2457"/>
      <c r="E17" s="2458"/>
      <c r="F17" s="2458"/>
      <c r="G17" s="347"/>
    </row>
    <row r="18" spans="1:7" ht="14.4" thickBot="1">
      <c r="A18" s="2459" t="s">
        <v>114</v>
      </c>
      <c r="B18" s="2460"/>
      <c r="C18" s="2460"/>
      <c r="D18" s="2460"/>
      <c r="E18" s="2458"/>
      <c r="F18" s="2458"/>
      <c r="G18" s="347"/>
    </row>
    <row r="19" spans="1:7" ht="13.8" thickBot="1">
      <c r="A19" s="310" t="s">
        <v>866</v>
      </c>
      <c r="B19" s="307" t="s">
        <v>689</v>
      </c>
      <c r="C19" s="308" t="s">
        <v>456</v>
      </c>
      <c r="D19" s="2443">
        <v>100</v>
      </c>
      <c r="E19" s="2444"/>
      <c r="F19" s="309">
        <v>100</v>
      </c>
      <c r="G19" s="344">
        <v>100</v>
      </c>
    </row>
    <row r="20" spans="1:7" ht="13.8" thickBot="1">
      <c r="A20" s="310" t="s">
        <v>687</v>
      </c>
      <c r="B20" s="307" t="s">
        <v>396</v>
      </c>
      <c r="C20" s="308" t="s">
        <v>283</v>
      </c>
      <c r="D20" s="2443">
        <v>450</v>
      </c>
      <c r="E20" s="2444"/>
      <c r="F20" s="309">
        <v>400</v>
      </c>
      <c r="G20" s="344">
        <v>450</v>
      </c>
    </row>
    <row r="21" spans="1:7" ht="14.4" thickBot="1">
      <c r="A21" s="2459" t="s">
        <v>453</v>
      </c>
      <c r="B21" s="2460"/>
      <c r="C21" s="2460"/>
      <c r="D21" s="2460"/>
      <c r="E21" s="2458"/>
      <c r="F21" s="2458"/>
      <c r="G21" s="347"/>
    </row>
    <row r="22" spans="1:7" ht="37.5" customHeight="1" thickBot="1">
      <c r="A22" s="311" t="s">
        <v>220</v>
      </c>
      <c r="B22" s="307" t="s">
        <v>415</v>
      </c>
      <c r="C22" s="308" t="s">
        <v>283</v>
      </c>
      <c r="D22" s="2443">
        <v>95</v>
      </c>
      <c r="E22" s="2444"/>
      <c r="F22" s="309">
        <v>100</v>
      </c>
      <c r="G22" s="344">
        <v>85</v>
      </c>
    </row>
    <row r="23" spans="1:7" ht="13.8" thickBot="1">
      <c r="A23" s="310" t="s">
        <v>479</v>
      </c>
      <c r="B23" s="307" t="s">
        <v>386</v>
      </c>
      <c r="C23" s="308" t="s">
        <v>283</v>
      </c>
      <c r="D23" s="2443">
        <v>900</v>
      </c>
      <c r="E23" s="2444"/>
      <c r="F23" s="309">
        <v>900</v>
      </c>
      <c r="G23" s="344">
        <v>900</v>
      </c>
    </row>
    <row r="24" spans="1:7" ht="35.25" customHeight="1" thickBot="1">
      <c r="A24" s="312" t="s">
        <v>812</v>
      </c>
      <c r="B24" s="307" t="s">
        <v>387</v>
      </c>
      <c r="C24" s="308" t="s">
        <v>283</v>
      </c>
      <c r="D24" s="2443">
        <v>4300</v>
      </c>
      <c r="E24" s="2444"/>
      <c r="F24" s="309">
        <v>4200</v>
      </c>
      <c r="G24" s="344">
        <v>4500</v>
      </c>
    </row>
    <row r="25" spans="1:7" ht="13.8" thickBot="1">
      <c r="A25" s="310" t="s">
        <v>389</v>
      </c>
      <c r="B25" s="307" t="s">
        <v>390</v>
      </c>
      <c r="C25" s="308" t="s">
        <v>283</v>
      </c>
      <c r="D25" s="2443">
        <v>1100</v>
      </c>
      <c r="E25" s="2444"/>
      <c r="F25" s="309">
        <v>1100</v>
      </c>
      <c r="G25" s="344">
        <v>1150</v>
      </c>
    </row>
    <row r="26" spans="1:7" ht="13.8" thickBot="1">
      <c r="A26" s="310" t="s">
        <v>867</v>
      </c>
      <c r="B26" s="307" t="s">
        <v>650</v>
      </c>
      <c r="C26" s="308" t="s">
        <v>283</v>
      </c>
      <c r="D26" s="2443">
        <v>104</v>
      </c>
      <c r="E26" s="2444"/>
      <c r="F26" s="309">
        <v>104</v>
      </c>
      <c r="G26" s="344">
        <v>104</v>
      </c>
    </row>
    <row r="27" spans="1:7" ht="13.8" thickBot="1">
      <c r="A27" s="310" t="s">
        <v>813</v>
      </c>
      <c r="B27" s="307" t="s">
        <v>520</v>
      </c>
      <c r="C27" s="308" t="s">
        <v>283</v>
      </c>
      <c r="D27" s="2443">
        <v>1</v>
      </c>
      <c r="E27" s="2444"/>
      <c r="F27" s="309">
        <v>1</v>
      </c>
      <c r="G27" s="344">
        <v>1</v>
      </c>
    </row>
    <row r="28" spans="1:7" ht="27.75" customHeight="1" thickBot="1">
      <c r="A28" s="335" t="s">
        <v>72</v>
      </c>
      <c r="B28" s="336"/>
      <c r="C28" s="336"/>
      <c r="D28" s="336"/>
      <c r="E28" s="329"/>
      <c r="F28" s="329"/>
      <c r="G28" s="347"/>
    </row>
    <row r="29" spans="1:7" ht="13.8" thickBot="1">
      <c r="A29" s="310" t="s">
        <v>685</v>
      </c>
      <c r="B29" s="307" t="s">
        <v>73</v>
      </c>
      <c r="C29" s="308" t="s">
        <v>283</v>
      </c>
      <c r="D29" s="2443">
        <v>10</v>
      </c>
      <c r="E29" s="2444"/>
      <c r="F29" s="309">
        <v>10</v>
      </c>
      <c r="G29" s="344">
        <v>10</v>
      </c>
    </row>
    <row r="30" spans="1:7" ht="13.8" thickBot="1">
      <c r="A30" s="310" t="s">
        <v>868</v>
      </c>
      <c r="B30" s="307" t="s">
        <v>465</v>
      </c>
      <c r="C30" s="308" t="s">
        <v>283</v>
      </c>
      <c r="D30" s="2443">
        <v>3</v>
      </c>
      <c r="E30" s="2444"/>
      <c r="F30" s="309">
        <v>3</v>
      </c>
      <c r="G30" s="344">
        <v>5</v>
      </c>
    </row>
    <row r="31" spans="1:7" ht="26.25" customHeight="1" thickBot="1">
      <c r="A31" s="335" t="s">
        <v>579</v>
      </c>
      <c r="B31" s="336"/>
      <c r="C31" s="336"/>
      <c r="D31" s="336"/>
      <c r="E31" s="329"/>
      <c r="F31" s="329"/>
      <c r="G31" s="347"/>
    </row>
    <row r="32" spans="1:7" ht="13.8" thickBot="1">
      <c r="A32" s="310" t="s">
        <v>869</v>
      </c>
      <c r="B32" s="307" t="s">
        <v>750</v>
      </c>
      <c r="C32" s="308" t="s">
        <v>456</v>
      </c>
      <c r="D32" s="2443">
        <v>100</v>
      </c>
      <c r="E32" s="2444"/>
      <c r="F32" s="309">
        <v>100</v>
      </c>
      <c r="G32" s="344">
        <v>100</v>
      </c>
    </row>
    <row r="33" spans="1:7" ht="28.5" customHeight="1" thickBot="1">
      <c r="A33" s="312" t="s">
        <v>126</v>
      </c>
      <c r="B33" s="307" t="s">
        <v>574</v>
      </c>
      <c r="C33" s="308" t="s">
        <v>456</v>
      </c>
      <c r="D33" s="2443">
        <v>100</v>
      </c>
      <c r="E33" s="2444"/>
      <c r="F33" s="309">
        <v>100</v>
      </c>
      <c r="G33" s="344">
        <v>100</v>
      </c>
    </row>
    <row r="34" spans="1:7" ht="42.75" customHeight="1" thickBot="1">
      <c r="A34" s="312" t="s">
        <v>315</v>
      </c>
      <c r="B34" s="307" t="s">
        <v>316</v>
      </c>
      <c r="C34" s="308" t="s">
        <v>456</v>
      </c>
      <c r="D34" s="2443">
        <v>100</v>
      </c>
      <c r="E34" s="2444"/>
      <c r="F34" s="309">
        <v>100</v>
      </c>
      <c r="G34" s="344">
        <v>100</v>
      </c>
    </row>
    <row r="35" spans="1:7" ht="14.4" thickBot="1">
      <c r="A35" s="2459" t="s">
        <v>751</v>
      </c>
      <c r="B35" s="2460"/>
      <c r="C35" s="2460"/>
      <c r="D35" s="2460"/>
      <c r="E35" s="2458"/>
      <c r="F35" s="2458"/>
      <c r="G35" s="347"/>
    </row>
    <row r="36" spans="1:7" ht="13.8" thickBot="1">
      <c r="A36" s="310" t="s">
        <v>870</v>
      </c>
      <c r="B36" s="307" t="s">
        <v>34</v>
      </c>
      <c r="C36" s="308" t="s">
        <v>456</v>
      </c>
      <c r="D36" s="2443">
        <v>100</v>
      </c>
      <c r="E36" s="2444"/>
      <c r="F36" s="309">
        <v>100</v>
      </c>
      <c r="G36" s="344">
        <v>90</v>
      </c>
    </row>
    <row r="37" spans="1:7" ht="13.8" thickBot="1">
      <c r="A37" s="310" t="s">
        <v>871</v>
      </c>
      <c r="B37" s="307" t="s">
        <v>22</v>
      </c>
      <c r="C37" s="313" t="s">
        <v>24</v>
      </c>
      <c r="D37" s="2443">
        <v>40</v>
      </c>
      <c r="E37" s="2444"/>
      <c r="F37" s="309">
        <v>40</v>
      </c>
      <c r="G37" s="344">
        <v>35</v>
      </c>
    </row>
    <row r="38" spans="1:7" ht="38.25" customHeight="1" thickBot="1">
      <c r="A38" s="2461" t="s">
        <v>170</v>
      </c>
      <c r="B38" s="2462"/>
      <c r="C38" s="2462"/>
      <c r="D38" s="2462"/>
      <c r="E38" s="2463"/>
      <c r="F38" s="2463"/>
      <c r="G38" s="346"/>
    </row>
    <row r="39" spans="1:7" ht="14.4" thickBot="1">
      <c r="A39" s="2461" t="s">
        <v>281</v>
      </c>
      <c r="B39" s="2462"/>
      <c r="C39" s="2462"/>
      <c r="D39" s="2462"/>
      <c r="E39" s="2463"/>
      <c r="F39" s="2463"/>
      <c r="G39" s="346"/>
    </row>
    <row r="40" spans="1:7" ht="38.25" customHeight="1" thickBot="1">
      <c r="A40" s="306" t="s">
        <v>438</v>
      </c>
      <c r="B40" s="307" t="s">
        <v>439</v>
      </c>
      <c r="C40" s="308" t="s">
        <v>456</v>
      </c>
      <c r="D40" s="2443">
        <v>50</v>
      </c>
      <c r="E40" s="2444"/>
      <c r="F40" s="309">
        <v>50</v>
      </c>
      <c r="G40" s="344">
        <v>40</v>
      </c>
    </row>
    <row r="41" spans="1:7" ht="29.25" customHeight="1" thickBot="1">
      <c r="A41" s="306" t="s">
        <v>440</v>
      </c>
      <c r="B41" s="307" t="s">
        <v>441</v>
      </c>
      <c r="C41" s="308" t="s">
        <v>283</v>
      </c>
      <c r="D41" s="2443">
        <v>500</v>
      </c>
      <c r="E41" s="2444"/>
      <c r="F41" s="309">
        <v>550</v>
      </c>
      <c r="G41" s="344">
        <v>400</v>
      </c>
    </row>
    <row r="42" spans="1:7" ht="27.75" customHeight="1" thickBot="1">
      <c r="A42" s="306" t="s">
        <v>872</v>
      </c>
      <c r="B42" s="307" t="s">
        <v>873</v>
      </c>
      <c r="C42" s="308" t="s">
        <v>283</v>
      </c>
      <c r="D42" s="2443">
        <v>2</v>
      </c>
      <c r="E42" s="2444"/>
      <c r="F42" s="309">
        <v>3</v>
      </c>
      <c r="G42" s="344">
        <v>1</v>
      </c>
    </row>
    <row r="43" spans="1:7" ht="13.8" thickBot="1">
      <c r="A43" s="2456" t="s">
        <v>113</v>
      </c>
      <c r="B43" s="2457"/>
      <c r="C43" s="2457"/>
      <c r="D43" s="2457"/>
      <c r="E43" s="2458"/>
      <c r="F43" s="2458"/>
      <c r="G43" s="347"/>
    </row>
    <row r="44" spans="1:7" ht="14.4" thickBot="1">
      <c r="A44" s="2459" t="s">
        <v>487</v>
      </c>
      <c r="B44" s="2460"/>
      <c r="C44" s="2460"/>
      <c r="D44" s="2460"/>
      <c r="E44" s="2458"/>
      <c r="F44" s="2458"/>
      <c r="G44" s="347"/>
    </row>
    <row r="45" spans="1:7" ht="30.75" customHeight="1" thickBot="1">
      <c r="A45" s="312" t="s">
        <v>874</v>
      </c>
      <c r="B45" s="307" t="s">
        <v>538</v>
      </c>
      <c r="C45" s="313" t="s">
        <v>539</v>
      </c>
      <c r="D45" s="2443">
        <v>50</v>
      </c>
      <c r="E45" s="2444"/>
      <c r="F45" s="309">
        <v>60</v>
      </c>
      <c r="G45" s="344">
        <v>46</v>
      </c>
    </row>
    <row r="46" spans="1:7" ht="14.4" thickBot="1">
      <c r="A46" s="2459" t="s">
        <v>875</v>
      </c>
      <c r="B46" s="2460"/>
      <c r="C46" s="2460"/>
      <c r="D46" s="2460"/>
      <c r="E46" s="2458"/>
      <c r="F46" s="2458"/>
      <c r="G46" s="347"/>
    </row>
    <row r="47" spans="1:7" ht="36.75" customHeight="1" thickBot="1">
      <c r="A47" s="312" t="s">
        <v>814</v>
      </c>
      <c r="B47" s="307" t="s">
        <v>352</v>
      </c>
      <c r="C47" s="313" t="s">
        <v>283</v>
      </c>
      <c r="D47" s="2443">
        <v>3</v>
      </c>
      <c r="E47" s="2444"/>
      <c r="F47" s="309">
        <v>3</v>
      </c>
      <c r="G47" s="344">
        <v>3</v>
      </c>
    </row>
    <row r="48" spans="1:7" ht="30.75" customHeight="1" thickBot="1">
      <c r="A48" s="312" t="s">
        <v>876</v>
      </c>
      <c r="B48" s="307" t="s">
        <v>349</v>
      </c>
      <c r="C48" s="308" t="s">
        <v>456</v>
      </c>
      <c r="D48" s="2443">
        <v>60</v>
      </c>
      <c r="E48" s="2444"/>
      <c r="F48" s="309">
        <v>60</v>
      </c>
      <c r="G48" s="344">
        <v>70</v>
      </c>
    </row>
    <row r="49" spans="1:7" ht="31.5" customHeight="1" thickBot="1">
      <c r="A49" s="312" t="s">
        <v>57</v>
      </c>
      <c r="B49" s="307" t="s">
        <v>350</v>
      </c>
      <c r="C49" s="308" t="s">
        <v>283</v>
      </c>
      <c r="D49" s="2443">
        <v>2</v>
      </c>
      <c r="E49" s="2444"/>
      <c r="F49" s="309">
        <v>2</v>
      </c>
      <c r="G49" s="344">
        <v>2</v>
      </c>
    </row>
    <row r="50" spans="1:7" ht="14.4" thickBot="1">
      <c r="A50" s="2459" t="s">
        <v>837</v>
      </c>
      <c r="B50" s="2460"/>
      <c r="C50" s="2460"/>
      <c r="D50" s="2460"/>
      <c r="E50" s="2458"/>
      <c r="F50" s="2458"/>
      <c r="G50" s="347"/>
    </row>
    <row r="51" spans="1:7" ht="13.8" thickBot="1">
      <c r="A51" s="310" t="s">
        <v>686</v>
      </c>
      <c r="B51" s="307" t="s">
        <v>838</v>
      </c>
      <c r="C51" s="308" t="s">
        <v>283</v>
      </c>
      <c r="D51" s="2443">
        <v>3</v>
      </c>
      <c r="E51" s="2444"/>
      <c r="F51" s="309">
        <v>3</v>
      </c>
      <c r="G51" s="344">
        <v>4</v>
      </c>
    </row>
    <row r="52" spans="1:7" ht="13.8" thickBot="1">
      <c r="A52" s="310" t="s">
        <v>504</v>
      </c>
      <c r="B52" s="307" t="s">
        <v>340</v>
      </c>
      <c r="C52" s="308" t="s">
        <v>283</v>
      </c>
      <c r="D52" s="2443">
        <v>1</v>
      </c>
      <c r="E52" s="2444"/>
      <c r="F52" s="309">
        <v>1</v>
      </c>
      <c r="G52" s="344">
        <v>0</v>
      </c>
    </row>
    <row r="53" spans="1:7" ht="27.75" customHeight="1" thickBot="1">
      <c r="A53" s="2465" t="s">
        <v>528</v>
      </c>
      <c r="B53" s="2466"/>
      <c r="C53" s="2466"/>
      <c r="D53" s="2466"/>
      <c r="E53" s="2467"/>
      <c r="F53" s="2467"/>
      <c r="G53" s="348"/>
    </row>
    <row r="54" spans="1:7" ht="13.8" thickBot="1">
      <c r="A54" s="310" t="s">
        <v>12</v>
      </c>
      <c r="B54" s="307" t="s">
        <v>13</v>
      </c>
      <c r="C54" s="308" t="s">
        <v>283</v>
      </c>
      <c r="D54" s="2443">
        <v>9</v>
      </c>
      <c r="E54" s="2444"/>
      <c r="F54" s="309">
        <v>10</v>
      </c>
      <c r="G54" s="344">
        <v>8</v>
      </c>
    </row>
    <row r="55" spans="1:7" ht="13.8" thickBot="1">
      <c r="A55" s="310" t="s">
        <v>407</v>
      </c>
      <c r="B55" s="307" t="s">
        <v>739</v>
      </c>
      <c r="C55" s="308" t="s">
        <v>283</v>
      </c>
      <c r="D55" s="2443">
        <v>0</v>
      </c>
      <c r="E55" s="2444"/>
      <c r="F55" s="309">
        <v>0</v>
      </c>
      <c r="G55" s="344">
        <v>1</v>
      </c>
    </row>
    <row r="56" spans="1:7" ht="26.4">
      <c r="A56" s="314" t="s">
        <v>877</v>
      </c>
      <c r="B56" s="2468" t="s">
        <v>822</v>
      </c>
      <c r="C56" s="2471" t="s">
        <v>283</v>
      </c>
      <c r="D56" s="2474">
        <v>2</v>
      </c>
      <c r="E56" s="2475"/>
      <c r="F56" s="2474">
        <v>2</v>
      </c>
      <c r="G56" s="2515">
        <v>2</v>
      </c>
    </row>
    <row r="57" spans="1:7" ht="13.8" thickBot="1">
      <c r="A57" s="312" t="s">
        <v>878</v>
      </c>
      <c r="B57" s="2469"/>
      <c r="C57" s="2472"/>
      <c r="D57" s="2476"/>
      <c r="E57" s="2477"/>
      <c r="F57" s="2476"/>
      <c r="G57" s="2515"/>
    </row>
    <row r="58" spans="1:7" ht="27" thickBot="1">
      <c r="A58" s="312" t="s">
        <v>62</v>
      </c>
      <c r="B58" s="2469"/>
      <c r="C58" s="2472"/>
      <c r="D58" s="2443">
        <v>2</v>
      </c>
      <c r="E58" s="2444"/>
      <c r="F58" s="309">
        <v>2</v>
      </c>
      <c r="G58" s="344">
        <v>2</v>
      </c>
    </row>
    <row r="59" spans="1:7" ht="36.75" customHeight="1" thickBot="1">
      <c r="A59" s="312" t="s">
        <v>879</v>
      </c>
      <c r="B59" s="2469"/>
      <c r="C59" s="2472"/>
      <c r="D59" s="2443">
        <v>2</v>
      </c>
      <c r="E59" s="2444"/>
      <c r="F59" s="309">
        <v>2</v>
      </c>
      <c r="G59" s="344">
        <v>2</v>
      </c>
    </row>
    <row r="60" spans="1:7" ht="38.25" customHeight="1" thickBot="1">
      <c r="A60" s="312" t="s">
        <v>880</v>
      </c>
      <c r="B60" s="2470"/>
      <c r="C60" s="2473"/>
      <c r="D60" s="2443">
        <v>52</v>
      </c>
      <c r="E60" s="2444"/>
      <c r="F60" s="309">
        <v>52</v>
      </c>
      <c r="G60" s="344">
        <v>52</v>
      </c>
    </row>
    <row r="61" spans="1:7" ht="27" customHeight="1" thickBot="1">
      <c r="A61" s="2441" t="s">
        <v>38</v>
      </c>
      <c r="B61" s="2442"/>
      <c r="C61" s="2442"/>
      <c r="D61" s="2442"/>
      <c r="E61" s="2464"/>
      <c r="F61" s="2464"/>
      <c r="G61" s="349"/>
    </row>
    <row r="62" spans="1:7" ht="14.4" thickBot="1">
      <c r="A62" s="2441" t="s">
        <v>698</v>
      </c>
      <c r="B62" s="2442"/>
      <c r="C62" s="2442"/>
      <c r="D62" s="2442"/>
      <c r="E62" s="2464"/>
      <c r="F62" s="2464"/>
      <c r="G62" s="349"/>
    </row>
    <row r="63" spans="1:7" ht="37.5" customHeight="1" thickBot="1">
      <c r="A63" s="306" t="s">
        <v>451</v>
      </c>
      <c r="B63" s="307" t="s">
        <v>624</v>
      </c>
      <c r="C63" s="308" t="s">
        <v>456</v>
      </c>
      <c r="D63" s="2443">
        <v>65</v>
      </c>
      <c r="E63" s="2444"/>
      <c r="F63" s="309">
        <v>65</v>
      </c>
      <c r="G63" s="344">
        <v>65</v>
      </c>
    </row>
    <row r="64" spans="1:7" ht="40.5" customHeight="1" thickBot="1">
      <c r="A64" s="306" t="s">
        <v>503</v>
      </c>
      <c r="B64" s="307" t="s">
        <v>625</v>
      </c>
      <c r="C64" s="308" t="s">
        <v>283</v>
      </c>
      <c r="D64" s="2443">
        <v>25</v>
      </c>
      <c r="E64" s="2444"/>
      <c r="F64" s="309">
        <v>25</v>
      </c>
      <c r="G64" s="344">
        <v>23</v>
      </c>
    </row>
    <row r="65" spans="1:7" ht="36" customHeight="1" thickBot="1">
      <c r="A65" s="306" t="s">
        <v>881</v>
      </c>
      <c r="B65" s="307" t="s">
        <v>626</v>
      </c>
      <c r="C65" s="308" t="s">
        <v>456</v>
      </c>
      <c r="D65" s="2480">
        <v>17</v>
      </c>
      <c r="E65" s="2481"/>
      <c r="F65" s="315">
        <v>17</v>
      </c>
      <c r="G65" s="350">
        <v>16</v>
      </c>
    </row>
    <row r="66" spans="1:7" ht="13.8" thickBot="1">
      <c r="A66" s="306" t="s">
        <v>635</v>
      </c>
      <c r="B66" s="307" t="s">
        <v>472</v>
      </c>
      <c r="C66" s="308" t="s">
        <v>283</v>
      </c>
      <c r="D66" s="2480">
        <v>2</v>
      </c>
      <c r="E66" s="2481"/>
      <c r="F66" s="315">
        <v>2</v>
      </c>
      <c r="G66" s="350">
        <v>2</v>
      </c>
    </row>
    <row r="67" spans="1:7" ht="32.25" customHeight="1" thickBot="1">
      <c r="A67" s="306" t="s">
        <v>471</v>
      </c>
      <c r="B67" s="307" t="s">
        <v>82</v>
      </c>
      <c r="C67" s="308" t="s">
        <v>283</v>
      </c>
      <c r="D67" s="2480">
        <v>40</v>
      </c>
      <c r="E67" s="2481"/>
      <c r="F67" s="315">
        <v>40</v>
      </c>
      <c r="G67" s="350">
        <v>40</v>
      </c>
    </row>
    <row r="68" spans="1:7" ht="37.5" customHeight="1" thickBot="1">
      <c r="A68" s="306" t="s">
        <v>81</v>
      </c>
      <c r="B68" s="307" t="s">
        <v>119</v>
      </c>
      <c r="C68" s="308" t="s">
        <v>283</v>
      </c>
      <c r="D68" s="2480" t="s">
        <v>882</v>
      </c>
      <c r="E68" s="2481"/>
      <c r="F68" s="315" t="s">
        <v>882</v>
      </c>
      <c r="G68" s="350" t="s">
        <v>882</v>
      </c>
    </row>
    <row r="69" spans="1:7" ht="30.75" customHeight="1" thickBot="1">
      <c r="A69" s="306" t="s">
        <v>118</v>
      </c>
      <c r="B69" s="307" t="s">
        <v>676</v>
      </c>
      <c r="C69" s="308" t="s">
        <v>456</v>
      </c>
      <c r="D69" s="2443">
        <v>6.5</v>
      </c>
      <c r="E69" s="2444"/>
      <c r="F69" s="309">
        <v>6.5</v>
      </c>
      <c r="G69" s="344">
        <v>6.6</v>
      </c>
    </row>
    <row r="70" spans="1:7" ht="35.25" customHeight="1" thickBot="1">
      <c r="A70" s="306" t="s">
        <v>290</v>
      </c>
      <c r="B70" s="307" t="s">
        <v>511</v>
      </c>
      <c r="C70" s="308" t="s">
        <v>283</v>
      </c>
      <c r="D70" s="2443" t="s">
        <v>295</v>
      </c>
      <c r="E70" s="2444"/>
      <c r="F70" s="309" t="s">
        <v>295</v>
      </c>
      <c r="G70" s="344" t="s">
        <v>294</v>
      </c>
    </row>
    <row r="71" spans="1:7" ht="32.25" customHeight="1" thickBot="1">
      <c r="A71" s="306" t="s">
        <v>675</v>
      </c>
      <c r="B71" s="307" t="s">
        <v>846</v>
      </c>
      <c r="C71" s="308" t="s">
        <v>283</v>
      </c>
      <c r="D71" s="2478" t="s">
        <v>654</v>
      </c>
      <c r="E71" s="2479"/>
      <c r="F71" s="316" t="s">
        <v>654</v>
      </c>
      <c r="G71" s="351" t="s">
        <v>654</v>
      </c>
    </row>
    <row r="72" spans="1:7" ht="31.2" thickBot="1">
      <c r="A72" s="306" t="s">
        <v>510</v>
      </c>
      <c r="B72" s="307" t="s">
        <v>291</v>
      </c>
      <c r="C72" s="308" t="s">
        <v>283</v>
      </c>
      <c r="D72" s="2478" t="s">
        <v>654</v>
      </c>
      <c r="E72" s="2479"/>
      <c r="F72" s="316" t="s">
        <v>654</v>
      </c>
      <c r="G72" s="351" t="s">
        <v>654</v>
      </c>
    </row>
    <row r="73" spans="1:7" ht="31.5" customHeight="1" thickBot="1">
      <c r="A73" s="2445" t="s">
        <v>416</v>
      </c>
      <c r="B73" s="2446"/>
      <c r="C73" s="2446"/>
      <c r="D73" s="2446"/>
      <c r="E73" s="2447"/>
      <c r="F73" s="2447"/>
      <c r="G73" s="345"/>
    </row>
    <row r="74" spans="1:7" ht="27" customHeight="1" thickBot="1">
      <c r="A74" s="2461" t="s">
        <v>647</v>
      </c>
      <c r="B74" s="2462"/>
      <c r="C74" s="2462"/>
      <c r="D74" s="2462"/>
      <c r="E74" s="2463"/>
      <c r="F74" s="2463"/>
      <c r="G74" s="346"/>
    </row>
    <row r="75" spans="1:7" ht="14.4" thickBot="1">
      <c r="A75" s="2461" t="s">
        <v>281</v>
      </c>
      <c r="B75" s="2462"/>
      <c r="C75" s="2462"/>
      <c r="D75" s="2462"/>
      <c r="E75" s="2463"/>
      <c r="F75" s="2463"/>
      <c r="G75" s="346"/>
    </row>
    <row r="76" spans="1:7" ht="36" customHeight="1" thickBot="1">
      <c r="A76" s="306" t="s">
        <v>135</v>
      </c>
      <c r="B76" s="317" t="s">
        <v>648</v>
      </c>
      <c r="C76" s="308" t="s">
        <v>283</v>
      </c>
      <c r="D76" s="2443">
        <v>165</v>
      </c>
      <c r="E76" s="2444"/>
      <c r="F76" s="309">
        <v>165</v>
      </c>
      <c r="G76" s="344">
        <v>160</v>
      </c>
    </row>
    <row r="77" spans="1:7" ht="28.5" customHeight="1" thickBot="1">
      <c r="A77" s="306" t="s">
        <v>646</v>
      </c>
      <c r="B77" s="317" t="s">
        <v>816</v>
      </c>
      <c r="C77" s="308" t="s">
        <v>456</v>
      </c>
      <c r="D77" s="2443">
        <v>98</v>
      </c>
      <c r="E77" s="2444"/>
      <c r="F77" s="309">
        <v>98</v>
      </c>
      <c r="G77" s="344">
        <v>98</v>
      </c>
    </row>
    <row r="78" spans="1:7" ht="38.25" customHeight="1" thickBot="1">
      <c r="A78" s="306" t="s">
        <v>136</v>
      </c>
      <c r="B78" s="317" t="s">
        <v>541</v>
      </c>
      <c r="C78" s="308" t="s">
        <v>283</v>
      </c>
      <c r="D78" s="2443">
        <v>14</v>
      </c>
      <c r="E78" s="2444"/>
      <c r="F78" s="309">
        <v>16</v>
      </c>
      <c r="G78" s="344">
        <v>12</v>
      </c>
    </row>
    <row r="79" spans="1:7" ht="30.75" customHeight="1" thickBot="1">
      <c r="A79" s="306" t="s">
        <v>540</v>
      </c>
      <c r="B79" s="2482" t="s">
        <v>77</v>
      </c>
      <c r="C79" s="319"/>
      <c r="D79" s="2484"/>
      <c r="E79" s="2485"/>
      <c r="F79" s="320"/>
      <c r="G79" s="289"/>
    </row>
    <row r="80" spans="1:7" ht="19.5" customHeight="1" thickBot="1">
      <c r="A80" s="306" t="s">
        <v>542</v>
      </c>
      <c r="B80" s="2483"/>
      <c r="C80" s="308" t="s">
        <v>456</v>
      </c>
      <c r="D80" s="2443">
        <v>99</v>
      </c>
      <c r="E80" s="2444"/>
      <c r="F80" s="309">
        <v>99</v>
      </c>
      <c r="G80" s="344">
        <v>99</v>
      </c>
    </row>
    <row r="81" spans="1:7" ht="20.25" customHeight="1" thickBot="1">
      <c r="A81" s="306" t="s">
        <v>76</v>
      </c>
      <c r="B81" s="317" t="s">
        <v>137</v>
      </c>
      <c r="C81" s="308" t="s">
        <v>456</v>
      </c>
      <c r="D81" s="2443">
        <v>99</v>
      </c>
      <c r="E81" s="2444"/>
      <c r="F81" s="309">
        <v>99</v>
      </c>
      <c r="G81" s="344">
        <v>99</v>
      </c>
    </row>
    <row r="82" spans="1:7" ht="26.25" customHeight="1" thickBot="1">
      <c r="A82" s="2456" t="s">
        <v>113</v>
      </c>
      <c r="B82" s="2457"/>
      <c r="C82" s="2457"/>
      <c r="D82" s="2457"/>
      <c r="E82" s="2458"/>
      <c r="F82" s="2458"/>
      <c r="G82" s="347"/>
    </row>
    <row r="83" spans="1:7" ht="47.25" customHeight="1" thickBot="1">
      <c r="A83" s="2511" t="s">
        <v>959</v>
      </c>
      <c r="B83" s="2512"/>
      <c r="C83" s="2512"/>
      <c r="D83" s="2512"/>
      <c r="E83" s="2512"/>
      <c r="F83" s="2512"/>
      <c r="G83" s="352"/>
    </row>
    <row r="84" spans="1:7" ht="21.75" customHeight="1" thickBot="1">
      <c r="A84" s="311" t="s">
        <v>627</v>
      </c>
      <c r="B84" s="317" t="s">
        <v>628</v>
      </c>
      <c r="C84" s="308" t="s">
        <v>283</v>
      </c>
      <c r="D84" s="2486">
        <v>770</v>
      </c>
      <c r="E84" s="2487"/>
      <c r="F84" s="321">
        <v>780</v>
      </c>
      <c r="G84" s="353">
        <v>760</v>
      </c>
    </row>
    <row r="85" spans="1:7" ht="30" customHeight="1" thickBot="1">
      <c r="A85" s="311" t="s">
        <v>148</v>
      </c>
      <c r="B85" s="317" t="s">
        <v>171</v>
      </c>
      <c r="C85" s="322" t="s">
        <v>283</v>
      </c>
      <c r="D85" s="2486">
        <v>190</v>
      </c>
      <c r="E85" s="2487"/>
      <c r="F85" s="321">
        <v>190</v>
      </c>
      <c r="G85" s="353">
        <v>180</v>
      </c>
    </row>
    <row r="86" spans="1:7" ht="21.75" customHeight="1" thickBot="1">
      <c r="A86" s="311" t="s">
        <v>188</v>
      </c>
      <c r="B86" s="317" t="s">
        <v>189</v>
      </c>
      <c r="C86" s="322" t="s">
        <v>283</v>
      </c>
      <c r="D86" s="2486">
        <v>770</v>
      </c>
      <c r="E86" s="2487"/>
      <c r="F86" s="321">
        <v>780</v>
      </c>
      <c r="G86" s="353">
        <v>760</v>
      </c>
    </row>
    <row r="87" spans="1:7" ht="32.25" customHeight="1" thickBot="1">
      <c r="A87" s="311" t="s">
        <v>190</v>
      </c>
      <c r="B87" s="317" t="s">
        <v>187</v>
      </c>
      <c r="C87" s="322" t="s">
        <v>283</v>
      </c>
      <c r="D87" s="2486">
        <v>890</v>
      </c>
      <c r="E87" s="2487"/>
      <c r="F87" s="321">
        <v>890</v>
      </c>
      <c r="G87" s="353">
        <v>890</v>
      </c>
    </row>
    <row r="88" spans="1:7" ht="30" customHeight="1" thickBot="1">
      <c r="A88" s="311" t="s">
        <v>478</v>
      </c>
      <c r="B88" s="317" t="s">
        <v>419</v>
      </c>
      <c r="C88" s="322" t="s">
        <v>283</v>
      </c>
      <c r="D88" s="2486">
        <v>200</v>
      </c>
      <c r="E88" s="2487"/>
      <c r="F88" s="321">
        <v>210</v>
      </c>
      <c r="G88" s="353">
        <v>200</v>
      </c>
    </row>
    <row r="89" spans="1:7" ht="33.75" customHeight="1" thickBot="1">
      <c r="A89" s="311" t="s">
        <v>138</v>
      </c>
      <c r="B89" s="317" t="s">
        <v>558</v>
      </c>
      <c r="C89" s="322" t="s">
        <v>283</v>
      </c>
      <c r="D89" s="2486">
        <v>15</v>
      </c>
      <c r="E89" s="2487"/>
      <c r="F89" s="321">
        <v>15</v>
      </c>
      <c r="G89" s="353">
        <v>17</v>
      </c>
    </row>
    <row r="90" spans="1:7" ht="37.5" customHeight="1" thickBot="1">
      <c r="A90" s="311" t="s">
        <v>139</v>
      </c>
      <c r="B90" s="317" t="s">
        <v>559</v>
      </c>
      <c r="C90" s="322" t="s">
        <v>283</v>
      </c>
      <c r="D90" s="2486">
        <v>2300</v>
      </c>
      <c r="E90" s="2487"/>
      <c r="F90" s="321">
        <v>2300</v>
      </c>
      <c r="G90" s="353">
        <v>2200</v>
      </c>
    </row>
    <row r="91" spans="1:7" ht="37.5" customHeight="1" thickBot="1">
      <c r="A91" s="311" t="s">
        <v>755</v>
      </c>
      <c r="B91" s="317" t="s">
        <v>325</v>
      </c>
      <c r="C91" s="322" t="s">
        <v>283</v>
      </c>
      <c r="D91" s="2486">
        <v>300</v>
      </c>
      <c r="E91" s="2487"/>
      <c r="F91" s="321">
        <v>500</v>
      </c>
      <c r="G91" s="353">
        <v>200</v>
      </c>
    </row>
    <row r="92" spans="1:7" ht="36.75" customHeight="1" thickBot="1">
      <c r="A92" s="311" t="s">
        <v>418</v>
      </c>
      <c r="B92" s="317" t="s">
        <v>327</v>
      </c>
      <c r="C92" s="322" t="s">
        <v>283</v>
      </c>
      <c r="D92" s="2486">
        <v>70</v>
      </c>
      <c r="E92" s="2487"/>
      <c r="F92" s="321">
        <v>90</v>
      </c>
      <c r="G92" s="353">
        <v>65</v>
      </c>
    </row>
    <row r="93" spans="1:7" ht="34.5" customHeight="1" thickBot="1">
      <c r="A93" s="311" t="s">
        <v>477</v>
      </c>
      <c r="B93" s="317" t="s">
        <v>517</v>
      </c>
      <c r="C93" s="322" t="s">
        <v>456</v>
      </c>
      <c r="D93" s="2486">
        <v>28</v>
      </c>
      <c r="E93" s="2487"/>
      <c r="F93" s="321">
        <v>30</v>
      </c>
      <c r="G93" s="353">
        <v>27</v>
      </c>
    </row>
    <row r="94" spans="1:7" ht="36" customHeight="1" thickBot="1">
      <c r="A94" s="311" t="s">
        <v>756</v>
      </c>
      <c r="B94" s="317" t="s">
        <v>486</v>
      </c>
      <c r="C94" s="322" t="s">
        <v>283</v>
      </c>
      <c r="D94" s="2486">
        <v>95</v>
      </c>
      <c r="E94" s="2487"/>
      <c r="F94" s="321">
        <v>100</v>
      </c>
      <c r="G94" s="353">
        <v>90</v>
      </c>
    </row>
    <row r="95" spans="1:7" ht="35.25" customHeight="1" thickBot="1">
      <c r="A95" s="311" t="s">
        <v>326</v>
      </c>
      <c r="B95" s="319"/>
      <c r="C95" s="322" t="s">
        <v>283</v>
      </c>
      <c r="D95" s="2486">
        <v>130</v>
      </c>
      <c r="E95" s="2487"/>
      <c r="F95" s="321">
        <v>110</v>
      </c>
      <c r="G95" s="353">
        <v>250</v>
      </c>
    </row>
    <row r="96" spans="1:7" ht="13.8" thickBot="1">
      <c r="A96" s="311" t="s">
        <v>328</v>
      </c>
      <c r="B96" s="317" t="s">
        <v>382</v>
      </c>
      <c r="C96" s="322" t="s">
        <v>283</v>
      </c>
      <c r="D96" s="2486">
        <v>50</v>
      </c>
      <c r="E96" s="2487"/>
      <c r="F96" s="321">
        <v>30</v>
      </c>
      <c r="G96" s="353">
        <v>100</v>
      </c>
    </row>
    <row r="97" spans="1:7" ht="13.8" thickBot="1">
      <c r="A97" s="311" t="s">
        <v>515</v>
      </c>
      <c r="B97" s="319"/>
      <c r="C97" s="322" t="s">
        <v>283</v>
      </c>
      <c r="D97" s="2486">
        <v>50</v>
      </c>
      <c r="E97" s="2487"/>
      <c r="F97" s="321">
        <v>50</v>
      </c>
      <c r="G97" s="353">
        <v>100</v>
      </c>
    </row>
    <row r="98" spans="1:7" ht="13.8" thickBot="1">
      <c r="A98" s="311" t="s">
        <v>516</v>
      </c>
      <c r="B98" s="319"/>
      <c r="C98" s="322" t="s">
        <v>283</v>
      </c>
      <c r="D98" s="2486">
        <v>30</v>
      </c>
      <c r="E98" s="2487"/>
      <c r="F98" s="321">
        <v>30</v>
      </c>
      <c r="G98" s="353">
        <v>50</v>
      </c>
    </row>
    <row r="99" spans="1:7" ht="36" customHeight="1" thickBot="1">
      <c r="A99" s="311" t="s">
        <v>757</v>
      </c>
      <c r="B99" s="317" t="s">
        <v>383</v>
      </c>
      <c r="C99" s="322" t="s">
        <v>456</v>
      </c>
      <c r="D99" s="2486">
        <v>95</v>
      </c>
      <c r="E99" s="2487"/>
      <c r="F99" s="321">
        <v>100</v>
      </c>
      <c r="G99" s="353">
        <v>90</v>
      </c>
    </row>
    <row r="100" spans="1:7" ht="39" customHeight="1" thickBot="1">
      <c r="A100" s="311" t="s">
        <v>758</v>
      </c>
      <c r="B100" s="317" t="s">
        <v>636</v>
      </c>
      <c r="C100" s="322" t="s">
        <v>283</v>
      </c>
      <c r="D100" s="2486">
        <v>1500</v>
      </c>
      <c r="E100" s="2487"/>
      <c r="F100" s="321">
        <v>1500</v>
      </c>
      <c r="G100" s="353">
        <v>1400</v>
      </c>
    </row>
    <row r="101" spans="1:7" ht="36" customHeight="1" thickBot="1">
      <c r="A101" s="311" t="s">
        <v>759</v>
      </c>
      <c r="B101" s="317" t="s">
        <v>637</v>
      </c>
      <c r="C101" s="322" t="s">
        <v>283</v>
      </c>
      <c r="D101" s="2486">
        <v>600</v>
      </c>
      <c r="E101" s="2487"/>
      <c r="F101" s="321">
        <v>650</v>
      </c>
      <c r="G101" s="353">
        <v>500</v>
      </c>
    </row>
    <row r="102" spans="1:7" ht="40.5" customHeight="1" thickBot="1">
      <c r="A102" s="2465" t="s">
        <v>658</v>
      </c>
      <c r="B102" s="2466"/>
      <c r="C102" s="2466"/>
      <c r="D102" s="2466"/>
      <c r="E102" s="2467"/>
      <c r="F102" s="2467"/>
      <c r="G102" s="348"/>
    </row>
    <row r="103" spans="1:7" ht="30.75" customHeight="1" thickBot="1">
      <c r="A103" s="2488" t="s">
        <v>773</v>
      </c>
      <c r="B103" s="2482" t="s">
        <v>557</v>
      </c>
      <c r="C103" s="322" t="s">
        <v>283</v>
      </c>
      <c r="D103" s="2486">
        <v>1200</v>
      </c>
      <c r="E103" s="2487"/>
      <c r="F103" s="321">
        <v>1200</v>
      </c>
      <c r="G103" s="353">
        <v>1200</v>
      </c>
    </row>
    <row r="104" spans="1:7" ht="13.8" thickBot="1">
      <c r="A104" s="2489"/>
      <c r="B104" s="2483"/>
      <c r="C104" s="322" t="s">
        <v>456</v>
      </c>
      <c r="D104" s="2486">
        <v>8</v>
      </c>
      <c r="E104" s="2487"/>
      <c r="F104" s="321">
        <v>10</v>
      </c>
      <c r="G104" s="353">
        <v>7</v>
      </c>
    </row>
    <row r="105" spans="1:7" ht="41.25" customHeight="1" thickBot="1">
      <c r="A105" s="311" t="s">
        <v>639</v>
      </c>
      <c r="B105" s="317" t="s">
        <v>246</v>
      </c>
      <c r="C105" s="322" t="s">
        <v>283</v>
      </c>
      <c r="D105" s="2486">
        <v>8</v>
      </c>
      <c r="E105" s="2487"/>
      <c r="F105" s="321">
        <v>9</v>
      </c>
      <c r="G105" s="353">
        <v>6</v>
      </c>
    </row>
    <row r="106" spans="1:7" ht="38.25" customHeight="1" thickBot="1">
      <c r="A106" s="311" t="s">
        <v>421</v>
      </c>
      <c r="B106" s="317" t="s">
        <v>638</v>
      </c>
      <c r="C106" s="322" t="s">
        <v>283</v>
      </c>
      <c r="D106" s="2486">
        <v>100</v>
      </c>
      <c r="E106" s="2487"/>
      <c r="F106" s="321">
        <v>100</v>
      </c>
      <c r="G106" s="353">
        <v>100</v>
      </c>
    </row>
    <row r="107" spans="1:7" ht="41.25" customHeight="1" thickBot="1">
      <c r="A107" s="311" t="s">
        <v>883</v>
      </c>
      <c r="B107" s="317" t="s">
        <v>640</v>
      </c>
      <c r="C107" s="322" t="s">
        <v>456</v>
      </c>
      <c r="D107" s="2486">
        <v>99</v>
      </c>
      <c r="E107" s="2487"/>
      <c r="F107" s="321">
        <v>99</v>
      </c>
      <c r="G107" s="353">
        <v>99</v>
      </c>
    </row>
    <row r="108" spans="1:7" ht="32.25" customHeight="1" thickBot="1">
      <c r="A108" s="311" t="s">
        <v>774</v>
      </c>
      <c r="B108" s="2482" t="s">
        <v>641</v>
      </c>
      <c r="C108" s="322" t="s">
        <v>456</v>
      </c>
      <c r="D108" s="2486">
        <v>95</v>
      </c>
      <c r="E108" s="2487"/>
      <c r="F108" s="321">
        <v>100</v>
      </c>
      <c r="G108" s="353">
        <v>85</v>
      </c>
    </row>
    <row r="109" spans="1:7" ht="33" customHeight="1" thickBot="1">
      <c r="A109" s="311" t="s">
        <v>775</v>
      </c>
      <c r="B109" s="2490"/>
      <c r="C109" s="322" t="s">
        <v>283</v>
      </c>
      <c r="D109" s="2486">
        <v>20</v>
      </c>
      <c r="E109" s="2487"/>
      <c r="F109" s="321">
        <v>20</v>
      </c>
      <c r="G109" s="353">
        <v>17</v>
      </c>
    </row>
    <row r="110" spans="1:7" ht="33" customHeight="1" thickBot="1">
      <c r="A110" s="311" t="s">
        <v>776</v>
      </c>
      <c r="B110" s="2490"/>
      <c r="C110" s="322" t="s">
        <v>283</v>
      </c>
      <c r="D110" s="2486">
        <v>15</v>
      </c>
      <c r="E110" s="2487"/>
      <c r="F110" s="321">
        <v>14</v>
      </c>
      <c r="G110" s="353">
        <v>14</v>
      </c>
    </row>
    <row r="111" spans="1:7" ht="24" customHeight="1" thickBot="1">
      <c r="A111" s="311" t="s">
        <v>777</v>
      </c>
      <c r="B111" s="2483"/>
      <c r="C111" s="322" t="s">
        <v>283</v>
      </c>
      <c r="D111" s="2486">
        <v>0</v>
      </c>
      <c r="E111" s="2487"/>
      <c r="F111" s="321">
        <v>1</v>
      </c>
      <c r="G111" s="353">
        <v>0</v>
      </c>
    </row>
    <row r="112" spans="1:7" ht="36.75" customHeight="1" thickBot="1">
      <c r="A112" s="311" t="s">
        <v>778</v>
      </c>
      <c r="B112" s="2482" t="s">
        <v>422</v>
      </c>
      <c r="C112" s="322" t="s">
        <v>456</v>
      </c>
      <c r="D112" s="2486">
        <v>93</v>
      </c>
      <c r="E112" s="2487"/>
      <c r="F112" s="321">
        <v>97</v>
      </c>
      <c r="G112" s="353">
        <v>91</v>
      </c>
    </row>
    <row r="113" spans="1:7" ht="29.25" customHeight="1" thickBot="1">
      <c r="A113" s="311" t="s">
        <v>779</v>
      </c>
      <c r="B113" s="2490"/>
      <c r="C113" s="322" t="s">
        <v>283</v>
      </c>
      <c r="D113" s="2486">
        <v>53</v>
      </c>
      <c r="E113" s="2487"/>
      <c r="F113" s="321">
        <v>51</v>
      </c>
      <c r="G113" s="353">
        <v>55</v>
      </c>
    </row>
    <row r="114" spans="1:7" ht="32.25" customHeight="1" thickBot="1">
      <c r="A114" s="311" t="s">
        <v>780</v>
      </c>
      <c r="B114" s="2490"/>
      <c r="C114" s="322" t="s">
        <v>283</v>
      </c>
      <c r="D114" s="2486">
        <v>157</v>
      </c>
      <c r="E114" s="2487"/>
      <c r="F114" s="321">
        <v>159</v>
      </c>
      <c r="G114" s="353">
        <v>155</v>
      </c>
    </row>
    <row r="115" spans="1:7" ht="30.75" customHeight="1" thickBot="1">
      <c r="A115" s="311" t="s">
        <v>781</v>
      </c>
      <c r="B115" s="2490"/>
      <c r="C115" s="322" t="s">
        <v>283</v>
      </c>
      <c r="D115" s="2486">
        <v>187</v>
      </c>
      <c r="E115" s="2487"/>
      <c r="F115" s="321">
        <v>189</v>
      </c>
      <c r="G115" s="353">
        <v>185</v>
      </c>
    </row>
    <row r="116" spans="1:7" ht="30" customHeight="1" thickBot="1">
      <c r="A116" s="311" t="s">
        <v>884</v>
      </c>
      <c r="B116" s="2483"/>
      <c r="C116" s="322" t="s">
        <v>283</v>
      </c>
      <c r="D116" s="2486">
        <v>8</v>
      </c>
      <c r="E116" s="2487"/>
      <c r="F116" s="321">
        <v>8</v>
      </c>
      <c r="G116" s="353">
        <v>7</v>
      </c>
    </row>
    <row r="117" spans="1:7" ht="36" customHeight="1" thickBot="1">
      <c r="A117" s="334" t="s">
        <v>782</v>
      </c>
      <c r="B117" s="332" t="s">
        <v>261</v>
      </c>
      <c r="C117" s="337" t="s">
        <v>283</v>
      </c>
      <c r="D117" s="2486">
        <v>10</v>
      </c>
      <c r="E117" s="2487"/>
      <c r="F117" s="333">
        <v>10</v>
      </c>
      <c r="G117" s="353">
        <v>5</v>
      </c>
    </row>
    <row r="118" spans="1:7" ht="30.75" customHeight="1" thickBot="1">
      <c r="A118" s="311" t="s">
        <v>480</v>
      </c>
      <c r="B118" s="317" t="s">
        <v>262</v>
      </c>
      <c r="C118" s="322" t="s">
        <v>283</v>
      </c>
      <c r="D118" s="2486">
        <v>5</v>
      </c>
      <c r="E118" s="2487"/>
      <c r="F118" s="321">
        <v>5</v>
      </c>
      <c r="G118" s="353">
        <v>5</v>
      </c>
    </row>
    <row r="119" spans="1:7" ht="27" thickBot="1">
      <c r="A119" s="311" t="s">
        <v>783</v>
      </c>
      <c r="B119" s="317" t="s">
        <v>642</v>
      </c>
      <c r="C119" s="322" t="s">
        <v>283</v>
      </c>
      <c r="D119" s="2486">
        <v>10</v>
      </c>
      <c r="E119" s="2487"/>
      <c r="F119" s="321">
        <v>12</v>
      </c>
      <c r="G119" s="353">
        <v>7</v>
      </c>
    </row>
    <row r="120" spans="1:7" ht="27" customHeight="1" thickBot="1">
      <c r="A120" s="2461" t="s">
        <v>169</v>
      </c>
      <c r="B120" s="2462"/>
      <c r="C120" s="2462"/>
      <c r="D120" s="2462"/>
      <c r="E120" s="2463"/>
      <c r="F120" s="2463"/>
      <c r="G120" s="346"/>
    </row>
    <row r="121" spans="1:7" ht="14.4" thickBot="1">
      <c r="A121" s="2461" t="s">
        <v>281</v>
      </c>
      <c r="B121" s="2462"/>
      <c r="C121" s="2462"/>
      <c r="D121" s="2462"/>
      <c r="E121" s="2463"/>
      <c r="F121" s="2463"/>
      <c r="G121" s="346"/>
    </row>
    <row r="122" spans="1:7" ht="27" thickBot="1">
      <c r="A122" s="306" t="s">
        <v>885</v>
      </c>
      <c r="B122" s="307" t="s">
        <v>98</v>
      </c>
      <c r="C122" s="308" t="s">
        <v>456</v>
      </c>
      <c r="D122" s="2443">
        <v>30</v>
      </c>
      <c r="E122" s="2444"/>
      <c r="F122" s="309">
        <v>30</v>
      </c>
      <c r="G122" s="344">
        <v>30</v>
      </c>
    </row>
    <row r="123" spans="1:7" ht="35.25" customHeight="1" thickBot="1">
      <c r="A123" s="2465" t="s">
        <v>719</v>
      </c>
      <c r="B123" s="2466"/>
      <c r="C123" s="2466"/>
      <c r="D123" s="2466"/>
      <c r="E123" s="2467"/>
      <c r="F123" s="2467"/>
      <c r="G123" s="348"/>
    </row>
    <row r="124" spans="1:7" ht="13.8" thickBot="1">
      <c r="A124" s="312" t="s">
        <v>886</v>
      </c>
      <c r="B124" s="307" t="s">
        <v>99</v>
      </c>
      <c r="C124" s="308" t="s">
        <v>283</v>
      </c>
      <c r="D124" s="2443">
        <v>17</v>
      </c>
      <c r="E124" s="2444"/>
      <c r="F124" s="309">
        <v>20</v>
      </c>
      <c r="G124" s="344">
        <v>15</v>
      </c>
    </row>
    <row r="125" spans="1:7" ht="31.5" customHeight="1" thickBot="1">
      <c r="A125" s="2445" t="s">
        <v>462</v>
      </c>
      <c r="B125" s="2446"/>
      <c r="C125" s="2446"/>
      <c r="D125" s="2446"/>
      <c r="E125" s="2447"/>
      <c r="F125" s="2447"/>
      <c r="G125" s="345"/>
    </row>
    <row r="126" spans="1:7" ht="27" customHeight="1" thickBot="1">
      <c r="A126" s="2461" t="s">
        <v>442</v>
      </c>
      <c r="B126" s="2462"/>
      <c r="C126" s="2462"/>
      <c r="D126" s="2462"/>
      <c r="E126" s="2463"/>
      <c r="F126" s="2463"/>
      <c r="G126" s="346"/>
    </row>
    <row r="127" spans="1:7" ht="14.4" thickBot="1">
      <c r="A127" s="2461" t="s">
        <v>281</v>
      </c>
      <c r="B127" s="2462"/>
      <c r="C127" s="2462"/>
      <c r="D127" s="2462"/>
      <c r="E127" s="2463"/>
      <c r="F127" s="2463"/>
      <c r="G127" s="346"/>
    </row>
    <row r="128" spans="1:7" ht="13.8" thickBot="1">
      <c r="A128" s="306" t="s">
        <v>887</v>
      </c>
      <c r="B128" s="317" t="s">
        <v>484</v>
      </c>
      <c r="C128" s="308" t="s">
        <v>283</v>
      </c>
      <c r="D128" s="2443">
        <v>45</v>
      </c>
      <c r="E128" s="2444"/>
      <c r="F128" s="309">
        <v>45</v>
      </c>
      <c r="G128" s="344">
        <v>45</v>
      </c>
    </row>
    <row r="129" spans="1:7" ht="13.8" thickBot="1">
      <c r="A129" s="306" t="s">
        <v>826</v>
      </c>
      <c r="B129" s="317" t="s">
        <v>309</v>
      </c>
      <c r="C129" s="308" t="s">
        <v>283</v>
      </c>
      <c r="D129" s="2443">
        <v>3000</v>
      </c>
      <c r="E129" s="2444"/>
      <c r="F129" s="309">
        <v>3000</v>
      </c>
      <c r="G129" s="344">
        <v>3000</v>
      </c>
    </row>
    <row r="130" spans="1:7" ht="13.8" thickBot="1">
      <c r="A130" s="2456" t="s">
        <v>113</v>
      </c>
      <c r="B130" s="2457"/>
      <c r="C130" s="2457"/>
      <c r="D130" s="2457"/>
      <c r="E130" s="2458"/>
      <c r="F130" s="2458"/>
      <c r="G130" s="347"/>
    </row>
    <row r="131" spans="1:7" ht="27" customHeight="1" thickBot="1">
      <c r="A131" s="2465" t="s">
        <v>400</v>
      </c>
      <c r="B131" s="2466"/>
      <c r="C131" s="2466"/>
      <c r="D131" s="2466"/>
      <c r="E131" s="2467"/>
      <c r="F131" s="2467"/>
      <c r="G131" s="348"/>
    </row>
    <row r="132" spans="1:7" ht="13.8" thickBot="1">
      <c r="A132" s="310" t="s">
        <v>594</v>
      </c>
      <c r="B132" s="317" t="s">
        <v>595</v>
      </c>
      <c r="C132" s="308" t="s">
        <v>283</v>
      </c>
      <c r="D132" s="2443">
        <v>750</v>
      </c>
      <c r="E132" s="2444"/>
      <c r="F132" s="309">
        <v>750</v>
      </c>
      <c r="G132" s="344">
        <v>750</v>
      </c>
    </row>
    <row r="133" spans="1:7" ht="54" customHeight="1" thickBot="1">
      <c r="A133" s="2465" t="s">
        <v>596</v>
      </c>
      <c r="B133" s="2466"/>
      <c r="C133" s="2466"/>
      <c r="D133" s="2466"/>
      <c r="E133" s="2467"/>
      <c r="F133" s="2467"/>
      <c r="G133" s="348"/>
    </row>
    <row r="134" spans="1:7" ht="13.8" thickBot="1">
      <c r="A134" s="312" t="s">
        <v>887</v>
      </c>
      <c r="B134" s="317" t="s">
        <v>32</v>
      </c>
      <c r="C134" s="308" t="s">
        <v>283</v>
      </c>
      <c r="D134" s="2443">
        <v>45</v>
      </c>
      <c r="E134" s="2444"/>
      <c r="F134" s="309">
        <v>45</v>
      </c>
      <c r="G134" s="344">
        <v>45</v>
      </c>
    </row>
    <row r="135" spans="1:7" ht="27" thickBot="1">
      <c r="A135" s="312" t="s">
        <v>499</v>
      </c>
      <c r="B135" s="317" t="s">
        <v>586</v>
      </c>
      <c r="C135" s="308" t="s">
        <v>456</v>
      </c>
      <c r="D135" s="2443">
        <v>80</v>
      </c>
      <c r="E135" s="2444"/>
      <c r="F135" s="309">
        <v>80</v>
      </c>
      <c r="G135" s="344">
        <v>80</v>
      </c>
    </row>
    <row r="136" spans="1:7" ht="13.8" thickBot="1">
      <c r="A136" s="312" t="s">
        <v>537</v>
      </c>
      <c r="B136" s="317" t="s">
        <v>514</v>
      </c>
      <c r="C136" s="308" t="s">
        <v>283</v>
      </c>
      <c r="D136" s="2443">
        <v>150</v>
      </c>
      <c r="E136" s="2444"/>
      <c r="F136" s="309">
        <v>150</v>
      </c>
      <c r="G136" s="344">
        <v>150</v>
      </c>
    </row>
    <row r="137" spans="1:7" ht="13.8" thickBot="1">
      <c r="A137" s="312" t="s">
        <v>888</v>
      </c>
      <c r="B137" s="317" t="s">
        <v>154</v>
      </c>
      <c r="C137" s="308" t="s">
        <v>155</v>
      </c>
      <c r="D137" s="2443">
        <v>1</v>
      </c>
      <c r="E137" s="2444"/>
      <c r="F137" s="309">
        <v>1</v>
      </c>
      <c r="G137" s="344">
        <v>1</v>
      </c>
    </row>
    <row r="138" spans="1:7" ht="13.8" thickBot="1">
      <c r="A138" s="312" t="s">
        <v>889</v>
      </c>
      <c r="B138" s="317" t="s">
        <v>157</v>
      </c>
      <c r="C138" s="308" t="s">
        <v>283</v>
      </c>
      <c r="D138" s="2443">
        <v>2</v>
      </c>
      <c r="E138" s="2444"/>
      <c r="F138" s="309">
        <v>2</v>
      </c>
      <c r="G138" s="344">
        <v>2</v>
      </c>
    </row>
    <row r="139" spans="1:7" ht="13.8" thickBot="1">
      <c r="A139" s="312" t="s">
        <v>890</v>
      </c>
      <c r="B139" s="317" t="s">
        <v>722</v>
      </c>
      <c r="C139" s="308" t="s">
        <v>283</v>
      </c>
      <c r="D139" s="2443">
        <v>50</v>
      </c>
      <c r="E139" s="2444"/>
      <c r="F139" s="309">
        <v>50</v>
      </c>
      <c r="G139" s="344">
        <v>50</v>
      </c>
    </row>
    <row r="140" spans="1:7" ht="27" thickBot="1">
      <c r="A140" s="312" t="s">
        <v>891</v>
      </c>
      <c r="B140" s="317" t="s">
        <v>723</v>
      </c>
      <c r="C140" s="308" t="s">
        <v>283</v>
      </c>
      <c r="D140" s="2491">
        <v>7000</v>
      </c>
      <c r="E140" s="2492"/>
      <c r="F140" s="323">
        <v>7000</v>
      </c>
      <c r="G140" s="354">
        <v>7000</v>
      </c>
    </row>
    <row r="141" spans="1:7" ht="47.25" customHeight="1" thickBot="1">
      <c r="A141" s="2445" t="s">
        <v>21</v>
      </c>
      <c r="B141" s="2446"/>
      <c r="C141" s="2446"/>
      <c r="D141" s="2446"/>
      <c r="E141" s="2447"/>
      <c r="F141" s="2447"/>
      <c r="G141" s="345"/>
    </row>
    <row r="142" spans="1:7" ht="27" customHeight="1" thickBot="1">
      <c r="A142" s="2461" t="s">
        <v>380</v>
      </c>
      <c r="B142" s="2462"/>
      <c r="C142" s="2462"/>
      <c r="D142" s="2462"/>
      <c r="E142" s="2463"/>
      <c r="F142" s="2463"/>
      <c r="G142" s="346"/>
    </row>
    <row r="143" spans="1:7" ht="14.4" thickBot="1">
      <c r="A143" s="2461" t="s">
        <v>281</v>
      </c>
      <c r="B143" s="2462"/>
      <c r="C143" s="2462"/>
      <c r="D143" s="2462"/>
      <c r="E143" s="2463"/>
      <c r="F143" s="2463"/>
      <c r="G143" s="346"/>
    </row>
    <row r="144" spans="1:7" ht="13.8" thickBot="1">
      <c r="A144" s="306" t="s">
        <v>892</v>
      </c>
      <c r="B144" s="317" t="s">
        <v>546</v>
      </c>
      <c r="C144" s="308" t="s">
        <v>283</v>
      </c>
      <c r="D144" s="2443">
        <v>350</v>
      </c>
      <c r="E144" s="2444"/>
      <c r="F144" s="309">
        <v>300</v>
      </c>
      <c r="G144" s="344">
        <v>450</v>
      </c>
    </row>
    <row r="145" spans="1:7" ht="13.8" thickBot="1">
      <c r="A145" s="306" t="s">
        <v>242</v>
      </c>
      <c r="B145" s="317" t="s">
        <v>547</v>
      </c>
      <c r="C145" s="308" t="s">
        <v>283</v>
      </c>
      <c r="D145" s="2443">
        <v>17</v>
      </c>
      <c r="E145" s="2444"/>
      <c r="F145" s="309">
        <v>20</v>
      </c>
      <c r="G145" s="344">
        <v>15</v>
      </c>
    </row>
    <row r="146" spans="1:7" ht="27" thickBot="1">
      <c r="A146" s="306" t="s">
        <v>794</v>
      </c>
      <c r="B146" s="317" t="s">
        <v>548</v>
      </c>
      <c r="C146" s="308" t="s">
        <v>283</v>
      </c>
      <c r="D146" s="2443">
        <v>3</v>
      </c>
      <c r="E146" s="2444"/>
      <c r="F146" s="309">
        <v>3</v>
      </c>
      <c r="G146" s="344">
        <v>2</v>
      </c>
    </row>
    <row r="147" spans="1:7" ht="13.8" thickBot="1">
      <c r="A147" s="306" t="s">
        <v>795</v>
      </c>
      <c r="B147" s="317" t="s">
        <v>796</v>
      </c>
      <c r="C147" s="308" t="s">
        <v>456</v>
      </c>
      <c r="D147" s="2443">
        <v>45</v>
      </c>
      <c r="E147" s="2444"/>
      <c r="F147" s="309">
        <v>50</v>
      </c>
      <c r="G147" s="344">
        <v>40</v>
      </c>
    </row>
    <row r="148" spans="1:7" ht="13.8" thickBot="1">
      <c r="A148" s="2456" t="s">
        <v>113</v>
      </c>
      <c r="B148" s="2457"/>
      <c r="C148" s="2457"/>
      <c r="D148" s="2457"/>
      <c r="E148" s="2458"/>
      <c r="F148" s="2458"/>
      <c r="G148" s="347"/>
    </row>
    <row r="149" spans="1:7" ht="27" customHeight="1" thickBot="1">
      <c r="A149" s="2465" t="s">
        <v>321</v>
      </c>
      <c r="B149" s="2466"/>
      <c r="C149" s="2466"/>
      <c r="D149" s="2466"/>
      <c r="E149" s="2467"/>
      <c r="F149" s="2467"/>
      <c r="G149" s="348"/>
    </row>
    <row r="150" spans="1:7" ht="13.8" thickBot="1">
      <c r="A150" s="312" t="s">
        <v>893</v>
      </c>
      <c r="B150" s="317" t="s">
        <v>545</v>
      </c>
      <c r="C150" s="308" t="s">
        <v>283</v>
      </c>
      <c r="D150" s="2443">
        <v>2800</v>
      </c>
      <c r="E150" s="2444"/>
      <c r="F150" s="309">
        <v>3000</v>
      </c>
      <c r="G150" s="344">
        <v>2750</v>
      </c>
    </row>
    <row r="151" spans="1:7" ht="13.8" thickBot="1">
      <c r="A151" s="312" t="s">
        <v>894</v>
      </c>
      <c r="B151" s="317" t="s">
        <v>604</v>
      </c>
      <c r="C151" s="308" t="s">
        <v>283</v>
      </c>
      <c r="D151" s="2443">
        <v>550</v>
      </c>
      <c r="E151" s="2444"/>
      <c r="F151" s="309">
        <v>600</v>
      </c>
      <c r="G151" s="344">
        <v>500</v>
      </c>
    </row>
    <row r="152" spans="1:7" ht="13.8" thickBot="1">
      <c r="A152" s="312" t="s">
        <v>245</v>
      </c>
      <c r="B152" s="317" t="s">
        <v>97</v>
      </c>
      <c r="C152" s="308" t="s">
        <v>834</v>
      </c>
      <c r="D152" s="2443">
        <v>150</v>
      </c>
      <c r="E152" s="2444"/>
      <c r="F152" s="309">
        <v>150</v>
      </c>
      <c r="G152" s="344">
        <v>50</v>
      </c>
    </row>
    <row r="153" spans="1:7" ht="13.8" thickBot="1">
      <c r="A153" s="312" t="s">
        <v>232</v>
      </c>
      <c r="B153" s="317" t="s">
        <v>243</v>
      </c>
      <c r="C153" s="308" t="s">
        <v>833</v>
      </c>
      <c r="D153" s="2443">
        <v>51000</v>
      </c>
      <c r="E153" s="2444"/>
      <c r="F153" s="309">
        <v>53000</v>
      </c>
      <c r="G153" s="344">
        <v>50000</v>
      </c>
    </row>
    <row r="154" spans="1:7" ht="54" customHeight="1" thickBot="1">
      <c r="A154" s="2493" t="s">
        <v>895</v>
      </c>
      <c r="B154" s="2494"/>
      <c r="C154" s="2494"/>
      <c r="D154" s="2494"/>
      <c r="E154" s="2463"/>
      <c r="F154" s="2463"/>
      <c r="G154" s="346"/>
    </row>
    <row r="155" spans="1:7" ht="14.4" thickBot="1">
      <c r="A155" s="2461" t="s">
        <v>281</v>
      </c>
      <c r="B155" s="2462"/>
      <c r="C155" s="2462"/>
      <c r="D155" s="2462"/>
      <c r="E155" s="2463"/>
      <c r="F155" s="2463"/>
      <c r="G155" s="346"/>
    </row>
    <row r="156" spans="1:7" ht="13.8" thickBot="1">
      <c r="A156" s="306" t="s">
        <v>233</v>
      </c>
      <c r="B156" s="317" t="s">
        <v>621</v>
      </c>
      <c r="C156" s="308" t="s">
        <v>283</v>
      </c>
      <c r="D156" s="2443">
        <v>7</v>
      </c>
      <c r="E156" s="2444"/>
      <c r="F156" s="309">
        <v>7</v>
      </c>
      <c r="G156" s="344">
        <v>7</v>
      </c>
    </row>
    <row r="157" spans="1:7" ht="13.8" thickBot="1">
      <c r="A157" s="306" t="s">
        <v>234</v>
      </c>
      <c r="B157" s="317" t="s">
        <v>58</v>
      </c>
      <c r="C157" s="308" t="s">
        <v>283</v>
      </c>
      <c r="D157" s="2443">
        <v>1500</v>
      </c>
      <c r="E157" s="2444"/>
      <c r="F157" s="309">
        <v>1500</v>
      </c>
      <c r="G157" s="344">
        <v>800</v>
      </c>
    </row>
    <row r="158" spans="1:7" ht="13.8" thickBot="1">
      <c r="A158" s="2456" t="s">
        <v>113</v>
      </c>
      <c r="B158" s="2457"/>
      <c r="C158" s="2457"/>
      <c r="D158" s="2457"/>
      <c r="E158" s="2458"/>
      <c r="F158" s="2458"/>
      <c r="G158" s="347"/>
    </row>
    <row r="159" spans="1:7" ht="27" customHeight="1" thickBot="1">
      <c r="A159" s="2465" t="s">
        <v>324</v>
      </c>
      <c r="B159" s="2466"/>
      <c r="C159" s="2466"/>
      <c r="D159" s="2466"/>
      <c r="E159" s="2467"/>
      <c r="F159" s="2467"/>
      <c r="G159" s="348"/>
    </row>
    <row r="160" spans="1:7" ht="13.8" thickBot="1">
      <c r="A160" s="311" t="s">
        <v>847</v>
      </c>
      <c r="B160" s="317" t="s">
        <v>204</v>
      </c>
      <c r="C160" s="308" t="s">
        <v>283</v>
      </c>
      <c r="D160" s="2443">
        <v>140</v>
      </c>
      <c r="E160" s="2444"/>
      <c r="F160" s="309">
        <v>120</v>
      </c>
      <c r="G160" s="344">
        <v>150</v>
      </c>
    </row>
    <row r="161" spans="1:7" ht="13.8" thickBot="1">
      <c r="A161" s="310" t="s">
        <v>848</v>
      </c>
      <c r="B161" s="317" t="s">
        <v>655</v>
      </c>
      <c r="C161" s="308" t="s">
        <v>283</v>
      </c>
      <c r="D161" s="2443">
        <v>35</v>
      </c>
      <c r="E161" s="2444"/>
      <c r="F161" s="309">
        <v>40</v>
      </c>
      <c r="G161" s="344">
        <v>30</v>
      </c>
    </row>
    <row r="162" spans="1:7" ht="13.8" thickBot="1">
      <c r="A162" s="312" t="s">
        <v>896</v>
      </c>
      <c r="B162" s="317" t="s">
        <v>128</v>
      </c>
      <c r="C162" s="308" t="s">
        <v>283</v>
      </c>
      <c r="D162" s="2443">
        <v>20</v>
      </c>
      <c r="E162" s="2444"/>
      <c r="F162" s="309">
        <v>20</v>
      </c>
      <c r="G162" s="344">
        <v>25</v>
      </c>
    </row>
    <row r="163" spans="1:7" ht="13.8" thickBot="1">
      <c r="A163" s="312" t="s">
        <v>797</v>
      </c>
      <c r="B163" s="317" t="s">
        <v>179</v>
      </c>
      <c r="C163" s="308" t="s">
        <v>834</v>
      </c>
      <c r="D163" s="2443">
        <v>20</v>
      </c>
      <c r="E163" s="2444"/>
      <c r="F163" s="309">
        <v>20</v>
      </c>
      <c r="G163" s="344">
        <v>18</v>
      </c>
    </row>
    <row r="164" spans="1:7" ht="13.8" thickBot="1">
      <c r="A164" s="310" t="s">
        <v>178</v>
      </c>
      <c r="B164" s="317" t="s">
        <v>180</v>
      </c>
      <c r="C164" s="308" t="s">
        <v>283</v>
      </c>
      <c r="D164" s="2443">
        <v>0</v>
      </c>
      <c r="E164" s="2444"/>
      <c r="F164" s="309">
        <v>2</v>
      </c>
      <c r="G164" s="344">
        <v>9</v>
      </c>
    </row>
    <row r="165" spans="1:7" ht="67.5" customHeight="1" thickBot="1">
      <c r="A165" s="2465" t="s">
        <v>475</v>
      </c>
      <c r="B165" s="2466"/>
      <c r="C165" s="2466"/>
      <c r="D165" s="2466"/>
      <c r="E165" s="2467"/>
      <c r="F165" s="2467"/>
      <c r="G165" s="348"/>
    </row>
    <row r="166" spans="1:7" ht="13.8" thickBot="1">
      <c r="A166" s="312" t="s">
        <v>129</v>
      </c>
      <c r="B166" s="317" t="s">
        <v>130</v>
      </c>
      <c r="C166" s="308" t="s">
        <v>283</v>
      </c>
      <c r="D166" s="2443">
        <v>20</v>
      </c>
      <c r="E166" s="2444"/>
      <c r="F166" s="309">
        <v>23</v>
      </c>
      <c r="G166" s="344">
        <v>18</v>
      </c>
    </row>
    <row r="167" spans="1:7" ht="13.8" thickBot="1">
      <c r="A167" s="312" t="s">
        <v>181</v>
      </c>
      <c r="B167" s="317" t="s">
        <v>131</v>
      </c>
      <c r="C167" s="308" t="s">
        <v>283</v>
      </c>
      <c r="D167" s="2443">
        <v>10</v>
      </c>
      <c r="E167" s="2444"/>
      <c r="F167" s="309">
        <v>10</v>
      </c>
      <c r="G167" s="344">
        <v>10</v>
      </c>
    </row>
    <row r="168" spans="1:7" ht="27" thickBot="1">
      <c r="A168" s="312" t="s">
        <v>182</v>
      </c>
      <c r="B168" s="317" t="s">
        <v>132</v>
      </c>
      <c r="C168" s="308" t="s">
        <v>283</v>
      </c>
      <c r="D168" s="2443">
        <v>25</v>
      </c>
      <c r="E168" s="2444"/>
      <c r="F168" s="309">
        <v>25</v>
      </c>
      <c r="G168" s="344">
        <v>25</v>
      </c>
    </row>
    <row r="169" spans="1:7" ht="13.8" thickBot="1">
      <c r="A169" s="312" t="s">
        <v>183</v>
      </c>
      <c r="B169" s="317" t="s">
        <v>133</v>
      </c>
      <c r="C169" s="308" t="s">
        <v>283</v>
      </c>
      <c r="D169" s="2443">
        <v>10</v>
      </c>
      <c r="E169" s="2444"/>
      <c r="F169" s="309">
        <v>10</v>
      </c>
      <c r="G169" s="344">
        <v>10</v>
      </c>
    </row>
    <row r="170" spans="1:7" ht="13.8" thickBot="1">
      <c r="A170" s="312" t="s">
        <v>519</v>
      </c>
      <c r="B170" s="317" t="s">
        <v>134</v>
      </c>
      <c r="C170" s="308" t="s">
        <v>283</v>
      </c>
      <c r="D170" s="2443">
        <v>20</v>
      </c>
      <c r="E170" s="2444"/>
      <c r="F170" s="309">
        <v>30</v>
      </c>
      <c r="G170" s="344">
        <v>15</v>
      </c>
    </row>
    <row r="171" spans="1:7" ht="31.5" customHeight="1" thickBot="1">
      <c r="A171" s="2445" t="s">
        <v>121</v>
      </c>
      <c r="B171" s="2446"/>
      <c r="C171" s="2446"/>
      <c r="D171" s="2446"/>
      <c r="E171" s="2447"/>
      <c r="F171" s="2447"/>
      <c r="G171" s="345"/>
    </row>
    <row r="172" spans="1:7" ht="40.5" customHeight="1" thickBot="1">
      <c r="A172" s="2461" t="s">
        <v>897</v>
      </c>
      <c r="B172" s="2462"/>
      <c r="C172" s="2462"/>
      <c r="D172" s="2462"/>
      <c r="E172" s="2463"/>
      <c r="F172" s="2463"/>
      <c r="G172" s="346"/>
    </row>
    <row r="173" spans="1:7" ht="14.4" thickBot="1">
      <c r="A173" s="2461" t="s">
        <v>281</v>
      </c>
      <c r="B173" s="2462"/>
      <c r="C173" s="2462"/>
      <c r="D173" s="2462"/>
      <c r="E173" s="2463"/>
      <c r="F173" s="2463"/>
      <c r="G173" s="346"/>
    </row>
    <row r="174" spans="1:7" ht="41.25" customHeight="1" thickBot="1">
      <c r="A174" s="330" t="s">
        <v>191</v>
      </c>
      <c r="B174" s="339" t="s">
        <v>656</v>
      </c>
      <c r="C174" s="340" t="s">
        <v>456</v>
      </c>
      <c r="D174" s="338">
        <v>85</v>
      </c>
      <c r="E174" s="331"/>
      <c r="F174" s="338">
        <v>85</v>
      </c>
      <c r="G174" s="355">
        <v>85</v>
      </c>
    </row>
    <row r="175" spans="1:7" ht="13.8" thickBot="1">
      <c r="A175" s="2456" t="s">
        <v>113</v>
      </c>
      <c r="B175" s="2457"/>
      <c r="C175" s="2457"/>
      <c r="D175" s="2457"/>
      <c r="E175" s="2458"/>
      <c r="F175" s="2458"/>
      <c r="G175" s="347"/>
    </row>
    <row r="176" spans="1:7" ht="27" customHeight="1" thickBot="1">
      <c r="A176" s="2465" t="s">
        <v>444</v>
      </c>
      <c r="B176" s="2466"/>
      <c r="C176" s="2466"/>
      <c r="D176" s="2466"/>
      <c r="E176" s="2467"/>
      <c r="F176" s="2467"/>
      <c r="G176" s="348"/>
    </row>
    <row r="177" spans="1:7" ht="13.8" thickBot="1">
      <c r="A177" s="312" t="s">
        <v>86</v>
      </c>
      <c r="B177" s="307" t="s">
        <v>856</v>
      </c>
      <c r="C177" s="308" t="s">
        <v>283</v>
      </c>
      <c r="D177" s="2443">
        <v>7</v>
      </c>
      <c r="E177" s="2444"/>
      <c r="F177" s="309">
        <v>8</v>
      </c>
      <c r="G177" s="344">
        <v>7</v>
      </c>
    </row>
    <row r="178" spans="1:7" ht="27" thickBot="1">
      <c r="A178" s="312" t="s">
        <v>192</v>
      </c>
      <c r="B178" s="307" t="s">
        <v>0</v>
      </c>
      <c r="C178" s="308" t="s">
        <v>283</v>
      </c>
      <c r="D178" s="2443">
        <v>14</v>
      </c>
      <c r="E178" s="2444"/>
      <c r="F178" s="309">
        <v>14</v>
      </c>
      <c r="G178" s="344">
        <v>14</v>
      </c>
    </row>
    <row r="179" spans="1:7" ht="13.8" thickBot="1">
      <c r="A179" s="312" t="s">
        <v>521</v>
      </c>
      <c r="B179" s="307" t="s">
        <v>522</v>
      </c>
      <c r="C179" s="308" t="s">
        <v>283</v>
      </c>
      <c r="D179" s="2443">
        <v>2</v>
      </c>
      <c r="E179" s="2444"/>
      <c r="F179" s="309">
        <v>2</v>
      </c>
      <c r="G179" s="344">
        <v>1</v>
      </c>
    </row>
    <row r="180" spans="1:7" ht="40.5" customHeight="1" thickBot="1">
      <c r="A180" s="2461" t="s">
        <v>445</v>
      </c>
      <c r="B180" s="2462"/>
      <c r="C180" s="2462"/>
      <c r="D180" s="2462"/>
      <c r="E180" s="2463"/>
      <c r="F180" s="2463"/>
      <c r="G180" s="346"/>
    </row>
    <row r="181" spans="1:7" ht="14.4" thickBot="1">
      <c r="A181" s="2461" t="s">
        <v>281</v>
      </c>
      <c r="B181" s="2462"/>
      <c r="C181" s="2462"/>
      <c r="D181" s="2462"/>
      <c r="E181" s="2463"/>
      <c r="F181" s="2463"/>
      <c r="G181" s="346"/>
    </row>
    <row r="182" spans="1:7" ht="34.5" customHeight="1" thickBot="1">
      <c r="A182" s="2468" t="s">
        <v>898</v>
      </c>
      <c r="B182" s="317" t="s">
        <v>858</v>
      </c>
      <c r="C182" s="308" t="s">
        <v>283</v>
      </c>
      <c r="D182" s="2443">
        <v>2</v>
      </c>
      <c r="E182" s="2444"/>
      <c r="F182" s="309">
        <v>3</v>
      </c>
      <c r="G182" s="344">
        <v>2</v>
      </c>
    </row>
    <row r="183" spans="1:7" ht="13.8" thickBot="1">
      <c r="A183" s="2470"/>
      <c r="B183" s="317" t="s">
        <v>859</v>
      </c>
      <c r="C183" s="308" t="s">
        <v>283</v>
      </c>
      <c r="D183" s="2443">
        <v>24</v>
      </c>
      <c r="E183" s="2444"/>
      <c r="F183" s="309">
        <v>36</v>
      </c>
      <c r="G183" s="344">
        <v>24</v>
      </c>
    </row>
    <row r="184" spans="1:7" ht="13.8" thickBot="1">
      <c r="A184" s="2456" t="s">
        <v>113</v>
      </c>
      <c r="B184" s="2457"/>
      <c r="C184" s="2457"/>
      <c r="D184" s="2457"/>
      <c r="E184" s="2458"/>
      <c r="F184" s="2458"/>
      <c r="G184" s="347"/>
    </row>
    <row r="185" spans="1:7" ht="40.5" customHeight="1" thickBot="1">
      <c r="A185" s="2465" t="s">
        <v>263</v>
      </c>
      <c r="B185" s="2466"/>
      <c r="C185" s="2466"/>
      <c r="D185" s="2466"/>
      <c r="E185" s="2467"/>
      <c r="F185" s="2467"/>
      <c r="G185" s="348"/>
    </row>
    <row r="186" spans="1:7" ht="27" thickBot="1">
      <c r="A186" s="312" t="s">
        <v>899</v>
      </c>
      <c r="B186" s="307" t="s">
        <v>801</v>
      </c>
      <c r="C186" s="308" t="s">
        <v>283</v>
      </c>
      <c r="D186" s="2443">
        <v>6</v>
      </c>
      <c r="E186" s="2444"/>
      <c r="F186" s="309">
        <v>8</v>
      </c>
      <c r="G186" s="344">
        <v>6</v>
      </c>
    </row>
    <row r="187" spans="1:7" ht="27" thickBot="1">
      <c r="A187" s="312" t="s">
        <v>51</v>
      </c>
      <c r="B187" s="307" t="s">
        <v>52</v>
      </c>
      <c r="C187" s="308" t="s">
        <v>283</v>
      </c>
      <c r="D187" s="2443">
        <v>2</v>
      </c>
      <c r="E187" s="2444"/>
      <c r="F187" s="309">
        <v>3</v>
      </c>
      <c r="G187" s="344">
        <v>2</v>
      </c>
    </row>
    <row r="188" spans="1:7" ht="14.4" thickBot="1">
      <c r="A188" s="2461" t="s">
        <v>495</v>
      </c>
      <c r="B188" s="2462"/>
      <c r="C188" s="2462"/>
      <c r="D188" s="2462"/>
      <c r="E188" s="2463"/>
      <c r="F188" s="2463"/>
      <c r="G188" s="346"/>
    </row>
    <row r="189" spans="1:7" ht="14.4" thickBot="1">
      <c r="A189" s="2461" t="s">
        <v>281</v>
      </c>
      <c r="B189" s="2462"/>
      <c r="C189" s="2462"/>
      <c r="D189" s="2462"/>
      <c r="E189" s="2463"/>
      <c r="F189" s="2463"/>
      <c r="G189" s="346"/>
    </row>
    <row r="190" spans="1:7" ht="13.8" thickBot="1">
      <c r="A190" s="306" t="s">
        <v>264</v>
      </c>
      <c r="B190" s="307" t="s">
        <v>446</v>
      </c>
      <c r="C190" s="308" t="s">
        <v>456</v>
      </c>
      <c r="D190" s="2480">
        <v>2</v>
      </c>
      <c r="E190" s="2481"/>
      <c r="F190" s="315">
        <v>2</v>
      </c>
      <c r="G190" s="350">
        <v>2</v>
      </c>
    </row>
    <row r="191" spans="1:7" ht="27" thickBot="1">
      <c r="A191" s="306" t="s">
        <v>900</v>
      </c>
      <c r="B191" s="307" t="s">
        <v>265</v>
      </c>
      <c r="C191" s="308" t="s">
        <v>283</v>
      </c>
      <c r="D191" s="2443">
        <v>50</v>
      </c>
      <c r="E191" s="2444"/>
      <c r="F191" s="309">
        <v>50</v>
      </c>
      <c r="G191" s="344">
        <v>50</v>
      </c>
    </row>
    <row r="192" spans="1:7" ht="13.8" thickBot="1">
      <c r="A192" s="306" t="s">
        <v>831</v>
      </c>
      <c r="B192" s="307" t="s">
        <v>674</v>
      </c>
      <c r="C192" s="308" t="s">
        <v>456</v>
      </c>
      <c r="D192" s="2443">
        <v>100</v>
      </c>
      <c r="E192" s="2444"/>
      <c r="F192" s="309">
        <v>100</v>
      </c>
      <c r="G192" s="344">
        <v>100</v>
      </c>
    </row>
    <row r="193" spans="1:7" ht="13.8" thickBot="1">
      <c r="A193" s="306" t="s">
        <v>901</v>
      </c>
      <c r="B193" s="307" t="s">
        <v>696</v>
      </c>
      <c r="C193" s="308" t="s">
        <v>283</v>
      </c>
      <c r="D193" s="2443">
        <v>5</v>
      </c>
      <c r="E193" s="2444"/>
      <c r="F193" s="309">
        <v>5</v>
      </c>
      <c r="G193" s="344">
        <v>5</v>
      </c>
    </row>
    <row r="194" spans="1:7" ht="13.8" thickBot="1">
      <c r="A194" s="2456" t="s">
        <v>113</v>
      </c>
      <c r="B194" s="2457"/>
      <c r="C194" s="2457"/>
      <c r="D194" s="2457"/>
      <c r="E194" s="2458"/>
      <c r="F194" s="2458"/>
      <c r="G194" s="347"/>
    </row>
    <row r="195" spans="1:7" ht="27" customHeight="1" thickBot="1">
      <c r="A195" s="2465" t="s">
        <v>437</v>
      </c>
      <c r="B195" s="2466"/>
      <c r="C195" s="2466"/>
      <c r="D195" s="2466"/>
      <c r="E195" s="2467"/>
      <c r="F195" s="2467"/>
      <c r="G195" s="348"/>
    </row>
    <row r="196" spans="1:7" ht="13.8" thickBot="1">
      <c r="A196" s="312" t="s">
        <v>307</v>
      </c>
      <c r="B196" s="307" t="s">
        <v>493</v>
      </c>
      <c r="C196" s="308" t="s">
        <v>283</v>
      </c>
      <c r="D196" s="2443">
        <v>4</v>
      </c>
      <c r="E196" s="2444"/>
      <c r="F196" s="309">
        <v>4</v>
      </c>
      <c r="G196" s="344">
        <v>3</v>
      </c>
    </row>
    <row r="197" spans="1:7" ht="13.8" thickBot="1">
      <c r="A197" s="312" t="s">
        <v>39</v>
      </c>
      <c r="B197" s="307" t="s">
        <v>105</v>
      </c>
      <c r="C197" s="308" t="s">
        <v>249</v>
      </c>
      <c r="D197" s="2443" t="s">
        <v>845</v>
      </c>
      <c r="E197" s="2444"/>
      <c r="F197" s="309" t="s">
        <v>845</v>
      </c>
      <c r="G197" s="344" t="s">
        <v>845</v>
      </c>
    </row>
    <row r="198" spans="1:7" ht="13.8" thickBot="1">
      <c r="A198" s="312" t="s">
        <v>902</v>
      </c>
      <c r="B198" s="307" t="s">
        <v>903</v>
      </c>
      <c r="C198" s="308" t="s">
        <v>283</v>
      </c>
      <c r="D198" s="2443">
        <v>3</v>
      </c>
      <c r="E198" s="2444"/>
      <c r="F198" s="309">
        <v>4</v>
      </c>
      <c r="G198" s="344">
        <v>2</v>
      </c>
    </row>
    <row r="199" spans="1:7" ht="27" customHeight="1" thickBot="1">
      <c r="A199" s="2465" t="s">
        <v>904</v>
      </c>
      <c r="B199" s="2466"/>
      <c r="C199" s="2466"/>
      <c r="D199" s="2466"/>
      <c r="E199" s="2467"/>
      <c r="F199" s="2467"/>
      <c r="G199" s="348"/>
    </row>
    <row r="200" spans="1:7" ht="13.8" thickBot="1">
      <c r="A200" s="312" t="s">
        <v>688</v>
      </c>
      <c r="B200" s="307" t="s">
        <v>494</v>
      </c>
      <c r="C200" s="308" t="s">
        <v>283</v>
      </c>
      <c r="D200" s="2443">
        <v>10</v>
      </c>
      <c r="E200" s="2444"/>
      <c r="F200" s="309">
        <v>10</v>
      </c>
      <c r="G200" s="344">
        <v>5</v>
      </c>
    </row>
    <row r="201" spans="1:7" ht="40.200000000000003" thickBot="1">
      <c r="A201" s="312" t="s">
        <v>905</v>
      </c>
      <c r="B201" s="307" t="s">
        <v>692</v>
      </c>
      <c r="C201" s="308" t="s">
        <v>283</v>
      </c>
      <c r="D201" s="2443">
        <v>5</v>
      </c>
      <c r="E201" s="2444"/>
      <c r="F201" s="309">
        <v>5</v>
      </c>
      <c r="G201" s="344">
        <v>5</v>
      </c>
    </row>
    <row r="202" spans="1:7" ht="31.5" customHeight="1" thickBot="1">
      <c r="A202" s="2445" t="s">
        <v>53</v>
      </c>
      <c r="B202" s="2446"/>
      <c r="C202" s="2446"/>
      <c r="D202" s="2446"/>
      <c r="E202" s="2447"/>
      <c r="F202" s="2447"/>
      <c r="G202" s="345"/>
    </row>
    <row r="203" spans="1:7" ht="40.5" customHeight="1" thickBot="1">
      <c r="A203" s="2461" t="s">
        <v>54</v>
      </c>
      <c r="B203" s="2462"/>
      <c r="C203" s="2462"/>
      <c r="D203" s="2462"/>
      <c r="E203" s="2463"/>
      <c r="F203" s="2463"/>
      <c r="G203" s="346"/>
    </row>
    <row r="204" spans="1:7" ht="14.4" thickBot="1">
      <c r="A204" s="2461" t="s">
        <v>281</v>
      </c>
      <c r="B204" s="2462"/>
      <c r="C204" s="2462"/>
      <c r="D204" s="2462"/>
      <c r="E204" s="2463"/>
      <c r="F204" s="2463"/>
      <c r="G204" s="346"/>
    </row>
    <row r="205" spans="1:7" ht="13.8" thickBot="1">
      <c r="A205" s="306" t="s">
        <v>55</v>
      </c>
      <c r="B205" s="317" t="s">
        <v>56</v>
      </c>
      <c r="C205" s="308" t="s">
        <v>456</v>
      </c>
      <c r="D205" s="2443">
        <v>90</v>
      </c>
      <c r="E205" s="2444"/>
      <c r="F205" s="309">
        <v>90</v>
      </c>
      <c r="G205" s="344">
        <v>90</v>
      </c>
    </row>
    <row r="206" spans="1:7" ht="13.8" thickBot="1">
      <c r="A206" s="306" t="s">
        <v>344</v>
      </c>
      <c r="B206" s="317" t="s">
        <v>306</v>
      </c>
      <c r="C206" s="308" t="s">
        <v>283</v>
      </c>
      <c r="D206" s="2443">
        <v>100</v>
      </c>
      <c r="E206" s="2444"/>
      <c r="F206" s="309">
        <v>100</v>
      </c>
      <c r="G206" s="344">
        <v>105</v>
      </c>
    </row>
    <row r="207" spans="1:7" ht="13.8" thickBot="1">
      <c r="A207" s="306" t="s">
        <v>906</v>
      </c>
      <c r="B207" s="317" t="s">
        <v>199</v>
      </c>
      <c r="C207" s="308" t="s">
        <v>283</v>
      </c>
      <c r="D207" s="2443">
        <v>210</v>
      </c>
      <c r="E207" s="2444"/>
      <c r="F207" s="309">
        <v>210</v>
      </c>
      <c r="G207" s="344">
        <v>215</v>
      </c>
    </row>
    <row r="208" spans="1:7" ht="13.8" thickBot="1">
      <c r="A208" s="306" t="s">
        <v>452</v>
      </c>
      <c r="B208" s="317" t="s">
        <v>405</v>
      </c>
      <c r="C208" s="308" t="s">
        <v>283</v>
      </c>
      <c r="D208" s="2443">
        <v>1200</v>
      </c>
      <c r="E208" s="2444"/>
      <c r="F208" s="309">
        <v>1200</v>
      </c>
      <c r="G208" s="344">
        <v>1190</v>
      </c>
    </row>
    <row r="209" spans="1:7" ht="13.8" thickBot="1">
      <c r="A209" s="306" t="s">
        <v>678</v>
      </c>
      <c r="B209" s="317" t="s">
        <v>745</v>
      </c>
      <c r="C209" s="308" t="s">
        <v>283</v>
      </c>
      <c r="D209" s="2443">
        <v>110</v>
      </c>
      <c r="E209" s="2444"/>
      <c r="F209" s="309">
        <v>95</v>
      </c>
      <c r="G209" s="344">
        <v>110</v>
      </c>
    </row>
    <row r="210" spans="1:7" ht="13.8" thickBot="1">
      <c r="A210" s="306" t="s">
        <v>806</v>
      </c>
      <c r="B210" s="317" t="s">
        <v>746</v>
      </c>
      <c r="C210" s="308" t="s">
        <v>283</v>
      </c>
      <c r="D210" s="2443">
        <v>10200</v>
      </c>
      <c r="E210" s="2444"/>
      <c r="F210" s="309">
        <v>10200</v>
      </c>
      <c r="G210" s="344">
        <v>10100</v>
      </c>
    </row>
    <row r="211" spans="1:7" ht="13.8" thickBot="1">
      <c r="A211" s="2456" t="s">
        <v>113</v>
      </c>
      <c r="B211" s="2457"/>
      <c r="C211" s="2457"/>
      <c r="D211" s="2457"/>
      <c r="E211" s="2458"/>
      <c r="F211" s="2458"/>
      <c r="G211" s="347"/>
    </row>
    <row r="212" spans="1:7" ht="27" customHeight="1" thickBot="1">
      <c r="A212" s="2465" t="s">
        <v>556</v>
      </c>
      <c r="B212" s="2466"/>
      <c r="C212" s="2466"/>
      <c r="D212" s="2466"/>
      <c r="E212" s="2467"/>
      <c r="F212" s="2467"/>
      <c r="G212" s="348"/>
    </row>
    <row r="213" spans="1:7" ht="13.8" thickBot="1">
      <c r="A213" s="312" t="s">
        <v>271</v>
      </c>
      <c r="B213" s="317" t="s">
        <v>842</v>
      </c>
      <c r="C213" s="308" t="s">
        <v>283</v>
      </c>
      <c r="D213" s="2443">
        <v>2</v>
      </c>
      <c r="E213" s="2444"/>
      <c r="F213" s="309">
        <v>2</v>
      </c>
      <c r="G213" s="344">
        <v>2</v>
      </c>
    </row>
    <row r="214" spans="1:7" ht="27" customHeight="1" thickBot="1">
      <c r="A214" s="2465" t="s">
        <v>679</v>
      </c>
      <c r="B214" s="2466"/>
      <c r="C214" s="2466"/>
      <c r="D214" s="2466"/>
      <c r="E214" s="2467"/>
      <c r="F214" s="2467"/>
      <c r="G214" s="348"/>
    </row>
    <row r="215" spans="1:7" ht="13.8" thickBot="1">
      <c r="A215" s="312" t="s">
        <v>907</v>
      </c>
      <c r="B215" s="317" t="s">
        <v>680</v>
      </c>
      <c r="C215" s="308" t="s">
        <v>283</v>
      </c>
      <c r="D215" s="2443">
        <v>3200</v>
      </c>
      <c r="E215" s="2444"/>
      <c r="F215" s="309">
        <v>3200</v>
      </c>
      <c r="G215" s="344">
        <v>3100</v>
      </c>
    </row>
    <row r="216" spans="1:7" ht="13.8" thickBot="1">
      <c r="A216" s="312" t="s">
        <v>681</v>
      </c>
      <c r="B216" s="317" t="s">
        <v>682</v>
      </c>
      <c r="C216" s="308" t="s">
        <v>283</v>
      </c>
      <c r="D216" s="2443">
        <v>45</v>
      </c>
      <c r="E216" s="2444"/>
      <c r="F216" s="309">
        <v>50</v>
      </c>
      <c r="G216" s="344">
        <v>40</v>
      </c>
    </row>
    <row r="217" spans="1:7" ht="42" customHeight="1">
      <c r="A217" s="2495" t="s">
        <v>355</v>
      </c>
      <c r="B217" s="318"/>
      <c r="C217" s="2471" t="s">
        <v>283</v>
      </c>
      <c r="D217" s="2474">
        <v>2600</v>
      </c>
      <c r="E217" s="2475"/>
      <c r="F217" s="2474">
        <v>3000</v>
      </c>
      <c r="G217" s="2515">
        <v>2500</v>
      </c>
    </row>
    <row r="218" spans="1:7" ht="13.8" thickBot="1">
      <c r="A218" s="2496"/>
      <c r="B218" s="317" t="s">
        <v>356</v>
      </c>
      <c r="C218" s="2473"/>
      <c r="D218" s="2476"/>
      <c r="E218" s="2477"/>
      <c r="F218" s="2476"/>
      <c r="G218" s="2515"/>
    </row>
    <row r="219" spans="1:7" ht="13.8" thickBot="1">
      <c r="A219" s="312" t="s">
        <v>313</v>
      </c>
      <c r="B219" s="317" t="s">
        <v>314</v>
      </c>
      <c r="C219" s="308" t="s">
        <v>283</v>
      </c>
      <c r="D219" s="2443">
        <v>1400</v>
      </c>
      <c r="E219" s="2444"/>
      <c r="F219" s="309">
        <v>1400</v>
      </c>
      <c r="G219" s="344">
        <v>1300</v>
      </c>
    </row>
    <row r="220" spans="1:7" ht="13.8" thickBot="1">
      <c r="A220" s="312" t="s">
        <v>908</v>
      </c>
      <c r="B220" s="317" t="s">
        <v>274</v>
      </c>
      <c r="C220" s="308" t="s">
        <v>283</v>
      </c>
      <c r="D220" s="2443">
        <v>1600</v>
      </c>
      <c r="E220" s="2444"/>
      <c r="F220" s="309">
        <v>1600</v>
      </c>
      <c r="G220" s="344">
        <v>1700</v>
      </c>
    </row>
    <row r="221" spans="1:7" ht="13.8" thickBot="1">
      <c r="A221" s="312" t="s">
        <v>591</v>
      </c>
      <c r="B221" s="317" t="s">
        <v>276</v>
      </c>
      <c r="C221" s="308" t="s">
        <v>283</v>
      </c>
      <c r="D221" s="2443">
        <v>110</v>
      </c>
      <c r="E221" s="2444"/>
      <c r="F221" s="309">
        <v>110</v>
      </c>
      <c r="G221" s="344">
        <v>100</v>
      </c>
    </row>
    <row r="222" spans="1:7" ht="13.8" thickBot="1">
      <c r="A222" s="312" t="s">
        <v>593</v>
      </c>
      <c r="B222" s="317" t="s">
        <v>592</v>
      </c>
      <c r="C222" s="308" t="s">
        <v>283</v>
      </c>
      <c r="D222" s="2443">
        <v>480</v>
      </c>
      <c r="E222" s="2444"/>
      <c r="F222" s="309">
        <v>480</v>
      </c>
      <c r="G222" s="344">
        <v>470</v>
      </c>
    </row>
    <row r="223" spans="1:7" ht="40.5" customHeight="1" thickBot="1">
      <c r="A223" s="2465" t="s">
        <v>235</v>
      </c>
      <c r="B223" s="2466"/>
      <c r="C223" s="2466"/>
      <c r="D223" s="2466"/>
      <c r="E223" s="2467"/>
      <c r="F223" s="2467"/>
      <c r="G223" s="348"/>
    </row>
    <row r="224" spans="1:7" ht="13.8" thickBot="1">
      <c r="A224" s="310" t="s">
        <v>909</v>
      </c>
      <c r="B224" s="317" t="s">
        <v>820</v>
      </c>
      <c r="C224" s="308" t="s">
        <v>456</v>
      </c>
      <c r="D224" s="2443">
        <v>80</v>
      </c>
      <c r="E224" s="2444"/>
      <c r="F224" s="309">
        <v>80</v>
      </c>
      <c r="G224" s="344">
        <v>70</v>
      </c>
    </row>
    <row r="225" spans="1:7" ht="13.8" thickBot="1">
      <c r="A225" s="310" t="s">
        <v>819</v>
      </c>
      <c r="B225" s="317" t="s">
        <v>217</v>
      </c>
      <c r="C225" s="308" t="s">
        <v>283</v>
      </c>
      <c r="D225" s="2443">
        <v>17</v>
      </c>
      <c r="E225" s="2444"/>
      <c r="F225" s="309">
        <v>17</v>
      </c>
      <c r="G225" s="344">
        <v>16</v>
      </c>
    </row>
    <row r="226" spans="1:7" ht="13.8" thickBot="1">
      <c r="A226" s="310" t="s">
        <v>821</v>
      </c>
      <c r="B226" s="317" t="s">
        <v>805</v>
      </c>
      <c r="C226" s="308" t="s">
        <v>283</v>
      </c>
      <c r="D226" s="2443">
        <v>2</v>
      </c>
      <c r="E226" s="2444"/>
      <c r="F226" s="309">
        <v>2</v>
      </c>
      <c r="G226" s="344">
        <v>2</v>
      </c>
    </row>
    <row r="227" spans="1:7" ht="13.8" thickBot="1">
      <c r="A227" s="310" t="s">
        <v>910</v>
      </c>
      <c r="B227" s="317" t="s">
        <v>207</v>
      </c>
      <c r="C227" s="308" t="s">
        <v>283</v>
      </c>
      <c r="D227" s="2443">
        <v>6</v>
      </c>
      <c r="E227" s="2444"/>
      <c r="F227" s="309">
        <v>6</v>
      </c>
      <c r="G227" s="344">
        <v>4</v>
      </c>
    </row>
    <row r="228" spans="1:7" ht="13.8" thickBot="1">
      <c r="A228" s="310" t="s">
        <v>911</v>
      </c>
      <c r="B228" s="317" t="s">
        <v>333</v>
      </c>
      <c r="C228" s="308" t="s">
        <v>283</v>
      </c>
      <c r="D228" s="2443">
        <v>6</v>
      </c>
      <c r="E228" s="2444"/>
      <c r="F228" s="309">
        <v>8</v>
      </c>
      <c r="G228" s="344">
        <v>5</v>
      </c>
    </row>
    <row r="229" spans="1:7" ht="13.8" thickBot="1">
      <c r="A229" s="310" t="s">
        <v>221</v>
      </c>
      <c r="B229" s="317" t="s">
        <v>222</v>
      </c>
      <c r="C229" s="308" t="s">
        <v>283</v>
      </c>
      <c r="D229" s="2443">
        <v>2</v>
      </c>
      <c r="E229" s="2444"/>
      <c r="F229" s="309">
        <v>3</v>
      </c>
      <c r="G229" s="344">
        <v>2</v>
      </c>
    </row>
    <row r="230" spans="1:7" ht="40.200000000000003" thickBot="1">
      <c r="A230" s="312" t="s">
        <v>912</v>
      </c>
      <c r="B230" s="317" t="s">
        <v>523</v>
      </c>
      <c r="C230" s="308" t="s">
        <v>283</v>
      </c>
      <c r="D230" s="2443">
        <v>25</v>
      </c>
      <c r="E230" s="2444"/>
      <c r="F230" s="309">
        <v>10</v>
      </c>
      <c r="G230" s="344">
        <v>5</v>
      </c>
    </row>
    <row r="231" spans="1:7" ht="27" customHeight="1" thickBot="1">
      <c r="A231" s="2461" t="s">
        <v>609</v>
      </c>
      <c r="B231" s="2462"/>
      <c r="C231" s="2462"/>
      <c r="D231" s="2462"/>
      <c r="E231" s="2463"/>
      <c r="F231" s="2463"/>
      <c r="G231" s="346"/>
    </row>
    <row r="232" spans="1:7" ht="14.4" thickBot="1">
      <c r="A232" s="2461" t="s">
        <v>281</v>
      </c>
      <c r="B232" s="2462"/>
      <c r="C232" s="2462"/>
      <c r="D232" s="2462"/>
      <c r="E232" s="2463"/>
      <c r="F232" s="2463"/>
      <c r="G232" s="346"/>
    </row>
    <row r="233" spans="1:7" ht="13.8" thickBot="1">
      <c r="A233" s="306" t="s">
        <v>393</v>
      </c>
      <c r="B233" s="317" t="s">
        <v>610</v>
      </c>
      <c r="C233" s="308" t="s">
        <v>283</v>
      </c>
      <c r="D233" s="2443">
        <v>4</v>
      </c>
      <c r="E233" s="2444"/>
      <c r="F233" s="309">
        <v>4</v>
      </c>
      <c r="G233" s="344">
        <v>4</v>
      </c>
    </row>
    <row r="234" spans="1:7" ht="13.8" thickBot="1">
      <c r="A234" s="306" t="s">
        <v>913</v>
      </c>
      <c r="B234" s="317" t="s">
        <v>394</v>
      </c>
      <c r="C234" s="308" t="s">
        <v>283</v>
      </c>
      <c r="D234" s="2443">
        <v>1</v>
      </c>
      <c r="E234" s="2444"/>
      <c r="F234" s="309">
        <v>0</v>
      </c>
      <c r="G234" s="344">
        <v>0</v>
      </c>
    </row>
    <row r="235" spans="1:7" ht="13.8" thickBot="1">
      <c r="A235" s="2456" t="s">
        <v>113</v>
      </c>
      <c r="B235" s="2457"/>
      <c r="C235" s="2457"/>
      <c r="D235" s="2457"/>
      <c r="E235" s="2458"/>
      <c r="F235" s="2458"/>
      <c r="G235" s="347"/>
    </row>
    <row r="236" spans="1:7" ht="27" customHeight="1" thickBot="1">
      <c r="A236" s="2465" t="s">
        <v>590</v>
      </c>
      <c r="B236" s="2466"/>
      <c r="C236" s="2466"/>
      <c r="D236" s="2466"/>
      <c r="E236" s="2467"/>
      <c r="F236" s="2467"/>
      <c r="G236" s="348"/>
    </row>
    <row r="237" spans="1:7" ht="13.8" thickBot="1">
      <c r="A237" s="310" t="s">
        <v>549</v>
      </c>
      <c r="B237" s="317" t="s">
        <v>550</v>
      </c>
      <c r="C237" s="308" t="s">
        <v>283</v>
      </c>
      <c r="D237" s="2443">
        <v>4</v>
      </c>
      <c r="E237" s="2444"/>
      <c r="F237" s="309">
        <v>4</v>
      </c>
      <c r="G237" s="344">
        <v>3</v>
      </c>
    </row>
    <row r="238" spans="1:7" ht="13.8" thickBot="1">
      <c r="A238" s="310" t="s">
        <v>286</v>
      </c>
      <c r="B238" s="317" t="s">
        <v>31</v>
      </c>
      <c r="C238" s="308" t="s">
        <v>283</v>
      </c>
      <c r="D238" s="2443">
        <v>45</v>
      </c>
      <c r="E238" s="2444"/>
      <c r="F238" s="309">
        <v>50</v>
      </c>
      <c r="G238" s="344">
        <v>40</v>
      </c>
    </row>
    <row r="239" spans="1:7" ht="13.8" thickBot="1">
      <c r="A239" s="310" t="s">
        <v>914</v>
      </c>
      <c r="B239" s="317" t="s">
        <v>287</v>
      </c>
      <c r="C239" s="308" t="s">
        <v>283</v>
      </c>
      <c r="D239" s="2443">
        <v>4</v>
      </c>
      <c r="E239" s="2444"/>
      <c r="F239" s="309">
        <v>0</v>
      </c>
      <c r="G239" s="344">
        <v>5</v>
      </c>
    </row>
    <row r="240" spans="1:7" ht="13.8" thickBot="1">
      <c r="A240" s="310" t="s">
        <v>470</v>
      </c>
      <c r="B240" s="317" t="s">
        <v>737</v>
      </c>
      <c r="C240" s="308" t="s">
        <v>283</v>
      </c>
      <c r="D240" s="2443">
        <v>30</v>
      </c>
      <c r="E240" s="2444"/>
      <c r="F240" s="309">
        <v>30</v>
      </c>
      <c r="G240" s="344">
        <v>30</v>
      </c>
    </row>
    <row r="241" spans="1:7" ht="13.8" thickBot="1">
      <c r="A241" s="310" t="s">
        <v>413</v>
      </c>
      <c r="B241" s="317" t="s">
        <v>414</v>
      </c>
      <c r="C241" s="308" t="s">
        <v>283</v>
      </c>
      <c r="D241" s="2443">
        <v>90</v>
      </c>
      <c r="E241" s="2444"/>
      <c r="F241" s="309">
        <v>100</v>
      </c>
      <c r="G241" s="344">
        <v>80</v>
      </c>
    </row>
    <row r="242" spans="1:7" ht="13.8" thickBot="1">
      <c r="A242" s="310" t="s">
        <v>221</v>
      </c>
      <c r="B242" s="317" t="s">
        <v>224</v>
      </c>
      <c r="C242" s="308" t="s">
        <v>283</v>
      </c>
      <c r="D242" s="2443">
        <v>1</v>
      </c>
      <c r="E242" s="2444"/>
      <c r="F242" s="309">
        <v>1</v>
      </c>
      <c r="G242" s="344">
        <v>1</v>
      </c>
    </row>
    <row r="243" spans="1:7" ht="31.5" customHeight="1" thickBot="1">
      <c r="A243" s="2445" t="s">
        <v>149</v>
      </c>
      <c r="B243" s="2446"/>
      <c r="C243" s="2446"/>
      <c r="D243" s="2446"/>
      <c r="E243" s="2447"/>
      <c r="F243" s="2447"/>
      <c r="G243" s="345"/>
    </row>
    <row r="244" spans="1:7" ht="40.5" customHeight="1" thickBot="1">
      <c r="A244" s="2461" t="s">
        <v>730</v>
      </c>
      <c r="B244" s="2462"/>
      <c r="C244" s="2462"/>
      <c r="D244" s="2462"/>
      <c r="E244" s="2463"/>
      <c r="F244" s="2463"/>
      <c r="G244" s="346"/>
    </row>
    <row r="245" spans="1:7" ht="14.4" thickBot="1">
      <c r="A245" s="2461" t="s">
        <v>281</v>
      </c>
      <c r="B245" s="2462"/>
      <c r="C245" s="2462"/>
      <c r="D245" s="2462"/>
      <c r="E245" s="2463"/>
      <c r="F245" s="2463"/>
      <c r="G245" s="346"/>
    </row>
    <row r="246" spans="1:7" ht="13.8" thickBot="1">
      <c r="A246" s="306" t="s">
        <v>512</v>
      </c>
      <c r="B246" s="317" t="s">
        <v>305</v>
      </c>
      <c r="C246" s="308" t="s">
        <v>490</v>
      </c>
      <c r="D246" s="2443">
        <v>7.5</v>
      </c>
      <c r="E246" s="2444"/>
      <c r="F246" s="309">
        <v>7.5</v>
      </c>
      <c r="G246" s="344">
        <v>8</v>
      </c>
    </row>
    <row r="247" spans="1:7" ht="40.200000000000003" thickBot="1">
      <c r="A247" s="306" t="s">
        <v>303</v>
      </c>
      <c r="B247" s="317" t="s">
        <v>288</v>
      </c>
      <c r="C247" s="308" t="s">
        <v>283</v>
      </c>
      <c r="D247" s="2443">
        <v>1</v>
      </c>
      <c r="E247" s="2444"/>
      <c r="F247" s="309">
        <v>1</v>
      </c>
      <c r="G247" s="344">
        <v>1</v>
      </c>
    </row>
    <row r="248" spans="1:7" ht="13.8" thickBot="1">
      <c r="A248" s="306" t="s">
        <v>915</v>
      </c>
      <c r="B248" s="317" t="s">
        <v>289</v>
      </c>
      <c r="C248" s="308" t="s">
        <v>283</v>
      </c>
      <c r="D248" s="2443">
        <v>1</v>
      </c>
      <c r="E248" s="2444"/>
      <c r="F248" s="309">
        <v>0</v>
      </c>
      <c r="G248" s="344">
        <v>0</v>
      </c>
    </row>
    <row r="249" spans="1:7" ht="13.8" thickBot="1">
      <c r="A249" s="2456" t="s">
        <v>113</v>
      </c>
      <c r="B249" s="2457"/>
      <c r="C249" s="2457"/>
      <c r="D249" s="2457"/>
      <c r="E249" s="2458"/>
      <c r="F249" s="2458"/>
      <c r="G249" s="347"/>
    </row>
    <row r="250" spans="1:7" ht="27" customHeight="1" thickBot="1">
      <c r="A250" s="2465" t="s">
        <v>213</v>
      </c>
      <c r="B250" s="2466"/>
      <c r="C250" s="2466"/>
      <c r="D250" s="2466"/>
      <c r="E250" s="2467"/>
      <c r="F250" s="2467"/>
      <c r="G250" s="348"/>
    </row>
    <row r="251" spans="1:7" ht="13.8" thickBot="1">
      <c r="A251" s="310" t="s">
        <v>7</v>
      </c>
      <c r="B251" s="317" t="s">
        <v>8</v>
      </c>
      <c r="C251" s="308" t="s">
        <v>283</v>
      </c>
      <c r="D251" s="2443">
        <v>11</v>
      </c>
      <c r="E251" s="2444"/>
      <c r="F251" s="309">
        <v>11</v>
      </c>
      <c r="G251" s="344">
        <v>11</v>
      </c>
    </row>
    <row r="252" spans="1:7" ht="13.8" thickBot="1">
      <c r="A252" s="310" t="s">
        <v>916</v>
      </c>
      <c r="B252" s="317" t="s">
        <v>14</v>
      </c>
      <c r="C252" s="308" t="s">
        <v>283</v>
      </c>
      <c r="D252" s="2443">
        <v>160</v>
      </c>
      <c r="E252" s="2444"/>
      <c r="F252" s="309">
        <v>170</v>
      </c>
      <c r="G252" s="344">
        <v>150</v>
      </c>
    </row>
    <row r="253" spans="1:7" ht="13.8" thickBot="1">
      <c r="A253" s="310" t="s">
        <v>323</v>
      </c>
      <c r="B253" s="317" t="s">
        <v>15</v>
      </c>
      <c r="C253" s="308" t="s">
        <v>283</v>
      </c>
      <c r="D253" s="2443">
        <v>4500</v>
      </c>
      <c r="E253" s="2444"/>
      <c r="F253" s="309">
        <v>4500</v>
      </c>
      <c r="G253" s="344">
        <v>4000</v>
      </c>
    </row>
    <row r="254" spans="1:7" ht="13.8" thickBot="1">
      <c r="A254" s="310" t="s">
        <v>917</v>
      </c>
      <c r="B254" s="317" t="s">
        <v>267</v>
      </c>
      <c r="C254" s="308" t="s">
        <v>283</v>
      </c>
      <c r="D254" s="2443">
        <v>700</v>
      </c>
      <c r="E254" s="2444"/>
      <c r="F254" s="309">
        <v>700</v>
      </c>
      <c r="G254" s="344">
        <v>700</v>
      </c>
    </row>
    <row r="255" spans="1:7" ht="27" thickBot="1">
      <c r="A255" s="312" t="s">
        <v>532</v>
      </c>
      <c r="B255" s="317" t="s">
        <v>17</v>
      </c>
      <c r="C255" s="308" t="s">
        <v>283</v>
      </c>
      <c r="D255" s="2443">
        <v>30</v>
      </c>
      <c r="E255" s="2444"/>
      <c r="F255" s="309">
        <v>30</v>
      </c>
      <c r="G255" s="344">
        <v>25</v>
      </c>
    </row>
    <row r="256" spans="1:7" ht="40.200000000000003" thickBot="1">
      <c r="A256" s="312" t="s">
        <v>533</v>
      </c>
      <c r="B256" s="317" t="s">
        <v>20</v>
      </c>
      <c r="C256" s="308" t="s">
        <v>283</v>
      </c>
      <c r="D256" s="2443">
        <v>20</v>
      </c>
      <c r="E256" s="2444"/>
      <c r="F256" s="309">
        <v>23</v>
      </c>
      <c r="G256" s="344">
        <v>17</v>
      </c>
    </row>
    <row r="257" spans="1:7" ht="27" customHeight="1" thickBot="1">
      <c r="A257" s="2465" t="s">
        <v>9</v>
      </c>
      <c r="B257" s="2466"/>
      <c r="C257" s="2466"/>
      <c r="D257" s="2466"/>
      <c r="E257" s="2467"/>
      <c r="F257" s="2467"/>
      <c r="G257" s="348"/>
    </row>
    <row r="258" spans="1:7" ht="27" thickBot="1">
      <c r="A258" s="312" t="s">
        <v>918</v>
      </c>
      <c r="B258" s="317" t="s">
        <v>162</v>
      </c>
      <c r="C258" s="308" t="s">
        <v>456</v>
      </c>
      <c r="D258" s="2443">
        <v>100</v>
      </c>
      <c r="E258" s="2444"/>
      <c r="F258" s="309">
        <v>100</v>
      </c>
      <c r="G258" s="344">
        <v>100</v>
      </c>
    </row>
    <row r="259" spans="1:7" ht="13.8" thickBot="1">
      <c r="A259" s="312" t="s">
        <v>194</v>
      </c>
      <c r="B259" s="317" t="s">
        <v>351</v>
      </c>
      <c r="C259" s="308" t="s">
        <v>283</v>
      </c>
      <c r="D259" s="2443">
        <v>3800</v>
      </c>
      <c r="E259" s="2444"/>
      <c r="F259" s="309">
        <v>3800</v>
      </c>
      <c r="G259" s="344">
        <v>3800</v>
      </c>
    </row>
    <row r="260" spans="1:7" ht="13.8" thickBot="1">
      <c r="A260" s="312" t="s">
        <v>195</v>
      </c>
      <c r="B260" s="317" t="s">
        <v>196</v>
      </c>
      <c r="C260" s="308" t="s">
        <v>283</v>
      </c>
      <c r="D260" s="2443">
        <v>300</v>
      </c>
      <c r="E260" s="2444"/>
      <c r="F260" s="309">
        <v>350</v>
      </c>
      <c r="G260" s="344">
        <v>250</v>
      </c>
    </row>
    <row r="261" spans="1:7" ht="27" thickBot="1">
      <c r="A261" s="312" t="s">
        <v>268</v>
      </c>
      <c r="B261" s="317" t="s">
        <v>197</v>
      </c>
      <c r="C261" s="308" t="s">
        <v>283</v>
      </c>
      <c r="D261" s="2443">
        <v>6000</v>
      </c>
      <c r="E261" s="2444"/>
      <c r="F261" s="309">
        <v>6000</v>
      </c>
      <c r="G261" s="344">
        <v>6000</v>
      </c>
    </row>
    <row r="262" spans="1:7" ht="13.8" thickBot="1">
      <c r="A262" s="312" t="s">
        <v>481</v>
      </c>
      <c r="B262" s="317" t="s">
        <v>198</v>
      </c>
      <c r="C262" s="308" t="s">
        <v>456</v>
      </c>
      <c r="D262" s="2443">
        <v>90</v>
      </c>
      <c r="E262" s="2444"/>
      <c r="F262" s="309">
        <v>90</v>
      </c>
      <c r="G262" s="344">
        <v>90</v>
      </c>
    </row>
    <row r="263" spans="1:7" ht="13.8" thickBot="1">
      <c r="A263" s="312" t="s">
        <v>919</v>
      </c>
      <c r="B263" s="317" t="s">
        <v>920</v>
      </c>
      <c r="C263" s="308" t="s">
        <v>283</v>
      </c>
      <c r="D263" s="2443">
        <v>0</v>
      </c>
      <c r="E263" s="2444"/>
      <c r="F263" s="309">
        <v>1</v>
      </c>
      <c r="G263" s="344">
        <v>1</v>
      </c>
    </row>
    <row r="264" spans="1:7" ht="27" customHeight="1" thickBot="1">
      <c r="A264" s="2465" t="s">
        <v>660</v>
      </c>
      <c r="B264" s="2466"/>
      <c r="C264" s="2466"/>
      <c r="D264" s="2466"/>
      <c r="E264" s="2467"/>
      <c r="F264" s="2467"/>
      <c r="G264" s="348"/>
    </row>
    <row r="265" spans="1:7" ht="13.8" thickBot="1">
      <c r="A265" s="312" t="s">
        <v>921</v>
      </c>
      <c r="B265" s="317" t="s">
        <v>630</v>
      </c>
      <c r="C265" s="308" t="s">
        <v>283</v>
      </c>
      <c r="D265" s="2443">
        <v>3</v>
      </c>
      <c r="E265" s="2444"/>
      <c r="F265" s="309">
        <v>3</v>
      </c>
      <c r="G265" s="344">
        <v>3</v>
      </c>
    </row>
    <row r="266" spans="1:7" ht="27" thickBot="1">
      <c r="A266" s="312" t="s">
        <v>922</v>
      </c>
      <c r="B266" s="317" t="s">
        <v>26</v>
      </c>
      <c r="C266" s="308" t="s">
        <v>283</v>
      </c>
      <c r="D266" s="2443">
        <v>100</v>
      </c>
      <c r="E266" s="2444"/>
      <c r="F266" s="309">
        <v>100</v>
      </c>
      <c r="G266" s="344">
        <v>100</v>
      </c>
    </row>
    <row r="267" spans="1:7" ht="13.8" thickBot="1">
      <c r="A267" s="312" t="s">
        <v>923</v>
      </c>
      <c r="B267" s="317" t="s">
        <v>27</v>
      </c>
      <c r="C267" s="308" t="s">
        <v>283</v>
      </c>
      <c r="D267" s="2443">
        <v>0</v>
      </c>
      <c r="E267" s="2444"/>
      <c r="F267" s="309">
        <v>0</v>
      </c>
      <c r="G267" s="344">
        <v>0</v>
      </c>
    </row>
    <row r="268" spans="1:7" ht="40.5" customHeight="1" thickBot="1">
      <c r="A268" s="2441" t="s">
        <v>535</v>
      </c>
      <c r="B268" s="2442"/>
      <c r="C268" s="2442"/>
      <c r="D268" s="2442"/>
      <c r="E268" s="2464"/>
      <c r="F268" s="2464"/>
      <c r="G268" s="349"/>
    </row>
    <row r="269" spans="1:7" ht="14.4" thickBot="1">
      <c r="A269" s="2441" t="s">
        <v>698</v>
      </c>
      <c r="B269" s="2442"/>
      <c r="C269" s="2442"/>
      <c r="D269" s="2442"/>
      <c r="E269" s="2464"/>
      <c r="F269" s="2464"/>
      <c r="G269" s="349"/>
    </row>
    <row r="270" spans="1:7" ht="58.2" thickBot="1">
      <c r="A270" s="306" t="s">
        <v>536</v>
      </c>
      <c r="B270" s="307" t="s">
        <v>670</v>
      </c>
      <c r="C270" s="308" t="s">
        <v>671</v>
      </c>
      <c r="D270" s="2513" t="s">
        <v>924</v>
      </c>
      <c r="E270" s="2514"/>
      <c r="F270" s="324" t="s">
        <v>924</v>
      </c>
      <c r="G270" s="356" t="s">
        <v>924</v>
      </c>
    </row>
    <row r="271" spans="1:7" ht="13.8" thickBot="1">
      <c r="A271" s="306" t="s">
        <v>158</v>
      </c>
      <c r="B271" s="307" t="s">
        <v>159</v>
      </c>
      <c r="C271" s="308" t="s">
        <v>456</v>
      </c>
      <c r="D271" s="2443">
        <v>90</v>
      </c>
      <c r="E271" s="2444"/>
      <c r="F271" s="309">
        <v>90</v>
      </c>
      <c r="G271" s="344">
        <v>90</v>
      </c>
    </row>
    <row r="272" spans="1:7" ht="13.8" thickBot="1">
      <c r="A272" s="306" t="s">
        <v>925</v>
      </c>
      <c r="B272" s="307" t="s">
        <v>238</v>
      </c>
      <c r="C272" s="308" t="s">
        <v>456</v>
      </c>
      <c r="D272" s="2443">
        <v>5</v>
      </c>
      <c r="E272" s="2444"/>
      <c r="F272" s="309">
        <v>5</v>
      </c>
      <c r="G272" s="344">
        <v>5</v>
      </c>
    </row>
    <row r="273" spans="1:7" ht="27" thickBot="1">
      <c r="A273" s="306" t="s">
        <v>926</v>
      </c>
      <c r="B273" s="307" t="s">
        <v>239</v>
      </c>
      <c r="C273" s="308" t="s">
        <v>283</v>
      </c>
      <c r="D273" s="2443">
        <v>12</v>
      </c>
      <c r="E273" s="2444"/>
      <c r="F273" s="309">
        <v>10</v>
      </c>
      <c r="G273" s="344">
        <v>12</v>
      </c>
    </row>
    <row r="274" spans="1:7" ht="31.5" customHeight="1" thickBot="1">
      <c r="A274" s="2445" t="s">
        <v>720</v>
      </c>
      <c r="B274" s="2446"/>
      <c r="C274" s="2446"/>
      <c r="D274" s="2446"/>
      <c r="E274" s="2447"/>
      <c r="F274" s="2447"/>
      <c r="G274" s="345"/>
    </row>
    <row r="275" spans="1:7" ht="14.4" thickBot="1">
      <c r="A275" s="2461" t="s">
        <v>476</v>
      </c>
      <c r="B275" s="2462"/>
      <c r="C275" s="2462"/>
      <c r="D275" s="2462"/>
      <c r="E275" s="2463"/>
      <c r="F275" s="2463"/>
      <c r="G275" s="346"/>
    </row>
    <row r="276" spans="1:7" ht="14.4" thickBot="1">
      <c r="A276" s="2461" t="s">
        <v>281</v>
      </c>
      <c r="B276" s="2462"/>
      <c r="C276" s="2462"/>
      <c r="D276" s="2462"/>
      <c r="E276" s="2463"/>
      <c r="F276" s="2463"/>
      <c r="G276" s="346"/>
    </row>
    <row r="277" spans="1:7" ht="13.8" thickBot="1">
      <c r="A277" s="306" t="s">
        <v>657</v>
      </c>
      <c r="B277" s="317" t="s">
        <v>36</v>
      </c>
      <c r="C277" s="308" t="s">
        <v>456</v>
      </c>
      <c r="D277" s="2443">
        <v>100</v>
      </c>
      <c r="E277" s="2444"/>
      <c r="F277" s="309">
        <v>100</v>
      </c>
      <c r="G277" s="344">
        <v>100</v>
      </c>
    </row>
    <row r="278" spans="1:7" ht="13.8" thickBot="1">
      <c r="A278" s="306" t="s">
        <v>457</v>
      </c>
      <c r="B278" s="317" t="s">
        <v>458</v>
      </c>
      <c r="C278" s="308" t="s">
        <v>283</v>
      </c>
      <c r="D278" s="2443">
        <v>2</v>
      </c>
      <c r="E278" s="2444"/>
      <c r="F278" s="309">
        <v>2</v>
      </c>
      <c r="G278" s="344">
        <v>2</v>
      </c>
    </row>
    <row r="279" spans="1:7" ht="13.8" thickBot="1">
      <c r="A279" s="306" t="s">
        <v>543</v>
      </c>
      <c r="B279" s="317" t="s">
        <v>573</v>
      </c>
      <c r="C279" s="308" t="s">
        <v>283</v>
      </c>
      <c r="D279" s="2443">
        <v>3</v>
      </c>
      <c r="E279" s="2444"/>
      <c r="F279" s="309">
        <v>3</v>
      </c>
      <c r="G279" s="344">
        <v>4</v>
      </c>
    </row>
    <row r="280" spans="1:7" ht="13.8" thickBot="1">
      <c r="A280" s="2456" t="s">
        <v>113</v>
      </c>
      <c r="B280" s="2457"/>
      <c r="C280" s="2457"/>
      <c r="D280" s="2457"/>
      <c r="E280" s="2458"/>
      <c r="F280" s="2458"/>
      <c r="G280" s="347"/>
    </row>
    <row r="281" spans="1:7" ht="40.5" customHeight="1" thickBot="1">
      <c r="A281" s="2465" t="s">
        <v>259</v>
      </c>
      <c r="B281" s="2466"/>
      <c r="C281" s="2466"/>
      <c r="D281" s="2466"/>
      <c r="E281" s="2467"/>
      <c r="F281" s="2467"/>
      <c r="G281" s="348"/>
    </row>
    <row r="282" spans="1:7" ht="13.8" thickBot="1">
      <c r="A282" s="310" t="s">
        <v>666</v>
      </c>
      <c r="B282" s="317" t="s">
        <v>731</v>
      </c>
      <c r="C282" s="308" t="s">
        <v>456</v>
      </c>
      <c r="D282" s="2443">
        <v>99</v>
      </c>
      <c r="E282" s="2444"/>
      <c r="F282" s="309">
        <v>99</v>
      </c>
      <c r="G282" s="344">
        <v>99</v>
      </c>
    </row>
    <row r="283" spans="1:7" ht="13.8" thickBot="1">
      <c r="A283" s="310" t="s">
        <v>732</v>
      </c>
      <c r="B283" s="317" t="s">
        <v>733</v>
      </c>
      <c r="C283" s="308" t="s">
        <v>734</v>
      </c>
      <c r="D283" s="2443">
        <v>350</v>
      </c>
      <c r="E283" s="2444"/>
      <c r="F283" s="309">
        <v>350</v>
      </c>
      <c r="G283" s="344">
        <v>350</v>
      </c>
    </row>
    <row r="284" spans="1:7" ht="27" thickBot="1">
      <c r="A284" s="312" t="s">
        <v>172</v>
      </c>
      <c r="B284" s="317" t="s">
        <v>488</v>
      </c>
      <c r="C284" s="308" t="s">
        <v>456</v>
      </c>
      <c r="D284" s="2443">
        <v>85</v>
      </c>
      <c r="E284" s="2444"/>
      <c r="F284" s="309">
        <v>85</v>
      </c>
      <c r="G284" s="344">
        <v>85</v>
      </c>
    </row>
    <row r="285" spans="1:7" ht="13.8" thickBot="1">
      <c r="A285" s="312" t="s">
        <v>101</v>
      </c>
      <c r="B285" s="317" t="s">
        <v>489</v>
      </c>
      <c r="C285" s="308" t="s">
        <v>490</v>
      </c>
      <c r="D285" s="2443">
        <v>1</v>
      </c>
      <c r="E285" s="2444"/>
      <c r="F285" s="309">
        <v>1</v>
      </c>
      <c r="G285" s="344">
        <v>1</v>
      </c>
    </row>
    <row r="286" spans="1:7" ht="27" thickBot="1">
      <c r="A286" s="312" t="s">
        <v>553</v>
      </c>
      <c r="B286" s="317" t="s">
        <v>589</v>
      </c>
      <c r="C286" s="308" t="s">
        <v>490</v>
      </c>
      <c r="D286" s="2443">
        <v>2</v>
      </c>
      <c r="E286" s="2444"/>
      <c r="F286" s="309">
        <v>2</v>
      </c>
      <c r="G286" s="344">
        <v>2</v>
      </c>
    </row>
    <row r="287" spans="1:7" ht="13.8" thickBot="1">
      <c r="A287" s="310" t="s">
        <v>927</v>
      </c>
      <c r="B287" s="317" t="s">
        <v>46</v>
      </c>
      <c r="C287" s="308" t="s">
        <v>283</v>
      </c>
      <c r="D287" s="2443">
        <v>75</v>
      </c>
      <c r="E287" s="2444"/>
      <c r="F287" s="309">
        <v>70</v>
      </c>
      <c r="G287" s="344">
        <v>80</v>
      </c>
    </row>
    <row r="288" spans="1:7" ht="13.8" thickBot="1">
      <c r="A288" s="310" t="s">
        <v>597</v>
      </c>
      <c r="B288" s="317" t="s">
        <v>103</v>
      </c>
      <c r="C288" s="308" t="s">
        <v>490</v>
      </c>
      <c r="D288" s="2443">
        <v>15</v>
      </c>
      <c r="E288" s="2444"/>
      <c r="F288" s="309">
        <v>15</v>
      </c>
      <c r="G288" s="344">
        <v>120</v>
      </c>
    </row>
    <row r="289" spans="1:7" ht="13.8" thickBot="1">
      <c r="A289" s="310" t="s">
        <v>598</v>
      </c>
      <c r="B289" s="317" t="s">
        <v>526</v>
      </c>
      <c r="C289" s="308" t="s">
        <v>490</v>
      </c>
      <c r="D289" s="2443">
        <v>0</v>
      </c>
      <c r="E289" s="2444"/>
      <c r="F289" s="309">
        <v>0</v>
      </c>
      <c r="G289" s="344">
        <v>40</v>
      </c>
    </row>
    <row r="290" spans="1:7" ht="27" customHeight="1" thickBot="1">
      <c r="A290" s="2465" t="s">
        <v>47</v>
      </c>
      <c r="B290" s="2466"/>
      <c r="C290" s="2466"/>
      <c r="D290" s="2466"/>
      <c r="E290" s="2467"/>
      <c r="F290" s="2467"/>
      <c r="G290" s="348"/>
    </row>
    <row r="291" spans="1:7" ht="13.8" thickBot="1">
      <c r="A291" s="310" t="s">
        <v>928</v>
      </c>
      <c r="B291" s="307" t="s">
        <v>48</v>
      </c>
      <c r="C291" s="308" t="s">
        <v>456</v>
      </c>
      <c r="D291" s="2443">
        <v>100</v>
      </c>
      <c r="E291" s="2444"/>
      <c r="F291" s="309">
        <v>100</v>
      </c>
      <c r="G291" s="344">
        <v>100</v>
      </c>
    </row>
    <row r="292" spans="1:7" ht="14.4" thickBot="1">
      <c r="A292" s="2465" t="s">
        <v>63</v>
      </c>
      <c r="B292" s="2466"/>
      <c r="C292" s="2466"/>
      <c r="D292" s="2466"/>
      <c r="E292" s="2467"/>
      <c r="F292" s="2467"/>
      <c r="G292" s="348"/>
    </row>
    <row r="293" spans="1:7" ht="13.8" thickBot="1">
      <c r="A293" s="310" t="s">
        <v>399</v>
      </c>
      <c r="B293" s="317" t="s">
        <v>64</v>
      </c>
      <c r="C293" s="308" t="s">
        <v>283</v>
      </c>
      <c r="D293" s="2443">
        <v>0</v>
      </c>
      <c r="E293" s="2444"/>
      <c r="F293" s="309">
        <v>0</v>
      </c>
      <c r="G293" s="344">
        <v>1</v>
      </c>
    </row>
    <row r="294" spans="1:7" ht="27" customHeight="1" thickBot="1">
      <c r="A294" s="2465" t="s">
        <v>184</v>
      </c>
      <c r="B294" s="2466"/>
      <c r="C294" s="2466"/>
      <c r="D294" s="2466"/>
      <c r="E294" s="2467"/>
      <c r="F294" s="2467"/>
      <c r="G294" s="348"/>
    </row>
    <row r="295" spans="1:7" ht="13.8" thickBot="1">
      <c r="A295" s="310" t="s">
        <v>186</v>
      </c>
      <c r="B295" s="307" t="s">
        <v>185</v>
      </c>
      <c r="C295" s="308" t="s">
        <v>283</v>
      </c>
      <c r="D295" s="2443">
        <v>50</v>
      </c>
      <c r="E295" s="2444"/>
      <c r="F295" s="309">
        <v>50</v>
      </c>
      <c r="G295" s="344">
        <v>50</v>
      </c>
    </row>
    <row r="296" spans="1:7" ht="40.5" customHeight="1" thickBot="1">
      <c r="A296" s="2441" t="s">
        <v>701</v>
      </c>
      <c r="B296" s="2442"/>
      <c r="C296" s="2442"/>
      <c r="D296" s="2442"/>
      <c r="E296" s="2464"/>
      <c r="F296" s="2464"/>
      <c r="G296" s="349"/>
    </row>
    <row r="297" spans="1:7" ht="14.4" thickBot="1">
      <c r="A297" s="2441" t="s">
        <v>698</v>
      </c>
      <c r="B297" s="2442"/>
      <c r="C297" s="2442"/>
      <c r="D297" s="2442"/>
      <c r="E297" s="2464"/>
      <c r="F297" s="2464"/>
      <c r="G297" s="349"/>
    </row>
    <row r="298" spans="1:7" ht="27" thickBot="1">
      <c r="A298" s="306" t="s">
        <v>929</v>
      </c>
      <c r="B298" s="307" t="s">
        <v>375</v>
      </c>
      <c r="C298" s="308" t="s">
        <v>534</v>
      </c>
      <c r="D298" s="2480">
        <v>16</v>
      </c>
      <c r="E298" s="2481"/>
      <c r="F298" s="315">
        <v>16</v>
      </c>
      <c r="G298" s="350">
        <v>16</v>
      </c>
    </row>
    <row r="299" spans="1:7" ht="21" thickBot="1">
      <c r="A299" s="306" t="s">
        <v>376</v>
      </c>
      <c r="B299" s="307" t="s">
        <v>377</v>
      </c>
      <c r="C299" s="308" t="s">
        <v>534</v>
      </c>
      <c r="D299" s="2443">
        <v>40</v>
      </c>
      <c r="E299" s="2444"/>
      <c r="F299" s="309">
        <v>40</v>
      </c>
      <c r="G299" s="344">
        <v>35</v>
      </c>
    </row>
    <row r="300" spans="1:7" ht="21" thickBot="1">
      <c r="A300" s="306" t="s">
        <v>301</v>
      </c>
      <c r="B300" s="307" t="s">
        <v>302</v>
      </c>
      <c r="C300" s="308" t="s">
        <v>456</v>
      </c>
      <c r="D300" s="2478" t="s">
        <v>346</v>
      </c>
      <c r="E300" s="2479"/>
      <c r="F300" s="316" t="s">
        <v>346</v>
      </c>
      <c r="G300" s="351" t="s">
        <v>853</v>
      </c>
    </row>
    <row r="301" spans="1:7" ht="31.5" customHeight="1" thickBot="1">
      <c r="A301" s="2445" t="s">
        <v>214</v>
      </c>
      <c r="B301" s="2446"/>
      <c r="C301" s="2446"/>
      <c r="D301" s="2446"/>
      <c r="E301" s="2447"/>
      <c r="F301" s="2447"/>
      <c r="G301" s="345"/>
    </row>
    <row r="302" spans="1:7" ht="40.5" customHeight="1" thickBot="1">
      <c r="A302" s="2461" t="s">
        <v>272</v>
      </c>
      <c r="B302" s="2462"/>
      <c r="C302" s="2462"/>
      <c r="D302" s="2462"/>
      <c r="E302" s="2463"/>
      <c r="F302" s="2463"/>
      <c r="G302" s="346"/>
    </row>
    <row r="303" spans="1:7" ht="14.4" thickBot="1">
      <c r="A303" s="2461" t="s">
        <v>281</v>
      </c>
      <c r="B303" s="2462"/>
      <c r="C303" s="2462"/>
      <c r="D303" s="2462"/>
      <c r="E303" s="2463"/>
      <c r="F303" s="2463"/>
      <c r="G303" s="346"/>
    </row>
    <row r="304" spans="1:7" ht="27" thickBot="1">
      <c r="A304" s="306" t="s">
        <v>930</v>
      </c>
      <c r="B304" s="307" t="s">
        <v>273</v>
      </c>
      <c r="C304" s="308" t="s">
        <v>456</v>
      </c>
      <c r="D304" s="2443">
        <v>90</v>
      </c>
      <c r="E304" s="2444"/>
      <c r="F304" s="309">
        <v>90</v>
      </c>
      <c r="G304" s="344">
        <v>90</v>
      </c>
    </row>
    <row r="305" spans="1:7" ht="13.8" thickBot="1">
      <c r="A305" s="306" t="s">
        <v>227</v>
      </c>
      <c r="B305" s="307" t="s">
        <v>808</v>
      </c>
      <c r="C305" s="308" t="s">
        <v>283</v>
      </c>
      <c r="D305" s="2443">
        <v>5</v>
      </c>
      <c r="E305" s="2444"/>
      <c r="F305" s="309">
        <v>10</v>
      </c>
      <c r="G305" s="344">
        <v>5</v>
      </c>
    </row>
    <row r="306" spans="1:7" ht="27" thickBot="1">
      <c r="A306" s="306" t="s">
        <v>500</v>
      </c>
      <c r="B306" s="307" t="s">
        <v>855</v>
      </c>
      <c r="C306" s="308" t="s">
        <v>283</v>
      </c>
      <c r="D306" s="2443">
        <v>3</v>
      </c>
      <c r="E306" s="2444"/>
      <c r="F306" s="309">
        <v>10</v>
      </c>
      <c r="G306" s="344">
        <v>3</v>
      </c>
    </row>
    <row r="307" spans="1:7" ht="13.8" thickBot="1">
      <c r="A307" s="306" t="s">
        <v>342</v>
      </c>
      <c r="B307" s="307" t="s">
        <v>228</v>
      </c>
      <c r="C307" s="308" t="s">
        <v>456</v>
      </c>
      <c r="D307" s="2443">
        <v>100</v>
      </c>
      <c r="E307" s="2444"/>
      <c r="F307" s="309">
        <v>100</v>
      </c>
      <c r="G307" s="344">
        <v>99</v>
      </c>
    </row>
    <row r="308" spans="1:7" ht="13.8" thickBot="1">
      <c r="A308" s="306" t="s">
        <v>807</v>
      </c>
      <c r="B308" s="307" t="s">
        <v>606</v>
      </c>
      <c r="C308" s="308" t="s">
        <v>283</v>
      </c>
      <c r="D308" s="2443">
        <v>2</v>
      </c>
      <c r="E308" s="2444"/>
      <c r="F308" s="309">
        <v>2</v>
      </c>
      <c r="G308" s="344">
        <v>2</v>
      </c>
    </row>
    <row r="309" spans="1:7" ht="34.5" customHeight="1">
      <c r="A309" s="2499" t="s">
        <v>931</v>
      </c>
      <c r="B309" s="325"/>
      <c r="C309" s="2501" t="s">
        <v>283</v>
      </c>
      <c r="D309" s="2497">
        <v>5</v>
      </c>
      <c r="E309" s="2503"/>
      <c r="F309" s="2497">
        <v>5</v>
      </c>
      <c r="G309" s="2516">
        <v>5</v>
      </c>
    </row>
    <row r="310" spans="1:7" ht="13.8" thickBot="1">
      <c r="A310" s="2500"/>
      <c r="B310" s="326" t="s">
        <v>607</v>
      </c>
      <c r="C310" s="2502"/>
      <c r="D310" s="2498"/>
      <c r="E310" s="2504"/>
      <c r="F310" s="2498"/>
      <c r="G310" s="2516"/>
    </row>
    <row r="311" spans="1:7" ht="13.8" thickBot="1">
      <c r="A311" s="2456" t="s">
        <v>113</v>
      </c>
      <c r="B311" s="2457"/>
      <c r="C311" s="2457"/>
      <c r="D311" s="2457"/>
      <c r="E311" s="2458"/>
      <c r="F311" s="2458"/>
      <c r="G311" s="347"/>
    </row>
    <row r="312" spans="1:7" ht="40.5" customHeight="1" thickBot="1">
      <c r="A312" s="2465" t="s">
        <v>932</v>
      </c>
      <c r="B312" s="2466"/>
      <c r="C312" s="2466"/>
      <c r="D312" s="2466"/>
      <c r="E312" s="2467"/>
      <c r="F312" s="2467"/>
      <c r="G312" s="348"/>
    </row>
    <row r="313" spans="1:7" ht="13.8" thickBot="1">
      <c r="A313" s="310" t="s">
        <v>146</v>
      </c>
      <c r="B313" s="307" t="s">
        <v>253</v>
      </c>
      <c r="C313" s="308" t="s">
        <v>283</v>
      </c>
      <c r="D313" s="2443">
        <v>2</v>
      </c>
      <c r="E313" s="2444"/>
      <c r="F313" s="309">
        <v>2</v>
      </c>
      <c r="G313" s="344">
        <v>2</v>
      </c>
    </row>
    <row r="314" spans="1:7" ht="13.8" thickBot="1">
      <c r="A314" s="310" t="s">
        <v>608</v>
      </c>
      <c r="B314" s="307" t="s">
        <v>255</v>
      </c>
      <c r="C314" s="308" t="s">
        <v>283</v>
      </c>
      <c r="D314" s="2443">
        <v>5</v>
      </c>
      <c r="E314" s="2444"/>
      <c r="F314" s="309">
        <v>10</v>
      </c>
      <c r="G314" s="344">
        <v>5</v>
      </c>
    </row>
    <row r="315" spans="1:7" ht="13.8" thickBot="1">
      <c r="A315" s="310" t="s">
        <v>254</v>
      </c>
      <c r="B315" s="307" t="s">
        <v>256</v>
      </c>
      <c r="C315" s="308" t="s">
        <v>283</v>
      </c>
      <c r="D315" s="2443">
        <v>2</v>
      </c>
      <c r="E315" s="2444"/>
      <c r="F315" s="309">
        <v>2</v>
      </c>
      <c r="G315" s="344">
        <v>2</v>
      </c>
    </row>
    <row r="316" spans="1:7" ht="13.8" thickBot="1">
      <c r="A316" s="310" t="s">
        <v>343</v>
      </c>
      <c r="B316" s="307" t="s">
        <v>115</v>
      </c>
      <c r="C316" s="308" t="s">
        <v>283</v>
      </c>
      <c r="D316" s="2443">
        <v>0</v>
      </c>
      <c r="E316" s="2444"/>
      <c r="F316" s="309">
        <v>0</v>
      </c>
      <c r="G316" s="344">
        <v>1</v>
      </c>
    </row>
    <row r="317" spans="1:7" ht="27" thickBot="1">
      <c r="A317" s="327" t="s">
        <v>933</v>
      </c>
      <c r="B317" s="307" t="s">
        <v>116</v>
      </c>
      <c r="C317" s="308" t="s">
        <v>117</v>
      </c>
      <c r="D317" s="2443">
        <v>600</v>
      </c>
      <c r="E317" s="2444"/>
      <c r="F317" s="309">
        <v>700</v>
      </c>
      <c r="G317" s="344">
        <v>500</v>
      </c>
    </row>
    <row r="318" spans="1:7" ht="13.8" thickBot="1">
      <c r="A318" s="312" t="s">
        <v>672</v>
      </c>
      <c r="B318" s="307" t="s">
        <v>673</v>
      </c>
      <c r="C318" s="308" t="s">
        <v>117</v>
      </c>
      <c r="D318" s="2443">
        <v>50</v>
      </c>
      <c r="E318" s="2444"/>
      <c r="F318" s="309">
        <v>50</v>
      </c>
      <c r="G318" s="344">
        <v>40</v>
      </c>
    </row>
    <row r="319" spans="1:7" ht="13.8" thickBot="1">
      <c r="A319" s="312" t="s">
        <v>219</v>
      </c>
      <c r="B319" s="307" t="s">
        <v>567</v>
      </c>
      <c r="C319" s="308" t="s">
        <v>283</v>
      </c>
      <c r="D319" s="2443">
        <v>1</v>
      </c>
      <c r="E319" s="2444"/>
      <c r="F319" s="309">
        <v>1</v>
      </c>
      <c r="G319" s="344">
        <v>1</v>
      </c>
    </row>
    <row r="320" spans="1:7" ht="13.8" thickBot="1">
      <c r="A320" s="312" t="s">
        <v>934</v>
      </c>
      <c r="B320" s="307" t="s">
        <v>322</v>
      </c>
      <c r="C320" s="308" t="s">
        <v>283</v>
      </c>
      <c r="D320" s="2443">
        <v>1</v>
      </c>
      <c r="E320" s="2444"/>
      <c r="F320" s="309">
        <v>1</v>
      </c>
      <c r="G320" s="344">
        <v>1</v>
      </c>
    </row>
    <row r="321" spans="1:7" ht="13.8" thickBot="1">
      <c r="A321" s="312" t="s">
        <v>935</v>
      </c>
      <c r="B321" s="307" t="s">
        <v>564</v>
      </c>
      <c r="C321" s="308" t="s">
        <v>283</v>
      </c>
      <c r="D321" s="2443">
        <v>1</v>
      </c>
      <c r="E321" s="2444"/>
      <c r="F321" s="309">
        <v>1</v>
      </c>
      <c r="G321" s="344">
        <v>1</v>
      </c>
    </row>
    <row r="322" spans="1:7" ht="14.4" thickBot="1">
      <c r="A322" s="2461" t="s">
        <v>257</v>
      </c>
      <c r="B322" s="2462"/>
      <c r="C322" s="2462"/>
      <c r="D322" s="2462"/>
      <c r="E322" s="2463"/>
      <c r="F322" s="2463"/>
      <c r="G322" s="346"/>
    </row>
    <row r="323" spans="1:7" ht="14.4" thickBot="1">
      <c r="A323" s="2461" t="s">
        <v>281</v>
      </c>
      <c r="B323" s="2462"/>
      <c r="C323" s="2462"/>
      <c r="D323" s="2462"/>
      <c r="E323" s="2463"/>
      <c r="F323" s="2463"/>
      <c r="G323" s="346"/>
    </row>
    <row r="324" spans="1:7" ht="13.8" thickBot="1">
      <c r="A324" s="306" t="s">
        <v>936</v>
      </c>
      <c r="B324" s="307" t="s">
        <v>299</v>
      </c>
      <c r="C324" s="308" t="s">
        <v>317</v>
      </c>
      <c r="D324" s="2443">
        <v>1600</v>
      </c>
      <c r="E324" s="2444"/>
      <c r="F324" s="309">
        <v>1700</v>
      </c>
      <c r="G324" s="344">
        <v>1500</v>
      </c>
    </row>
    <row r="325" spans="1:7" ht="27" thickBot="1">
      <c r="A325" s="306" t="s">
        <v>937</v>
      </c>
      <c r="B325" s="307" t="s">
        <v>740</v>
      </c>
      <c r="C325" s="308" t="s">
        <v>834</v>
      </c>
      <c r="D325" s="2478">
        <v>40000</v>
      </c>
      <c r="E325" s="2479"/>
      <c r="F325" s="316">
        <v>50000</v>
      </c>
      <c r="G325" s="351">
        <v>30000</v>
      </c>
    </row>
    <row r="326" spans="1:7" ht="13.8" thickBot="1">
      <c r="A326" s="2456" t="s">
        <v>113</v>
      </c>
      <c r="B326" s="2457"/>
      <c r="C326" s="2457"/>
      <c r="D326" s="2457"/>
      <c r="E326" s="2458"/>
      <c r="F326" s="2458"/>
      <c r="G326" s="347"/>
    </row>
    <row r="327" spans="1:7" ht="27" customHeight="1" thickBot="1">
      <c r="A327" s="2465" t="s">
        <v>459</v>
      </c>
      <c r="B327" s="2466"/>
      <c r="C327" s="2466"/>
      <c r="D327" s="2466"/>
      <c r="E327" s="2467"/>
      <c r="F327" s="2467"/>
      <c r="G327" s="348"/>
    </row>
    <row r="328" spans="1:7" ht="13.8" thickBot="1">
      <c r="A328" s="310" t="s">
        <v>938</v>
      </c>
      <c r="B328" s="317" t="s">
        <v>460</v>
      </c>
      <c r="C328" s="308" t="s">
        <v>283</v>
      </c>
      <c r="D328" s="2443">
        <v>3</v>
      </c>
      <c r="E328" s="2444"/>
      <c r="F328" s="309">
        <v>3</v>
      </c>
      <c r="G328" s="344">
        <v>3</v>
      </c>
    </row>
    <row r="329" spans="1:7" ht="13.8" thickBot="1">
      <c r="A329" s="310" t="s">
        <v>614</v>
      </c>
      <c r="B329" s="317" t="s">
        <v>61</v>
      </c>
      <c r="C329" s="308" t="s">
        <v>283</v>
      </c>
      <c r="D329" s="2443">
        <v>3</v>
      </c>
      <c r="E329" s="2444"/>
      <c r="F329" s="309">
        <v>3</v>
      </c>
      <c r="G329" s="344">
        <v>5</v>
      </c>
    </row>
    <row r="330" spans="1:7" ht="27" customHeight="1" thickBot="1">
      <c r="A330" s="2465" t="s">
        <v>939</v>
      </c>
      <c r="B330" s="2466"/>
      <c r="C330" s="2466"/>
      <c r="D330" s="2466"/>
      <c r="E330" s="2467"/>
      <c r="F330" s="2467"/>
      <c r="G330" s="348"/>
    </row>
    <row r="331" spans="1:7" ht="13.8" thickBot="1">
      <c r="A331" s="312" t="s">
        <v>850</v>
      </c>
      <c r="B331" s="307" t="s">
        <v>653</v>
      </c>
      <c r="C331" s="308" t="s">
        <v>283</v>
      </c>
      <c r="D331" s="2443">
        <v>1</v>
      </c>
      <c r="E331" s="2444"/>
      <c r="F331" s="309">
        <v>1</v>
      </c>
      <c r="G331" s="344">
        <v>1</v>
      </c>
    </row>
    <row r="332" spans="1:7" ht="27" thickBot="1">
      <c r="A332" s="312" t="s">
        <v>827</v>
      </c>
      <c r="B332" s="307" t="s">
        <v>851</v>
      </c>
      <c r="C332" s="308" t="s">
        <v>283</v>
      </c>
      <c r="D332" s="2443">
        <v>1</v>
      </c>
      <c r="E332" s="2444"/>
      <c r="F332" s="309">
        <v>0</v>
      </c>
      <c r="G332" s="344">
        <v>0</v>
      </c>
    </row>
    <row r="333" spans="1:7" ht="13.8" thickBot="1">
      <c r="A333" s="312" t="s">
        <v>940</v>
      </c>
      <c r="B333" s="307" t="s">
        <v>285</v>
      </c>
      <c r="C333" s="308" t="s">
        <v>283</v>
      </c>
      <c r="D333" s="2443">
        <v>3</v>
      </c>
      <c r="E333" s="2444"/>
      <c r="F333" s="309">
        <v>3</v>
      </c>
      <c r="G333" s="344">
        <v>6</v>
      </c>
    </row>
    <row r="334" spans="1:7" ht="40.200000000000003" thickBot="1">
      <c r="A334" s="312" t="s">
        <v>941</v>
      </c>
      <c r="B334" s="307" t="s">
        <v>828</v>
      </c>
      <c r="C334" s="308" t="s">
        <v>456</v>
      </c>
      <c r="D334" s="2443">
        <v>20</v>
      </c>
      <c r="E334" s="2444"/>
      <c r="F334" s="309">
        <v>30</v>
      </c>
      <c r="G334" s="344">
        <v>10</v>
      </c>
    </row>
    <row r="335" spans="1:7" ht="40.5" customHeight="1" thickBot="1">
      <c r="A335" s="2505" t="s">
        <v>942</v>
      </c>
      <c r="B335" s="2506"/>
      <c r="C335" s="2506"/>
      <c r="D335" s="2506"/>
      <c r="E335" s="2506"/>
      <c r="F335" s="2506"/>
      <c r="G335" s="357"/>
    </row>
    <row r="336" spans="1:7" ht="58.5" customHeight="1">
      <c r="A336" s="2495" t="s">
        <v>144</v>
      </c>
      <c r="B336" s="318"/>
      <c r="C336" s="2471" t="s">
        <v>143</v>
      </c>
      <c r="D336" s="2474">
        <v>5</v>
      </c>
      <c r="E336" s="2475"/>
      <c r="F336" s="2474">
        <v>10</v>
      </c>
      <c r="G336" s="2515">
        <v>9</v>
      </c>
    </row>
    <row r="337" spans="1:7" ht="13.8" thickBot="1">
      <c r="A337" s="2496"/>
      <c r="B337" s="317" t="s">
        <v>498</v>
      </c>
      <c r="C337" s="2473"/>
      <c r="D337" s="2476"/>
      <c r="E337" s="2477"/>
      <c r="F337" s="2476"/>
      <c r="G337" s="2515"/>
    </row>
    <row r="338" spans="1:7" ht="13.8" thickBot="1">
      <c r="A338" s="312" t="s">
        <v>576</v>
      </c>
      <c r="B338" s="317" t="s">
        <v>611</v>
      </c>
      <c r="C338" s="308" t="s">
        <v>283</v>
      </c>
      <c r="D338" s="2443">
        <v>0</v>
      </c>
      <c r="E338" s="2444"/>
      <c r="F338" s="309">
        <v>0</v>
      </c>
      <c r="G338" s="344">
        <v>2</v>
      </c>
    </row>
    <row r="339" spans="1:7" ht="40.200000000000003" thickBot="1">
      <c r="A339" s="312" t="s">
        <v>335</v>
      </c>
      <c r="B339" s="317" t="s">
        <v>334</v>
      </c>
      <c r="C339" s="308" t="s">
        <v>283</v>
      </c>
      <c r="D339" s="2443">
        <v>1</v>
      </c>
      <c r="E339" s="2444"/>
      <c r="F339" s="309">
        <v>0</v>
      </c>
      <c r="G339" s="344">
        <v>0</v>
      </c>
    </row>
    <row r="340" spans="1:7" ht="14.4" thickBot="1">
      <c r="A340" s="2461" t="s">
        <v>329</v>
      </c>
      <c r="B340" s="2462"/>
      <c r="C340" s="2462"/>
      <c r="D340" s="2462"/>
      <c r="E340" s="2462"/>
      <c r="F340" s="2462"/>
      <c r="G340" s="358"/>
    </row>
    <row r="341" spans="1:7" ht="14.4" thickBot="1">
      <c r="A341" s="2461" t="s">
        <v>281</v>
      </c>
      <c r="B341" s="2462"/>
      <c r="C341" s="2462"/>
      <c r="D341" s="2462"/>
      <c r="E341" s="2462"/>
      <c r="F341" s="2462"/>
      <c r="G341" s="358"/>
    </row>
    <row r="342" spans="1:7" ht="27" thickBot="1">
      <c r="A342" s="306" t="s">
        <v>615</v>
      </c>
      <c r="B342" s="317" t="s">
        <v>330</v>
      </c>
      <c r="C342" s="308" t="s">
        <v>283</v>
      </c>
      <c r="D342" s="2443">
        <v>1</v>
      </c>
      <c r="E342" s="2444"/>
      <c r="F342" s="309">
        <v>1</v>
      </c>
      <c r="G342" s="344">
        <v>1</v>
      </c>
    </row>
    <row r="343" spans="1:7" ht="13.8" thickBot="1">
      <c r="A343" s="2456" t="s">
        <v>113</v>
      </c>
      <c r="B343" s="2457"/>
      <c r="C343" s="2457"/>
      <c r="D343" s="2457"/>
      <c r="E343" s="2457"/>
      <c r="F343" s="2457"/>
      <c r="G343" s="359"/>
    </row>
    <row r="344" spans="1:7" ht="14.4" thickBot="1">
      <c r="A344" s="2465" t="s">
        <v>331</v>
      </c>
      <c r="B344" s="2466"/>
      <c r="C344" s="2466"/>
      <c r="D344" s="2466"/>
      <c r="E344" s="2466"/>
      <c r="F344" s="2466"/>
      <c r="G344" s="360"/>
    </row>
    <row r="345" spans="1:7" ht="13.8" thickBot="1">
      <c r="A345" s="310" t="s">
        <v>10</v>
      </c>
      <c r="B345" s="307" t="s">
        <v>619</v>
      </c>
      <c r="C345" s="308" t="s">
        <v>456</v>
      </c>
      <c r="D345" s="2443">
        <v>20</v>
      </c>
      <c r="E345" s="2444"/>
      <c r="F345" s="309">
        <v>20</v>
      </c>
      <c r="G345" s="344">
        <v>20</v>
      </c>
    </row>
    <row r="346" spans="1:7" ht="13.8" thickBot="1">
      <c r="A346" s="310" t="s">
        <v>618</v>
      </c>
      <c r="B346" s="307" t="s">
        <v>379</v>
      </c>
      <c r="C346" s="308" t="s">
        <v>283</v>
      </c>
      <c r="D346" s="2443">
        <v>1</v>
      </c>
      <c r="E346" s="2444"/>
      <c r="F346" s="309">
        <v>0</v>
      </c>
      <c r="G346" s="344">
        <v>0</v>
      </c>
    </row>
    <row r="347" spans="1:7" ht="13.8" thickBot="1">
      <c r="A347" s="310" t="s">
        <v>482</v>
      </c>
      <c r="B347" s="307" t="s">
        <v>483</v>
      </c>
      <c r="C347" s="308" t="s">
        <v>283</v>
      </c>
      <c r="D347" s="2443">
        <v>1</v>
      </c>
      <c r="E347" s="2444"/>
      <c r="F347" s="309">
        <v>1</v>
      </c>
      <c r="G347" s="344">
        <v>0</v>
      </c>
    </row>
    <row r="348" spans="1:7" ht="13.8" thickBot="1">
      <c r="A348" s="310" t="s">
        <v>403</v>
      </c>
      <c r="B348" s="307" t="s">
        <v>404</v>
      </c>
      <c r="C348" s="308" t="s">
        <v>283</v>
      </c>
      <c r="D348" s="2443">
        <v>1</v>
      </c>
      <c r="E348" s="2444"/>
      <c r="F348" s="309">
        <v>1</v>
      </c>
      <c r="G348" s="344">
        <v>1</v>
      </c>
    </row>
    <row r="349" spans="1:7" ht="27" customHeight="1" thickBot="1">
      <c r="A349" s="2465" t="s">
        <v>560</v>
      </c>
      <c r="B349" s="2466"/>
      <c r="C349" s="2466"/>
      <c r="D349" s="2466"/>
      <c r="E349" s="2466"/>
      <c r="F349" s="2466"/>
      <c r="G349" s="360"/>
    </row>
    <row r="350" spans="1:7" ht="13.8" thickBot="1">
      <c r="A350" s="312" t="s">
        <v>943</v>
      </c>
      <c r="B350" s="307" t="s">
        <v>467</v>
      </c>
      <c r="C350" s="308" t="s">
        <v>283</v>
      </c>
      <c r="D350" s="2443">
        <v>1</v>
      </c>
      <c r="E350" s="2444"/>
      <c r="F350" s="309">
        <v>1</v>
      </c>
      <c r="G350" s="344">
        <v>1</v>
      </c>
    </row>
    <row r="351" spans="1:7" ht="13.8" thickBot="1">
      <c r="A351" s="312" t="s">
        <v>378</v>
      </c>
      <c r="B351" s="307" t="s">
        <v>468</v>
      </c>
      <c r="C351" s="308" t="s">
        <v>283</v>
      </c>
      <c r="D351" s="2443">
        <v>1</v>
      </c>
      <c r="E351" s="2444"/>
      <c r="F351" s="309">
        <v>1</v>
      </c>
      <c r="G351" s="344">
        <v>1</v>
      </c>
    </row>
    <row r="352" spans="1:7" ht="27" thickBot="1">
      <c r="A352" s="312" t="s">
        <v>562</v>
      </c>
      <c r="B352" s="307" t="s">
        <v>561</v>
      </c>
      <c r="C352" s="308" t="s">
        <v>456</v>
      </c>
      <c r="D352" s="2443">
        <v>100</v>
      </c>
      <c r="E352" s="2444"/>
      <c r="F352" s="309">
        <v>100</v>
      </c>
      <c r="G352" s="344">
        <v>100</v>
      </c>
    </row>
    <row r="353" spans="1:7" ht="13.8" thickBot="1">
      <c r="A353" s="312" t="s">
        <v>80</v>
      </c>
      <c r="B353" s="307" t="s">
        <v>79</v>
      </c>
      <c r="C353" s="308" t="s">
        <v>283</v>
      </c>
      <c r="D353" s="2443">
        <v>0</v>
      </c>
      <c r="E353" s="2444"/>
      <c r="F353" s="309">
        <v>0</v>
      </c>
      <c r="G353" s="344">
        <v>7</v>
      </c>
    </row>
    <row r="354" spans="1:7" ht="31.5" customHeight="1" thickBot="1">
      <c r="A354" s="2507" t="s">
        <v>284</v>
      </c>
      <c r="B354" s="2508"/>
      <c r="C354" s="2508"/>
      <c r="D354" s="2508"/>
      <c r="E354" s="2447"/>
      <c r="F354" s="2447"/>
      <c r="G354" s="345"/>
    </row>
    <row r="355" spans="1:7" ht="27" customHeight="1" thickBot="1">
      <c r="A355" s="2461" t="s">
        <v>310</v>
      </c>
      <c r="B355" s="2462"/>
      <c r="C355" s="2462"/>
      <c r="D355" s="2462"/>
      <c r="E355" s="2463"/>
      <c r="F355" s="2463"/>
      <c r="G355" s="346"/>
    </row>
    <row r="356" spans="1:7" ht="14.4" thickBot="1">
      <c r="A356" s="2461" t="s">
        <v>281</v>
      </c>
      <c r="B356" s="2462"/>
      <c r="C356" s="2462"/>
      <c r="D356" s="2462"/>
      <c r="E356" s="2463"/>
      <c r="F356" s="2463"/>
      <c r="G356" s="346"/>
    </row>
    <row r="357" spans="1:7" ht="27" thickBot="1">
      <c r="A357" s="306" t="s">
        <v>944</v>
      </c>
      <c r="B357" s="317" t="s">
        <v>311</v>
      </c>
      <c r="C357" s="308" t="s">
        <v>283</v>
      </c>
      <c r="D357" s="2443">
        <v>1</v>
      </c>
      <c r="E357" s="2444"/>
      <c r="F357" s="309">
        <v>1</v>
      </c>
      <c r="G357" s="344">
        <v>1</v>
      </c>
    </row>
    <row r="358" spans="1:7" ht="13.8" thickBot="1">
      <c r="A358" s="306" t="s">
        <v>75</v>
      </c>
      <c r="B358" s="317" t="s">
        <v>747</v>
      </c>
      <c r="C358" s="308" t="s">
        <v>456</v>
      </c>
      <c r="D358" s="2443">
        <v>100</v>
      </c>
      <c r="E358" s="2444"/>
      <c r="F358" s="309">
        <v>100</v>
      </c>
      <c r="G358" s="344">
        <v>100</v>
      </c>
    </row>
    <row r="359" spans="1:7" ht="13.8" thickBot="1">
      <c r="A359" s="2456" t="s">
        <v>113</v>
      </c>
      <c r="B359" s="2457"/>
      <c r="C359" s="2457"/>
      <c r="D359" s="2457"/>
      <c r="E359" s="2458"/>
      <c r="F359" s="2458"/>
      <c r="G359" s="347"/>
    </row>
    <row r="360" spans="1:7" ht="14.4" thickBot="1">
      <c r="A360" s="2465" t="s">
        <v>312</v>
      </c>
      <c r="B360" s="2466"/>
      <c r="C360" s="2466"/>
      <c r="D360" s="2466"/>
      <c r="E360" s="2467"/>
      <c r="F360" s="2467"/>
      <c r="G360" s="348"/>
    </row>
    <row r="361" spans="1:7" ht="13.8" thickBot="1">
      <c r="A361" s="310" t="s">
        <v>945</v>
      </c>
      <c r="B361" s="317" t="s">
        <v>3</v>
      </c>
      <c r="C361" s="308" t="s">
        <v>4</v>
      </c>
      <c r="D361" s="2491">
        <v>35000</v>
      </c>
      <c r="E361" s="2492"/>
      <c r="F361" s="323">
        <v>36000</v>
      </c>
      <c r="G361" s="354">
        <v>34000</v>
      </c>
    </row>
    <row r="362" spans="1:7" ht="13.8" thickBot="1">
      <c r="A362" s="310" t="s">
        <v>123</v>
      </c>
      <c r="B362" s="317" t="s">
        <v>124</v>
      </c>
      <c r="C362" s="308" t="s">
        <v>49</v>
      </c>
      <c r="D362" s="2491">
        <v>65000</v>
      </c>
      <c r="E362" s="2492"/>
      <c r="F362" s="323">
        <v>65000</v>
      </c>
      <c r="G362" s="354">
        <v>65000</v>
      </c>
    </row>
    <row r="363" spans="1:7" ht="13.8" thickBot="1">
      <c r="A363" s="310" t="s">
        <v>717</v>
      </c>
      <c r="B363" s="317" t="s">
        <v>447</v>
      </c>
      <c r="C363" s="308" t="s">
        <v>4</v>
      </c>
      <c r="D363" s="2443">
        <v>42</v>
      </c>
      <c r="E363" s="2444"/>
      <c r="F363" s="309">
        <v>42</v>
      </c>
      <c r="G363" s="344">
        <v>42</v>
      </c>
    </row>
    <row r="364" spans="1:7" ht="13.8" thickBot="1">
      <c r="A364" s="310" t="s">
        <v>946</v>
      </c>
      <c r="B364" s="317" t="s">
        <v>605</v>
      </c>
      <c r="C364" s="308" t="s">
        <v>4</v>
      </c>
      <c r="D364" s="2443">
        <v>90</v>
      </c>
      <c r="E364" s="2444"/>
      <c r="F364" s="309">
        <v>90</v>
      </c>
      <c r="G364" s="344">
        <v>90</v>
      </c>
    </row>
    <row r="365" spans="1:7" ht="27" customHeight="1" thickBot="1">
      <c r="A365" s="2465" t="s">
        <v>448</v>
      </c>
      <c r="B365" s="2466"/>
      <c r="C365" s="2466"/>
      <c r="D365" s="2466"/>
      <c r="E365" s="2467"/>
      <c r="F365" s="2467"/>
      <c r="G365" s="348"/>
    </row>
    <row r="366" spans="1:7" ht="27" thickBot="1">
      <c r="A366" s="312" t="s">
        <v>505</v>
      </c>
      <c r="B366" s="317" t="s">
        <v>3</v>
      </c>
      <c r="C366" s="308" t="s">
        <v>283</v>
      </c>
      <c r="D366" s="2443">
        <v>0.5</v>
      </c>
      <c r="E366" s="2444"/>
      <c r="F366" s="309">
        <v>1</v>
      </c>
      <c r="G366" s="344">
        <v>0.2</v>
      </c>
    </row>
    <row r="367" spans="1:7" ht="13.8" thickBot="1">
      <c r="A367" s="310" t="s">
        <v>67</v>
      </c>
      <c r="B367" s="307" t="s">
        <v>124</v>
      </c>
      <c r="C367" s="308" t="s">
        <v>270</v>
      </c>
      <c r="D367" s="2443">
        <v>2100</v>
      </c>
      <c r="E367" s="2444"/>
      <c r="F367" s="309">
        <v>2100</v>
      </c>
      <c r="G367" s="344">
        <v>2100</v>
      </c>
    </row>
    <row r="368" spans="1:7" ht="13.8" thickBot="1">
      <c r="A368" s="310" t="s">
        <v>68</v>
      </c>
      <c r="B368" s="307" t="s">
        <v>447</v>
      </c>
      <c r="C368" s="308" t="s">
        <v>270</v>
      </c>
      <c r="D368" s="2443">
        <v>920</v>
      </c>
      <c r="E368" s="2444"/>
      <c r="F368" s="309">
        <v>920</v>
      </c>
      <c r="G368" s="344">
        <v>1500</v>
      </c>
    </row>
    <row r="369" spans="1:7" ht="13.8" thickBot="1">
      <c r="A369" s="310" t="s">
        <v>269</v>
      </c>
      <c r="B369" s="307" t="s">
        <v>605</v>
      </c>
      <c r="C369" s="308" t="s">
        <v>270</v>
      </c>
      <c r="D369" s="2443">
        <v>2900</v>
      </c>
      <c r="E369" s="2444"/>
      <c r="F369" s="309">
        <v>2900</v>
      </c>
      <c r="G369" s="344">
        <v>0</v>
      </c>
    </row>
    <row r="370" spans="1:7" ht="13.8" thickBot="1">
      <c r="A370" s="310" t="s">
        <v>947</v>
      </c>
      <c r="B370" s="307" t="s">
        <v>297</v>
      </c>
      <c r="C370" s="308" t="s">
        <v>270</v>
      </c>
      <c r="D370" s="2443">
        <v>3000</v>
      </c>
      <c r="E370" s="2444"/>
      <c r="F370" s="309">
        <v>3000</v>
      </c>
      <c r="G370" s="344">
        <v>3000</v>
      </c>
    </row>
    <row r="371" spans="1:7" ht="27" thickBot="1">
      <c r="A371" s="312" t="s">
        <v>948</v>
      </c>
      <c r="B371" s="317" t="s">
        <v>753</v>
      </c>
      <c r="C371" s="308" t="s">
        <v>665</v>
      </c>
      <c r="D371" s="2443">
        <v>0</v>
      </c>
      <c r="E371" s="2444"/>
      <c r="F371" s="309">
        <v>0</v>
      </c>
      <c r="G371" s="344">
        <v>724</v>
      </c>
    </row>
    <row r="372" spans="1:7" ht="13.8" thickBot="1">
      <c r="A372" s="312" t="s">
        <v>949</v>
      </c>
      <c r="B372" s="317" t="s">
        <v>85</v>
      </c>
      <c r="C372" s="308" t="s">
        <v>283</v>
      </c>
      <c r="D372" s="2443">
        <v>0</v>
      </c>
      <c r="E372" s="2444"/>
      <c r="F372" s="309">
        <v>0</v>
      </c>
      <c r="G372" s="344">
        <v>2</v>
      </c>
    </row>
    <row r="373" spans="1:7" ht="27" customHeight="1" thickBot="1">
      <c r="A373" s="2461" t="s">
        <v>450</v>
      </c>
      <c r="B373" s="2462"/>
      <c r="C373" s="2462"/>
      <c r="D373" s="2462"/>
      <c r="E373" s="2463"/>
      <c r="F373" s="2463"/>
      <c r="G373" s="346"/>
    </row>
    <row r="374" spans="1:7" ht="14.4" thickBot="1">
      <c r="A374" s="2461" t="s">
        <v>281</v>
      </c>
      <c r="B374" s="2462"/>
      <c r="C374" s="2462"/>
      <c r="D374" s="2462"/>
      <c r="E374" s="2463"/>
      <c r="F374" s="2463"/>
      <c r="G374" s="346"/>
    </row>
    <row r="375" spans="1:7" ht="27" thickBot="1">
      <c r="A375" s="306" t="s">
        <v>507</v>
      </c>
      <c r="B375" s="317" t="s">
        <v>435</v>
      </c>
      <c r="C375" s="308" t="s">
        <v>283</v>
      </c>
      <c r="D375" s="2443">
        <v>4</v>
      </c>
      <c r="E375" s="2444"/>
      <c r="F375" s="309">
        <v>5</v>
      </c>
      <c r="G375" s="344">
        <v>4</v>
      </c>
    </row>
    <row r="376" spans="1:7" ht="27" thickBot="1">
      <c r="A376" s="306" t="s">
        <v>705</v>
      </c>
      <c r="B376" s="317" t="s">
        <v>436</v>
      </c>
      <c r="C376" s="308" t="s">
        <v>456</v>
      </c>
      <c r="D376" s="2443">
        <v>40</v>
      </c>
      <c r="E376" s="2444"/>
      <c r="F376" s="309">
        <v>40</v>
      </c>
      <c r="G376" s="344">
        <v>40</v>
      </c>
    </row>
    <row r="377" spans="1:7" ht="13.8" thickBot="1">
      <c r="A377" s="306" t="s">
        <v>166</v>
      </c>
      <c r="B377" s="317" t="s">
        <v>167</v>
      </c>
      <c r="C377" s="308" t="s">
        <v>456</v>
      </c>
      <c r="D377" s="2509" t="s">
        <v>711</v>
      </c>
      <c r="E377" s="2510"/>
      <c r="F377" s="328">
        <v>0.6</v>
      </c>
      <c r="G377" s="361">
        <v>0.2</v>
      </c>
    </row>
    <row r="378" spans="1:7" ht="13.8" thickBot="1">
      <c r="A378" s="306" t="s">
        <v>950</v>
      </c>
      <c r="B378" s="317" t="s">
        <v>748</v>
      </c>
      <c r="C378" s="308" t="s">
        <v>249</v>
      </c>
      <c r="D378" s="2509" t="s">
        <v>845</v>
      </c>
      <c r="E378" s="2510"/>
      <c r="F378" s="328" t="s">
        <v>845</v>
      </c>
      <c r="G378" s="361" t="s">
        <v>173</v>
      </c>
    </row>
    <row r="379" spans="1:7" ht="27" thickBot="1">
      <c r="A379" s="306" t="s">
        <v>951</v>
      </c>
      <c r="B379" s="317" t="s">
        <v>60</v>
      </c>
      <c r="C379" s="308" t="s">
        <v>456</v>
      </c>
      <c r="D379" s="2509">
        <v>100</v>
      </c>
      <c r="E379" s="2510"/>
      <c r="F379" s="328">
        <v>100</v>
      </c>
      <c r="G379" s="361">
        <v>100</v>
      </c>
    </row>
    <row r="380" spans="1:7" ht="13.8" thickBot="1">
      <c r="A380" s="306" t="s">
        <v>713</v>
      </c>
      <c r="B380" s="317" t="s">
        <v>714</v>
      </c>
      <c r="C380" s="308" t="s">
        <v>283</v>
      </c>
      <c r="D380" s="2509">
        <v>2</v>
      </c>
      <c r="E380" s="2510"/>
      <c r="F380" s="328">
        <v>2</v>
      </c>
      <c r="G380" s="361">
        <v>0</v>
      </c>
    </row>
    <row r="381" spans="1:7" ht="13.8" thickBot="1">
      <c r="A381" s="306" t="s">
        <v>952</v>
      </c>
      <c r="B381" s="317" t="s">
        <v>141</v>
      </c>
      <c r="C381" s="308" t="s">
        <v>283</v>
      </c>
      <c r="D381" s="2509">
        <v>10</v>
      </c>
      <c r="E381" s="2510"/>
      <c r="F381" s="328">
        <v>10</v>
      </c>
      <c r="G381" s="361">
        <v>5</v>
      </c>
    </row>
    <row r="382" spans="1:7" ht="13.8" thickBot="1">
      <c r="A382" s="2456" t="s">
        <v>113</v>
      </c>
      <c r="B382" s="2457"/>
      <c r="C382" s="2457"/>
      <c r="D382" s="2457"/>
      <c r="E382" s="2458"/>
      <c r="F382" s="2458"/>
      <c r="G382" s="347"/>
    </row>
    <row r="383" spans="1:7" ht="27" customHeight="1" thickBot="1">
      <c r="A383" s="2465" t="s">
        <v>240</v>
      </c>
      <c r="B383" s="2466"/>
      <c r="C383" s="2466"/>
      <c r="D383" s="2466"/>
      <c r="E383" s="2467"/>
      <c r="F383" s="2467"/>
      <c r="G383" s="348"/>
    </row>
    <row r="384" spans="1:7" ht="13.8" thickBot="1">
      <c r="A384" s="312" t="s">
        <v>212</v>
      </c>
      <c r="B384" s="317" t="s">
        <v>241</v>
      </c>
      <c r="C384" s="308" t="s">
        <v>456</v>
      </c>
      <c r="D384" s="2443">
        <v>90</v>
      </c>
      <c r="E384" s="2444"/>
      <c r="F384" s="309">
        <v>100</v>
      </c>
      <c r="G384" s="344">
        <v>20</v>
      </c>
    </row>
    <row r="385" spans="1:7" ht="27" customHeight="1" thickBot="1">
      <c r="A385" s="2465" t="s">
        <v>798</v>
      </c>
      <c r="B385" s="2466"/>
      <c r="C385" s="2466"/>
      <c r="D385" s="2466"/>
      <c r="E385" s="2467"/>
      <c r="F385" s="2467"/>
      <c r="G385" s="348"/>
    </row>
    <row r="386" spans="1:7" ht="13.8" thickBot="1">
      <c r="A386" s="312" t="s">
        <v>492</v>
      </c>
      <c r="B386" s="317" t="s">
        <v>652</v>
      </c>
      <c r="C386" s="308" t="s">
        <v>283</v>
      </c>
      <c r="D386" s="2443">
        <v>2</v>
      </c>
      <c r="E386" s="2444"/>
      <c r="F386" s="309">
        <v>1</v>
      </c>
      <c r="G386" s="344">
        <v>3</v>
      </c>
    </row>
    <row r="387" spans="1:7" ht="27" thickBot="1">
      <c r="A387" s="312" t="s">
        <v>953</v>
      </c>
      <c r="B387" s="317" t="s">
        <v>40</v>
      </c>
      <c r="C387" s="308" t="s">
        <v>283</v>
      </c>
      <c r="D387" s="2443">
        <v>2</v>
      </c>
      <c r="E387" s="2444"/>
      <c r="F387" s="309">
        <v>2</v>
      </c>
      <c r="G387" s="344">
        <v>1</v>
      </c>
    </row>
    <row r="388" spans="1:7" ht="40.5" customHeight="1" thickBot="1">
      <c r="A388" s="2465" t="s">
        <v>954</v>
      </c>
      <c r="B388" s="2466"/>
      <c r="C388" s="2466"/>
      <c r="D388" s="2466"/>
      <c r="E388" s="2467"/>
      <c r="F388" s="2467"/>
      <c r="G388" s="348"/>
    </row>
    <row r="389" spans="1:7" ht="13.8" thickBot="1">
      <c r="A389" s="312" t="s">
        <v>754</v>
      </c>
      <c r="B389" s="307" t="s">
        <v>392</v>
      </c>
      <c r="C389" s="308" t="s">
        <v>665</v>
      </c>
      <c r="D389" s="2443">
        <v>1100</v>
      </c>
      <c r="E389" s="2444"/>
      <c r="F389" s="309">
        <v>1100</v>
      </c>
      <c r="G389" s="344">
        <v>0</v>
      </c>
    </row>
    <row r="390" spans="1:7" ht="13.8" thickBot="1">
      <c r="A390" s="312" t="s">
        <v>397</v>
      </c>
      <c r="B390" s="317" t="s">
        <v>201</v>
      </c>
      <c r="C390" s="308" t="s">
        <v>283</v>
      </c>
      <c r="D390" s="2443">
        <v>1</v>
      </c>
      <c r="E390" s="2444"/>
      <c r="F390" s="309">
        <v>1</v>
      </c>
      <c r="G390" s="344">
        <v>1</v>
      </c>
    </row>
    <row r="391" spans="1:7" ht="13.8" thickBot="1">
      <c r="A391" s="312" t="s">
        <v>42</v>
      </c>
      <c r="B391" s="317" t="s">
        <v>41</v>
      </c>
      <c r="C391" s="308" t="s">
        <v>283</v>
      </c>
      <c r="D391" s="2443">
        <v>0</v>
      </c>
      <c r="E391" s="2444"/>
      <c r="F391" s="309">
        <v>1</v>
      </c>
      <c r="G391" s="344">
        <v>0</v>
      </c>
    </row>
    <row r="392" spans="1:7" ht="14.4" thickBot="1">
      <c r="A392" s="2465" t="s">
        <v>398</v>
      </c>
      <c r="B392" s="2466"/>
      <c r="C392" s="2466"/>
      <c r="D392" s="2466"/>
      <c r="E392" s="2466"/>
      <c r="F392" s="2466"/>
      <c r="G392" s="360"/>
    </row>
    <row r="393" spans="1:7" ht="13.8" thickBot="1">
      <c r="A393" s="312" t="s">
        <v>420</v>
      </c>
      <c r="B393" s="317" t="s">
        <v>823</v>
      </c>
      <c r="C393" s="308" t="s">
        <v>283</v>
      </c>
      <c r="D393" s="2443">
        <v>8</v>
      </c>
      <c r="E393" s="2444"/>
      <c r="F393" s="309">
        <v>8</v>
      </c>
      <c r="G393" s="344">
        <v>14</v>
      </c>
    </row>
    <row r="394" spans="1:7" ht="13.8" thickBot="1">
      <c r="A394" s="312" t="s">
        <v>37</v>
      </c>
      <c r="B394" s="317" t="s">
        <v>651</v>
      </c>
      <c r="C394" s="308" t="s">
        <v>283</v>
      </c>
      <c r="D394" s="2443">
        <v>1</v>
      </c>
      <c r="E394" s="2444"/>
      <c r="F394" s="309">
        <v>1</v>
      </c>
      <c r="G394" s="344">
        <v>1</v>
      </c>
    </row>
    <row r="395" spans="1:7" ht="40.5" customHeight="1" thickBot="1">
      <c r="A395" s="2465" t="s">
        <v>955</v>
      </c>
      <c r="B395" s="2466"/>
      <c r="C395" s="2466"/>
      <c r="D395" s="2466"/>
      <c r="E395" s="2467"/>
      <c r="F395" s="2467"/>
      <c r="G395" s="348"/>
    </row>
    <row r="396" spans="1:7" ht="13.8" thickBot="1">
      <c r="A396" s="312" t="s">
        <v>704</v>
      </c>
      <c r="B396" s="317" t="s">
        <v>464</v>
      </c>
      <c r="C396" s="308" t="s">
        <v>283</v>
      </c>
      <c r="D396" s="2480">
        <v>2</v>
      </c>
      <c r="E396" s="2481"/>
      <c r="F396" s="315">
        <v>3</v>
      </c>
      <c r="G396" s="350">
        <v>2</v>
      </c>
    </row>
    <row r="397" spans="1:7" ht="40.5" customHeight="1" thickBot="1">
      <c r="A397" s="2461" t="s">
        <v>702</v>
      </c>
      <c r="B397" s="2462"/>
      <c r="C397" s="2462"/>
      <c r="D397" s="2462"/>
      <c r="E397" s="2463"/>
      <c r="F397" s="2463"/>
      <c r="G397" s="346"/>
    </row>
    <row r="398" spans="1:7" ht="14.4" thickBot="1">
      <c r="A398" s="2461" t="s">
        <v>281</v>
      </c>
      <c r="B398" s="2462"/>
      <c r="C398" s="2462"/>
      <c r="D398" s="2462"/>
      <c r="E398" s="2463"/>
      <c r="F398" s="2463"/>
      <c r="G398" s="346"/>
    </row>
    <row r="399" spans="1:7" ht="27" thickBot="1">
      <c r="A399" s="306" t="s">
        <v>279</v>
      </c>
      <c r="B399" s="307" t="s">
        <v>703</v>
      </c>
      <c r="C399" s="308" t="s">
        <v>456</v>
      </c>
      <c r="D399" s="2480">
        <v>99</v>
      </c>
      <c r="E399" s="2481"/>
      <c r="F399" s="315">
        <v>99</v>
      </c>
      <c r="G399" s="350">
        <v>99</v>
      </c>
    </row>
    <row r="400" spans="1:7" ht="13.8" thickBot="1">
      <c r="A400" s="2456" t="s">
        <v>113</v>
      </c>
      <c r="B400" s="2457"/>
      <c r="C400" s="2457"/>
      <c r="D400" s="2457"/>
      <c r="E400" s="2458"/>
      <c r="F400" s="2458"/>
      <c r="G400" s="347"/>
    </row>
    <row r="401" spans="1:7" ht="27" customHeight="1" thickBot="1">
      <c r="A401" s="2465" t="s">
        <v>147</v>
      </c>
      <c r="B401" s="2466"/>
      <c r="C401" s="2466"/>
      <c r="D401" s="2466"/>
      <c r="E401" s="2467"/>
      <c r="F401" s="2467"/>
      <c r="G401" s="348"/>
    </row>
    <row r="402" spans="1:7" ht="13.8" thickBot="1">
      <c r="A402" s="310" t="s">
        <v>736</v>
      </c>
      <c r="B402" s="307" t="s">
        <v>237</v>
      </c>
      <c r="C402" s="308" t="s">
        <v>229</v>
      </c>
      <c r="D402" s="2443">
        <v>900000</v>
      </c>
      <c r="E402" s="2444"/>
      <c r="F402" s="309">
        <v>850000</v>
      </c>
      <c r="G402" s="344">
        <v>950000</v>
      </c>
    </row>
    <row r="403" spans="1:7" ht="13.8" thickBot="1">
      <c r="A403" s="310" t="s">
        <v>174</v>
      </c>
      <c r="B403" s="307" t="s">
        <v>726</v>
      </c>
      <c r="C403" s="308" t="s">
        <v>665</v>
      </c>
      <c r="D403" s="2443">
        <v>2000</v>
      </c>
      <c r="E403" s="2444"/>
      <c r="F403" s="309">
        <v>2000</v>
      </c>
      <c r="G403" s="344">
        <v>2000</v>
      </c>
    </row>
    <row r="404" spans="1:7" ht="13.8" thickBot="1">
      <c r="A404" s="310" t="s">
        <v>956</v>
      </c>
      <c r="B404" s="307" t="s">
        <v>402</v>
      </c>
      <c r="C404" s="308" t="s">
        <v>283</v>
      </c>
      <c r="D404" s="2443">
        <v>4</v>
      </c>
      <c r="E404" s="2444"/>
      <c r="F404" s="309">
        <v>4</v>
      </c>
      <c r="G404" s="344">
        <v>4</v>
      </c>
    </row>
    <row r="405" spans="1:7" ht="13.8" thickBot="1">
      <c r="A405" s="310" t="s">
        <v>957</v>
      </c>
      <c r="B405" s="307" t="s">
        <v>958</v>
      </c>
      <c r="C405" s="308" t="s">
        <v>283</v>
      </c>
      <c r="D405" s="2443">
        <v>5</v>
      </c>
      <c r="E405" s="2444"/>
      <c r="F405" s="309">
        <v>4</v>
      </c>
      <c r="G405" s="344">
        <v>6</v>
      </c>
    </row>
    <row r="406" spans="1:7" ht="14.4" thickBot="1">
      <c r="A406" s="2465" t="s">
        <v>78</v>
      </c>
      <c r="B406" s="2466"/>
      <c r="C406" s="2466"/>
      <c r="D406" s="2466"/>
      <c r="E406" s="2467"/>
      <c r="F406" s="2467"/>
      <c r="G406" s="348"/>
    </row>
    <row r="407" spans="1:7" ht="13.8" thickBot="1">
      <c r="A407" s="312" t="s">
        <v>230</v>
      </c>
      <c r="B407" s="317" t="s">
        <v>231</v>
      </c>
      <c r="C407" s="308" t="s">
        <v>283</v>
      </c>
      <c r="D407" s="2443">
        <v>3</v>
      </c>
      <c r="E407" s="2444"/>
      <c r="F407" s="309">
        <v>3</v>
      </c>
      <c r="G407" s="344">
        <v>2</v>
      </c>
    </row>
    <row r="408" spans="1:7" ht="13.8" thickBot="1">
      <c r="A408" s="312" t="s">
        <v>474</v>
      </c>
      <c r="B408" s="317" t="s">
        <v>1</v>
      </c>
      <c r="C408" s="308" t="s">
        <v>283</v>
      </c>
      <c r="D408" s="2443">
        <v>0</v>
      </c>
      <c r="E408" s="2444"/>
      <c r="F408" s="309">
        <v>0</v>
      </c>
      <c r="G408" s="344">
        <v>1</v>
      </c>
    </row>
    <row r="409" spans="1:7" ht="13.8" thickBot="1">
      <c r="A409" s="312" t="s">
        <v>88</v>
      </c>
      <c r="B409" s="317" t="s">
        <v>90</v>
      </c>
      <c r="C409" s="308" t="s">
        <v>456</v>
      </c>
      <c r="D409" s="2484"/>
      <c r="E409" s="2485"/>
      <c r="F409" s="307">
        <v>0.2</v>
      </c>
      <c r="G409" s="307">
        <v>1</v>
      </c>
    </row>
  </sheetData>
  <mergeCells count="538">
    <mergeCell ref="G336:G337"/>
    <mergeCell ref="D47:E47"/>
    <mergeCell ref="D14:E14"/>
    <mergeCell ref="D13:E13"/>
    <mergeCell ref="G56:G57"/>
    <mergeCell ref="G217:G218"/>
    <mergeCell ref="G309:G310"/>
    <mergeCell ref="D106:E106"/>
    <mergeCell ref="D105:E105"/>
    <mergeCell ref="D104:E104"/>
    <mergeCell ref="D103:E103"/>
    <mergeCell ref="D77:E77"/>
    <mergeCell ref="D76:E76"/>
    <mergeCell ref="D134:E134"/>
    <mergeCell ref="D116:E116"/>
    <mergeCell ref="D115:E115"/>
    <mergeCell ref="D114:E114"/>
    <mergeCell ref="D113:E113"/>
    <mergeCell ref="D112:E112"/>
    <mergeCell ref="D157:E157"/>
    <mergeCell ref="D156:E156"/>
    <mergeCell ref="D153:E153"/>
    <mergeCell ref="D152:E152"/>
    <mergeCell ref="D151:E151"/>
    <mergeCell ref="D187:E187"/>
    <mergeCell ref="D186:E186"/>
    <mergeCell ref="D178:E178"/>
    <mergeCell ref="D177:E177"/>
    <mergeCell ref="D161:E161"/>
    <mergeCell ref="D160:E160"/>
    <mergeCell ref="D271:E271"/>
    <mergeCell ref="D270:E270"/>
    <mergeCell ref="D247:E247"/>
    <mergeCell ref="D246:E246"/>
    <mergeCell ref="D191:E191"/>
    <mergeCell ref="D190:E190"/>
    <mergeCell ref="D258:E258"/>
    <mergeCell ref="D259:E259"/>
    <mergeCell ref="D260:E260"/>
    <mergeCell ref="D261:E261"/>
    <mergeCell ref="D262:E262"/>
    <mergeCell ref="D263:E263"/>
    <mergeCell ref="D252:E252"/>
    <mergeCell ref="D253:E253"/>
    <mergeCell ref="D254:E254"/>
    <mergeCell ref="D255:E255"/>
    <mergeCell ref="D256:E256"/>
    <mergeCell ref="A257:D257"/>
    <mergeCell ref="D313:E313"/>
    <mergeCell ref="D305:E305"/>
    <mergeCell ref="D304:E304"/>
    <mergeCell ref="D273:E273"/>
    <mergeCell ref="D272:E272"/>
    <mergeCell ref="D377:E377"/>
    <mergeCell ref="D376:E376"/>
    <mergeCell ref="D375:E375"/>
    <mergeCell ref="D362:E362"/>
    <mergeCell ref="D361:E361"/>
    <mergeCell ref="D358:E358"/>
    <mergeCell ref="D368:E368"/>
    <mergeCell ref="D369:E369"/>
    <mergeCell ref="D370:E370"/>
    <mergeCell ref="D371:E371"/>
    <mergeCell ref="D372:E372"/>
    <mergeCell ref="A373:D373"/>
    <mergeCell ref="E373:F373"/>
    <mergeCell ref="D363:E363"/>
    <mergeCell ref="D364:E364"/>
    <mergeCell ref="A365:D365"/>
    <mergeCell ref="E365:F365"/>
    <mergeCell ref="D366:E366"/>
    <mergeCell ref="D367:E367"/>
    <mergeCell ref="D408:E408"/>
    <mergeCell ref="D409:E409"/>
    <mergeCell ref="A83:F83"/>
    <mergeCell ref="D378:E378"/>
    <mergeCell ref="D403:E403"/>
    <mergeCell ref="D404:E404"/>
    <mergeCell ref="D405:E405"/>
    <mergeCell ref="A406:D406"/>
    <mergeCell ref="E406:F406"/>
    <mergeCell ref="D407:E407"/>
    <mergeCell ref="D399:E399"/>
    <mergeCell ref="A400:D400"/>
    <mergeCell ref="E400:F400"/>
    <mergeCell ref="A401:D401"/>
    <mergeCell ref="E401:F401"/>
    <mergeCell ref="D402:E402"/>
    <mergeCell ref="A395:D395"/>
    <mergeCell ref="E395:F395"/>
    <mergeCell ref="D396:E396"/>
    <mergeCell ref="A397:D397"/>
    <mergeCell ref="E397:F397"/>
    <mergeCell ref="A398:D398"/>
    <mergeCell ref="E398:F398"/>
    <mergeCell ref="D389:E389"/>
    <mergeCell ref="D390:E390"/>
    <mergeCell ref="D391:E391"/>
    <mergeCell ref="A392:F392"/>
    <mergeCell ref="D393:E393"/>
    <mergeCell ref="D394:E394"/>
    <mergeCell ref="D384:E384"/>
    <mergeCell ref="A385:D385"/>
    <mergeCell ref="E385:F385"/>
    <mergeCell ref="D386:E386"/>
    <mergeCell ref="D387:E387"/>
    <mergeCell ref="A388:D388"/>
    <mergeCell ref="E388:F388"/>
    <mergeCell ref="D379:E379"/>
    <mergeCell ref="D380:E380"/>
    <mergeCell ref="D381:E381"/>
    <mergeCell ref="A382:D382"/>
    <mergeCell ref="E382:F382"/>
    <mergeCell ref="A383:D383"/>
    <mergeCell ref="E383:F383"/>
    <mergeCell ref="A374:D374"/>
    <mergeCell ref="E374:F374"/>
    <mergeCell ref="A359:D359"/>
    <mergeCell ref="E359:F359"/>
    <mergeCell ref="A360:D360"/>
    <mergeCell ref="E360:F360"/>
    <mergeCell ref="A355:D355"/>
    <mergeCell ref="E355:F355"/>
    <mergeCell ref="A356:D356"/>
    <mergeCell ref="E356:F356"/>
    <mergeCell ref="D357:E357"/>
    <mergeCell ref="D350:E350"/>
    <mergeCell ref="D351:E351"/>
    <mergeCell ref="D352:E352"/>
    <mergeCell ref="D353:E353"/>
    <mergeCell ref="A354:D354"/>
    <mergeCell ref="E354:F354"/>
    <mergeCell ref="A344:F344"/>
    <mergeCell ref="D345:E345"/>
    <mergeCell ref="D346:E346"/>
    <mergeCell ref="D347:E347"/>
    <mergeCell ref="D348:E348"/>
    <mergeCell ref="A349:F349"/>
    <mergeCell ref="D338:E338"/>
    <mergeCell ref="D339:E339"/>
    <mergeCell ref="A340:F340"/>
    <mergeCell ref="A341:F341"/>
    <mergeCell ref="D342:E342"/>
    <mergeCell ref="A343:F343"/>
    <mergeCell ref="D333:E333"/>
    <mergeCell ref="D334:E334"/>
    <mergeCell ref="A335:F335"/>
    <mergeCell ref="A336:A337"/>
    <mergeCell ref="C336:C337"/>
    <mergeCell ref="D336:E337"/>
    <mergeCell ref="F336:F337"/>
    <mergeCell ref="D328:E328"/>
    <mergeCell ref="D329:E329"/>
    <mergeCell ref="A330:D330"/>
    <mergeCell ref="E330:F330"/>
    <mergeCell ref="D331:E331"/>
    <mergeCell ref="D332:E332"/>
    <mergeCell ref="D324:E324"/>
    <mergeCell ref="D325:E325"/>
    <mergeCell ref="A326:D326"/>
    <mergeCell ref="E326:F326"/>
    <mergeCell ref="A327:D327"/>
    <mergeCell ref="E327:F327"/>
    <mergeCell ref="D320:E320"/>
    <mergeCell ref="D321:E321"/>
    <mergeCell ref="A322:D322"/>
    <mergeCell ref="E322:F322"/>
    <mergeCell ref="A323:D323"/>
    <mergeCell ref="E323:F323"/>
    <mergeCell ref="D314:E314"/>
    <mergeCell ref="D315:E315"/>
    <mergeCell ref="D316:E316"/>
    <mergeCell ref="D317:E317"/>
    <mergeCell ref="D318:E318"/>
    <mergeCell ref="D319:E319"/>
    <mergeCell ref="F309:F310"/>
    <mergeCell ref="A311:D311"/>
    <mergeCell ref="E311:F311"/>
    <mergeCell ref="A312:D312"/>
    <mergeCell ref="E312:F312"/>
    <mergeCell ref="D306:E306"/>
    <mergeCell ref="D307:E307"/>
    <mergeCell ref="D308:E308"/>
    <mergeCell ref="A309:A310"/>
    <mergeCell ref="C309:C310"/>
    <mergeCell ref="D309:E310"/>
    <mergeCell ref="A302:D302"/>
    <mergeCell ref="E302:F302"/>
    <mergeCell ref="A303:D303"/>
    <mergeCell ref="E303:F303"/>
    <mergeCell ref="A297:D297"/>
    <mergeCell ref="E297:F297"/>
    <mergeCell ref="D298:E298"/>
    <mergeCell ref="D299:E299"/>
    <mergeCell ref="D300:E300"/>
    <mergeCell ref="A301:D301"/>
    <mergeCell ref="E301:F301"/>
    <mergeCell ref="D293:E293"/>
    <mergeCell ref="A294:D294"/>
    <mergeCell ref="E294:F294"/>
    <mergeCell ref="D295:E295"/>
    <mergeCell ref="A296:D296"/>
    <mergeCell ref="E296:F296"/>
    <mergeCell ref="D288:E288"/>
    <mergeCell ref="D289:E289"/>
    <mergeCell ref="A290:D290"/>
    <mergeCell ref="E290:F290"/>
    <mergeCell ref="D291:E291"/>
    <mergeCell ref="A292:D292"/>
    <mergeCell ref="E292:F292"/>
    <mergeCell ref="D282:E282"/>
    <mergeCell ref="D283:E283"/>
    <mergeCell ref="D284:E284"/>
    <mergeCell ref="D285:E285"/>
    <mergeCell ref="D286:E286"/>
    <mergeCell ref="D287:E287"/>
    <mergeCell ref="D277:E277"/>
    <mergeCell ref="D278:E278"/>
    <mergeCell ref="D279:E279"/>
    <mergeCell ref="A280:D280"/>
    <mergeCell ref="E280:F280"/>
    <mergeCell ref="A281:D281"/>
    <mergeCell ref="E281:F281"/>
    <mergeCell ref="A274:D274"/>
    <mergeCell ref="E274:F274"/>
    <mergeCell ref="A275:D275"/>
    <mergeCell ref="E275:F275"/>
    <mergeCell ref="A276:D276"/>
    <mergeCell ref="E276:F276"/>
    <mergeCell ref="A269:D269"/>
    <mergeCell ref="E269:F269"/>
    <mergeCell ref="A264:D264"/>
    <mergeCell ref="E264:F264"/>
    <mergeCell ref="D265:E265"/>
    <mergeCell ref="D266:E266"/>
    <mergeCell ref="D267:E267"/>
    <mergeCell ref="A268:D268"/>
    <mergeCell ref="E268:F268"/>
    <mergeCell ref="E257:F257"/>
    <mergeCell ref="D248:E248"/>
    <mergeCell ref="A249:D249"/>
    <mergeCell ref="E249:F249"/>
    <mergeCell ref="A250:D250"/>
    <mergeCell ref="E250:F250"/>
    <mergeCell ref="D251:E251"/>
    <mergeCell ref="A244:D244"/>
    <mergeCell ref="E244:F244"/>
    <mergeCell ref="A245:D245"/>
    <mergeCell ref="E245:F245"/>
    <mergeCell ref="D238:E238"/>
    <mergeCell ref="D239:E239"/>
    <mergeCell ref="D240:E240"/>
    <mergeCell ref="D241:E241"/>
    <mergeCell ref="D242:E242"/>
    <mergeCell ref="A243:D243"/>
    <mergeCell ref="E243:F243"/>
    <mergeCell ref="D234:E234"/>
    <mergeCell ref="A235:D235"/>
    <mergeCell ref="E235:F235"/>
    <mergeCell ref="A236:D236"/>
    <mergeCell ref="E236:F236"/>
    <mergeCell ref="D237:E237"/>
    <mergeCell ref="D230:E230"/>
    <mergeCell ref="A231:D231"/>
    <mergeCell ref="E231:F231"/>
    <mergeCell ref="A232:D232"/>
    <mergeCell ref="E232:F232"/>
    <mergeCell ref="D233:E233"/>
    <mergeCell ref="D224:E224"/>
    <mergeCell ref="D225:E225"/>
    <mergeCell ref="D226:E226"/>
    <mergeCell ref="D227:E227"/>
    <mergeCell ref="D228:E228"/>
    <mergeCell ref="D229:E229"/>
    <mergeCell ref="F217:F218"/>
    <mergeCell ref="D219:E219"/>
    <mergeCell ref="D220:E220"/>
    <mergeCell ref="D221:E221"/>
    <mergeCell ref="D222:E222"/>
    <mergeCell ref="A223:D223"/>
    <mergeCell ref="E223:F223"/>
    <mergeCell ref="D215:E215"/>
    <mergeCell ref="D216:E216"/>
    <mergeCell ref="A217:A218"/>
    <mergeCell ref="C217:C218"/>
    <mergeCell ref="D217:E218"/>
    <mergeCell ref="A211:D211"/>
    <mergeCell ref="E211:F211"/>
    <mergeCell ref="A212:D212"/>
    <mergeCell ref="E212:F212"/>
    <mergeCell ref="D213:E213"/>
    <mergeCell ref="A214:D214"/>
    <mergeCell ref="E214:F214"/>
    <mergeCell ref="D205:E205"/>
    <mergeCell ref="D206:E206"/>
    <mergeCell ref="D207:E207"/>
    <mergeCell ref="D208:E208"/>
    <mergeCell ref="D209:E209"/>
    <mergeCell ref="D210:E210"/>
    <mergeCell ref="D201:E201"/>
    <mergeCell ref="A202:D202"/>
    <mergeCell ref="E202:F202"/>
    <mergeCell ref="A203:D203"/>
    <mergeCell ref="E203:F203"/>
    <mergeCell ref="A204:D204"/>
    <mergeCell ref="E204:F204"/>
    <mergeCell ref="D196:E196"/>
    <mergeCell ref="D197:E197"/>
    <mergeCell ref="D198:E198"/>
    <mergeCell ref="A199:D199"/>
    <mergeCell ref="E199:F199"/>
    <mergeCell ref="D200:E200"/>
    <mergeCell ref="D192:E192"/>
    <mergeCell ref="D193:E193"/>
    <mergeCell ref="A194:D194"/>
    <mergeCell ref="E194:F194"/>
    <mergeCell ref="A195:D195"/>
    <mergeCell ref="E195:F195"/>
    <mergeCell ref="A188:D188"/>
    <mergeCell ref="E188:F188"/>
    <mergeCell ref="A189:D189"/>
    <mergeCell ref="E189:F189"/>
    <mergeCell ref="A184:D184"/>
    <mergeCell ref="E184:F184"/>
    <mergeCell ref="A185:D185"/>
    <mergeCell ref="E185:F185"/>
    <mergeCell ref="D179:E179"/>
    <mergeCell ref="A180:D180"/>
    <mergeCell ref="E180:F180"/>
    <mergeCell ref="A181:D181"/>
    <mergeCell ref="E181:F181"/>
    <mergeCell ref="A182:A183"/>
    <mergeCell ref="D182:E182"/>
    <mergeCell ref="D183:E183"/>
    <mergeCell ref="A175:D175"/>
    <mergeCell ref="E175:F175"/>
    <mergeCell ref="A176:D176"/>
    <mergeCell ref="E176:F176"/>
    <mergeCell ref="A172:D172"/>
    <mergeCell ref="E172:F172"/>
    <mergeCell ref="A173:D173"/>
    <mergeCell ref="E173:F173"/>
    <mergeCell ref="D167:E167"/>
    <mergeCell ref="D168:E168"/>
    <mergeCell ref="D169:E169"/>
    <mergeCell ref="D170:E170"/>
    <mergeCell ref="A171:D171"/>
    <mergeCell ref="E171:F171"/>
    <mergeCell ref="D162:E162"/>
    <mergeCell ref="D163:E163"/>
    <mergeCell ref="D164:E164"/>
    <mergeCell ref="A165:D165"/>
    <mergeCell ref="E165:F165"/>
    <mergeCell ref="D166:E166"/>
    <mergeCell ref="A158:D158"/>
    <mergeCell ref="E158:F158"/>
    <mergeCell ref="A159:D159"/>
    <mergeCell ref="E159:F159"/>
    <mergeCell ref="A154:D154"/>
    <mergeCell ref="E154:F154"/>
    <mergeCell ref="A155:D155"/>
    <mergeCell ref="E155:F155"/>
    <mergeCell ref="A149:D149"/>
    <mergeCell ref="E149:F149"/>
    <mergeCell ref="D144:E144"/>
    <mergeCell ref="D145:E145"/>
    <mergeCell ref="D146:E146"/>
    <mergeCell ref="D147:E147"/>
    <mergeCell ref="A148:D148"/>
    <mergeCell ref="E148:F148"/>
    <mergeCell ref="D150:E150"/>
    <mergeCell ref="A141:D141"/>
    <mergeCell ref="E141:F141"/>
    <mergeCell ref="A142:D142"/>
    <mergeCell ref="E142:F142"/>
    <mergeCell ref="A143:D143"/>
    <mergeCell ref="E143:F143"/>
    <mergeCell ref="D135:E135"/>
    <mergeCell ref="D136:E136"/>
    <mergeCell ref="D137:E137"/>
    <mergeCell ref="D138:E138"/>
    <mergeCell ref="D139:E139"/>
    <mergeCell ref="D140:E140"/>
    <mergeCell ref="A131:D131"/>
    <mergeCell ref="E131:F131"/>
    <mergeCell ref="D132:E132"/>
    <mergeCell ref="A133:D133"/>
    <mergeCell ref="E133:F133"/>
    <mergeCell ref="A127:D127"/>
    <mergeCell ref="E127:F127"/>
    <mergeCell ref="D128:E128"/>
    <mergeCell ref="D129:E129"/>
    <mergeCell ref="A130:D130"/>
    <mergeCell ref="E130:F130"/>
    <mergeCell ref="A123:D123"/>
    <mergeCell ref="E123:F123"/>
    <mergeCell ref="D124:E124"/>
    <mergeCell ref="A125:D125"/>
    <mergeCell ref="E125:F125"/>
    <mergeCell ref="A126:D126"/>
    <mergeCell ref="E126:F126"/>
    <mergeCell ref="D119:E119"/>
    <mergeCell ref="A120:D120"/>
    <mergeCell ref="E120:F120"/>
    <mergeCell ref="A121:D121"/>
    <mergeCell ref="E121:F121"/>
    <mergeCell ref="D122:E122"/>
    <mergeCell ref="D117:E117"/>
    <mergeCell ref="D118:E118"/>
    <mergeCell ref="B112:B116"/>
    <mergeCell ref="D107:E107"/>
    <mergeCell ref="B108:B111"/>
    <mergeCell ref="D108:E108"/>
    <mergeCell ref="D109:E109"/>
    <mergeCell ref="D110:E110"/>
    <mergeCell ref="D111:E111"/>
    <mergeCell ref="A103:A104"/>
    <mergeCell ref="B103:B104"/>
    <mergeCell ref="D98:E98"/>
    <mergeCell ref="D99:E99"/>
    <mergeCell ref="D100:E100"/>
    <mergeCell ref="D101:E101"/>
    <mergeCell ref="A102:D102"/>
    <mergeCell ref="E102:F102"/>
    <mergeCell ref="D92:E92"/>
    <mergeCell ref="D93:E93"/>
    <mergeCell ref="D94:E94"/>
    <mergeCell ref="D95:E95"/>
    <mergeCell ref="D96:E96"/>
    <mergeCell ref="D97:E97"/>
    <mergeCell ref="D86:E86"/>
    <mergeCell ref="D87:E87"/>
    <mergeCell ref="D88:E88"/>
    <mergeCell ref="D89:E89"/>
    <mergeCell ref="D90:E90"/>
    <mergeCell ref="D91:E91"/>
    <mergeCell ref="D84:E84"/>
    <mergeCell ref="D85:E85"/>
    <mergeCell ref="D78:E78"/>
    <mergeCell ref="B79:B80"/>
    <mergeCell ref="D79:E79"/>
    <mergeCell ref="D80:E80"/>
    <mergeCell ref="D81:E81"/>
    <mergeCell ref="A82:D82"/>
    <mergeCell ref="E82:F82"/>
    <mergeCell ref="A74:D74"/>
    <mergeCell ref="E74:F74"/>
    <mergeCell ref="A75:D75"/>
    <mergeCell ref="E75:F75"/>
    <mergeCell ref="D69:E69"/>
    <mergeCell ref="D70:E70"/>
    <mergeCell ref="D71:E71"/>
    <mergeCell ref="D72:E72"/>
    <mergeCell ref="A73:D73"/>
    <mergeCell ref="E73:F73"/>
    <mergeCell ref="D63:E63"/>
    <mergeCell ref="D64:E64"/>
    <mergeCell ref="D65:E65"/>
    <mergeCell ref="D66:E66"/>
    <mergeCell ref="D67:E67"/>
    <mergeCell ref="D68:E68"/>
    <mergeCell ref="D59:E59"/>
    <mergeCell ref="D60:E60"/>
    <mergeCell ref="A61:D61"/>
    <mergeCell ref="E61:F61"/>
    <mergeCell ref="A62:D62"/>
    <mergeCell ref="E62:F62"/>
    <mergeCell ref="A53:D53"/>
    <mergeCell ref="E53:F53"/>
    <mergeCell ref="D54:E54"/>
    <mergeCell ref="D55:E55"/>
    <mergeCell ref="B56:B60"/>
    <mergeCell ref="C56:C60"/>
    <mergeCell ref="D56:E57"/>
    <mergeCell ref="F56:F57"/>
    <mergeCell ref="D58:E58"/>
    <mergeCell ref="D48:E48"/>
    <mergeCell ref="D49:E49"/>
    <mergeCell ref="A50:D50"/>
    <mergeCell ref="E50:F50"/>
    <mergeCell ref="D51:E51"/>
    <mergeCell ref="D52:E52"/>
    <mergeCell ref="A44:D44"/>
    <mergeCell ref="E44:F44"/>
    <mergeCell ref="D45:E45"/>
    <mergeCell ref="A46:D46"/>
    <mergeCell ref="E46:F46"/>
    <mergeCell ref="A39:D39"/>
    <mergeCell ref="E39:F39"/>
    <mergeCell ref="D40:E40"/>
    <mergeCell ref="D41:E41"/>
    <mergeCell ref="D42:E42"/>
    <mergeCell ref="A43:D43"/>
    <mergeCell ref="E43:F43"/>
    <mergeCell ref="D34:E34"/>
    <mergeCell ref="A35:D35"/>
    <mergeCell ref="E35:F35"/>
    <mergeCell ref="D36:E36"/>
    <mergeCell ref="D37:E37"/>
    <mergeCell ref="A38:D38"/>
    <mergeCell ref="E38:F38"/>
    <mergeCell ref="D29:E29"/>
    <mergeCell ref="D30:E30"/>
    <mergeCell ref="D32:E32"/>
    <mergeCell ref="D33:E33"/>
    <mergeCell ref="D24:E24"/>
    <mergeCell ref="D25:E25"/>
    <mergeCell ref="D26:E26"/>
    <mergeCell ref="D27:E27"/>
    <mergeCell ref="D19:E19"/>
    <mergeCell ref="D20:E20"/>
    <mergeCell ref="A21:D21"/>
    <mergeCell ref="E21:F21"/>
    <mergeCell ref="D22:E22"/>
    <mergeCell ref="D23:E23"/>
    <mergeCell ref="D15:E15"/>
    <mergeCell ref="D16:E16"/>
    <mergeCell ref="A17:D17"/>
    <mergeCell ref="E17:F17"/>
    <mergeCell ref="A18:D18"/>
    <mergeCell ref="E18:F18"/>
    <mergeCell ref="A11:D11"/>
    <mergeCell ref="E11:F11"/>
    <mergeCell ref="A12:D12"/>
    <mergeCell ref="E12:F12"/>
    <mergeCell ref="A6:F6"/>
    <mergeCell ref="A7:F7"/>
    <mergeCell ref="D8:E8"/>
    <mergeCell ref="D9:E9"/>
    <mergeCell ref="A10:D10"/>
    <mergeCell ref="E10:F10"/>
    <mergeCell ref="D2:E2"/>
    <mergeCell ref="D3:E3"/>
    <mergeCell ref="A4:A5"/>
    <mergeCell ref="B4:B5"/>
    <mergeCell ref="C4:C5"/>
    <mergeCell ref="D4:E4"/>
    <mergeCell ref="D5:E5"/>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heetViews>
  <sheetFormatPr defaultRowHeight="13.2"/>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RowHeight="13.2"/>
  <sheetData/>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431"/>
  <sheetViews>
    <sheetView zoomScale="105" zoomScaleNormal="105" workbookViewId="0">
      <pane ySplit="4" topLeftCell="A155" activePane="bottomLeft" state="frozen"/>
      <selection pane="bottomLeft" activeCell="N120" sqref="N120"/>
    </sheetView>
  </sheetViews>
  <sheetFormatPr defaultColWidth="11.5546875" defaultRowHeight="13.2"/>
  <cols>
    <col min="1" max="1" width="70.44140625" customWidth="1"/>
    <col min="2" max="2" width="0" hidden="1" customWidth="1"/>
    <col min="3" max="3" width="15.109375" customWidth="1"/>
    <col min="4" max="4" width="0" hidden="1" customWidth="1"/>
    <col min="5" max="5" width="12.5546875" customWidth="1"/>
    <col min="6" max="6" width="11.5546875" hidden="1" customWidth="1"/>
    <col min="7" max="8" width="0" style="1" hidden="1" customWidth="1"/>
    <col min="9" max="11" width="11.5546875" style="1"/>
    <col min="12" max="12" width="16.44140625" customWidth="1"/>
  </cols>
  <sheetData>
    <row r="1" spans="1:11" ht="24" customHeight="1">
      <c r="A1" s="2578" t="s">
        <v>849</v>
      </c>
      <c r="B1" s="2578"/>
      <c r="C1" s="2578"/>
      <c r="D1" s="2578"/>
      <c r="E1" s="2578"/>
      <c r="F1" s="2578"/>
      <c r="G1" s="2578"/>
      <c r="H1" s="2578"/>
      <c r="I1" s="2578"/>
      <c r="J1" s="2578"/>
      <c r="K1" s="2"/>
    </row>
    <row r="2" spans="1:11">
      <c r="A2" s="2"/>
      <c r="B2" s="2"/>
      <c r="C2" s="2"/>
      <c r="D2" s="2"/>
      <c r="E2" s="2"/>
      <c r="F2" s="2"/>
      <c r="G2" s="39"/>
      <c r="H2" s="39"/>
      <c r="I2" s="39"/>
      <c r="J2" s="39"/>
      <c r="K2" s="39"/>
    </row>
    <row r="3" spans="1:11">
      <c r="G3" s="31"/>
      <c r="H3" s="28"/>
      <c r="I3" s="28"/>
      <c r="J3" s="28" t="s">
        <v>677</v>
      </c>
      <c r="K3" s="28"/>
    </row>
    <row r="4" spans="1:11" ht="41.25" customHeight="1">
      <c r="A4" s="224" t="s">
        <v>308</v>
      </c>
      <c r="B4" s="224" t="s">
        <v>706</v>
      </c>
      <c r="C4" s="224" t="s">
        <v>707</v>
      </c>
      <c r="D4" s="224" t="s">
        <v>708</v>
      </c>
      <c r="E4" s="224" t="s">
        <v>175</v>
      </c>
      <c r="F4" s="224" t="s">
        <v>176</v>
      </c>
      <c r="G4" s="224" t="s">
        <v>177</v>
      </c>
      <c r="H4" s="224" t="s">
        <v>145</v>
      </c>
      <c r="I4" s="224" t="s">
        <v>354</v>
      </c>
      <c r="J4" s="224" t="s">
        <v>401</v>
      </c>
      <c r="K4" s="224" t="s">
        <v>406</v>
      </c>
    </row>
    <row r="5" spans="1:11" ht="12.75" customHeight="1">
      <c r="A5" s="225" t="s">
        <v>697</v>
      </c>
      <c r="B5" s="226"/>
      <c r="C5" s="226"/>
      <c r="D5" s="226"/>
      <c r="E5" s="226"/>
      <c r="F5" s="226"/>
      <c r="G5" s="226"/>
      <c r="H5" s="226"/>
      <c r="I5" s="226"/>
      <c r="J5" s="226"/>
      <c r="K5" s="229"/>
    </row>
    <row r="6" spans="1:11" ht="12.75" customHeight="1">
      <c r="A6" s="227" t="s">
        <v>698</v>
      </c>
      <c r="B6" s="228"/>
      <c r="C6" s="228"/>
      <c r="D6" s="228"/>
      <c r="E6" s="228"/>
      <c r="F6" s="228"/>
      <c r="G6" s="228"/>
      <c r="H6" s="228"/>
      <c r="I6" s="228"/>
      <c r="J6" s="228"/>
      <c r="K6" s="230"/>
    </row>
    <row r="7" spans="1:11" ht="17.25" customHeight="1">
      <c r="A7" s="164" t="s">
        <v>699</v>
      </c>
      <c r="B7" s="164"/>
      <c r="C7" s="162" t="s">
        <v>455</v>
      </c>
      <c r="D7" s="135"/>
      <c r="E7" s="136" t="s">
        <v>456</v>
      </c>
      <c r="F7" s="137">
        <v>75</v>
      </c>
      <c r="G7" s="137">
        <v>65</v>
      </c>
      <c r="H7" s="137">
        <v>80</v>
      </c>
      <c r="I7" s="137">
        <v>85</v>
      </c>
      <c r="J7" s="165">
        <v>85</v>
      </c>
      <c r="K7" s="263">
        <v>85</v>
      </c>
    </row>
    <row r="8" spans="1:11" ht="17.25" customHeight="1">
      <c r="A8" s="231" t="s">
        <v>843</v>
      </c>
      <c r="B8" s="231"/>
      <c r="C8" s="152" t="s">
        <v>844</v>
      </c>
      <c r="D8" s="133"/>
      <c r="E8" s="153" t="s">
        <v>249</v>
      </c>
      <c r="F8" s="154" t="s">
        <v>845</v>
      </c>
      <c r="G8" s="154" t="s">
        <v>845</v>
      </c>
      <c r="H8" s="154" t="s">
        <v>845</v>
      </c>
      <c r="I8" s="154" t="s">
        <v>845</v>
      </c>
      <c r="J8" s="149" t="s">
        <v>845</v>
      </c>
      <c r="K8" s="264" t="s">
        <v>845</v>
      </c>
    </row>
    <row r="9" spans="1:11" ht="23.85" customHeight="1">
      <c r="A9" s="2579" t="s">
        <v>434</v>
      </c>
      <c r="B9" s="2580"/>
      <c r="C9" s="2580"/>
      <c r="D9" s="2580"/>
      <c r="E9" s="2580"/>
      <c r="F9" s="2580"/>
      <c r="G9" s="2580"/>
      <c r="H9" s="2580"/>
      <c r="I9" s="2580"/>
      <c r="J9" s="2581"/>
      <c r="K9" s="232"/>
    </row>
    <row r="10" spans="1:11" ht="12.75" customHeight="1">
      <c r="A10" s="2589" t="s">
        <v>280</v>
      </c>
      <c r="B10" s="2590"/>
      <c r="C10" s="2590"/>
      <c r="D10" s="2590"/>
      <c r="E10" s="2590"/>
      <c r="F10" s="2590"/>
      <c r="G10" s="2590"/>
      <c r="H10" s="2590"/>
      <c r="I10" s="2590"/>
      <c r="J10" s="2591"/>
      <c r="K10" s="234"/>
    </row>
    <row r="11" spans="1:11" ht="12.75" customHeight="1">
      <c r="A11" s="2589" t="s">
        <v>281</v>
      </c>
      <c r="B11" s="2590"/>
      <c r="C11" s="2590"/>
      <c r="D11" s="2590"/>
      <c r="E11" s="2590"/>
      <c r="F11" s="2590"/>
      <c r="G11" s="2590"/>
      <c r="H11" s="2590"/>
      <c r="I11" s="2590"/>
      <c r="J11" s="2591"/>
      <c r="K11" s="234"/>
    </row>
    <row r="12" spans="1:11" ht="14.25" customHeight="1">
      <c r="A12" s="134" t="s">
        <v>218</v>
      </c>
      <c r="B12" s="134"/>
      <c r="C12" s="162" t="s">
        <v>282</v>
      </c>
      <c r="D12" s="135"/>
      <c r="E12" s="233" t="s">
        <v>283</v>
      </c>
      <c r="F12" s="137">
        <v>230</v>
      </c>
      <c r="G12" s="137">
        <v>150</v>
      </c>
      <c r="H12" s="137">
        <v>230</v>
      </c>
      <c r="I12" s="137">
        <v>230</v>
      </c>
      <c r="J12" s="165">
        <v>230</v>
      </c>
      <c r="K12" s="143">
        <v>230</v>
      </c>
    </row>
    <row r="13" spans="1:11" ht="17.25" customHeight="1">
      <c r="A13" s="10" t="s">
        <v>684</v>
      </c>
      <c r="B13" s="10"/>
      <c r="C13" s="4" t="s">
        <v>247</v>
      </c>
      <c r="D13" s="5"/>
      <c r="E13" s="6" t="s">
        <v>283</v>
      </c>
      <c r="F13" s="7">
        <v>1300</v>
      </c>
      <c r="G13" s="7">
        <v>1150</v>
      </c>
      <c r="H13" s="7">
        <v>1400</v>
      </c>
      <c r="I13" s="7">
        <v>1400</v>
      </c>
      <c r="J13" s="142">
        <v>1400</v>
      </c>
      <c r="K13" s="143">
        <v>1400</v>
      </c>
    </row>
    <row r="14" spans="1:11" ht="26.4">
      <c r="A14" s="10" t="s">
        <v>111</v>
      </c>
      <c r="B14" s="10"/>
      <c r="C14" s="4" t="s">
        <v>112</v>
      </c>
      <c r="D14" s="5"/>
      <c r="E14" s="6" t="s">
        <v>456</v>
      </c>
      <c r="F14" s="7">
        <v>100</v>
      </c>
      <c r="G14" s="7">
        <v>100</v>
      </c>
      <c r="H14" s="7">
        <v>100</v>
      </c>
      <c r="I14" s="7">
        <v>100</v>
      </c>
      <c r="J14" s="142">
        <v>100</v>
      </c>
      <c r="K14" s="143">
        <v>100</v>
      </c>
    </row>
    <row r="15" spans="1:11" ht="14.25" customHeight="1">
      <c r="A15" s="236" t="s">
        <v>601</v>
      </c>
      <c r="B15" s="236"/>
      <c r="C15" s="152" t="s">
        <v>600</v>
      </c>
      <c r="D15" s="133"/>
      <c r="E15" s="153" t="s">
        <v>456</v>
      </c>
      <c r="F15" s="154"/>
      <c r="G15" s="154">
        <v>75</v>
      </c>
      <c r="H15" s="154">
        <v>75</v>
      </c>
      <c r="I15" s="154">
        <v>75</v>
      </c>
      <c r="J15" s="149">
        <v>75</v>
      </c>
      <c r="K15" s="143">
        <v>75</v>
      </c>
    </row>
    <row r="16" spans="1:11" ht="12.75" customHeight="1">
      <c r="A16" s="2592" t="s">
        <v>113</v>
      </c>
      <c r="B16" s="2593"/>
      <c r="C16" s="2593"/>
      <c r="D16" s="2593"/>
      <c r="E16" s="2593"/>
      <c r="F16" s="2593"/>
      <c r="G16" s="2593"/>
      <c r="H16" s="2593"/>
      <c r="I16" s="2593"/>
      <c r="J16" s="2594"/>
      <c r="K16" s="239"/>
    </row>
    <row r="17" spans="1:11" ht="12.75" customHeight="1">
      <c r="A17" s="2595" t="s">
        <v>114</v>
      </c>
      <c r="B17" s="2596"/>
      <c r="C17" s="2596"/>
      <c r="D17" s="2596"/>
      <c r="E17" s="2596"/>
      <c r="F17" s="2596"/>
      <c r="G17" s="2596"/>
      <c r="H17" s="2596"/>
      <c r="I17" s="2596"/>
      <c r="J17" s="2597"/>
      <c r="K17" s="240"/>
    </row>
    <row r="18" spans="1:11" ht="12.75" hidden="1" customHeight="1">
      <c r="A18" s="237"/>
      <c r="B18" s="237"/>
      <c r="C18" s="237"/>
      <c r="D18" s="237"/>
      <c r="E18" s="237"/>
      <c r="F18" s="237"/>
      <c r="G18" s="237"/>
      <c r="H18" s="237"/>
      <c r="I18" s="237"/>
      <c r="J18" s="238"/>
      <c r="K18" s="235"/>
    </row>
    <row r="19" spans="1:11" ht="13.5" customHeight="1">
      <c r="A19" s="11" t="s">
        <v>120</v>
      </c>
      <c r="B19" s="11"/>
      <c r="C19" s="4" t="s">
        <v>689</v>
      </c>
      <c r="D19" s="33"/>
      <c r="E19" s="6" t="s">
        <v>283</v>
      </c>
      <c r="F19" s="7">
        <v>4</v>
      </c>
      <c r="G19" s="7">
        <v>4</v>
      </c>
      <c r="H19" s="7">
        <v>4</v>
      </c>
      <c r="I19" s="7">
        <v>4</v>
      </c>
      <c r="J19" s="142">
        <v>4</v>
      </c>
      <c r="K19" s="143"/>
    </row>
    <row r="20" spans="1:11" ht="13.5" customHeight="1">
      <c r="A20" s="11" t="s">
        <v>687</v>
      </c>
      <c r="B20" s="11" t="s">
        <v>395</v>
      </c>
      <c r="C20" s="4" t="s">
        <v>396</v>
      </c>
      <c r="D20" s="33"/>
      <c r="E20" s="6" t="s">
        <v>283</v>
      </c>
      <c r="F20" s="7">
        <v>500</v>
      </c>
      <c r="G20" s="7">
        <v>400</v>
      </c>
      <c r="H20" s="7">
        <v>500</v>
      </c>
      <c r="I20" s="7">
        <v>500</v>
      </c>
      <c r="J20" s="142">
        <v>500</v>
      </c>
      <c r="K20" s="143">
        <v>500</v>
      </c>
    </row>
    <row r="21" spans="1:11" ht="12.75" customHeight="1">
      <c r="A21" s="2582" t="s">
        <v>453</v>
      </c>
      <c r="B21" s="2582"/>
      <c r="C21" s="2582"/>
      <c r="D21" s="2582"/>
      <c r="E21" s="2582"/>
      <c r="F21" s="2582"/>
      <c r="G21" s="2582"/>
      <c r="H21" s="2582"/>
      <c r="I21" s="2582"/>
      <c r="J21" s="2583"/>
      <c r="K21" s="189"/>
    </row>
    <row r="22" spans="1:11" ht="27" customHeight="1">
      <c r="A22" s="16" t="s">
        <v>220</v>
      </c>
      <c r="B22" s="11"/>
      <c r="C22" s="4" t="s">
        <v>415</v>
      </c>
      <c r="D22" s="33"/>
      <c r="E22" s="34" t="s">
        <v>283</v>
      </c>
      <c r="F22" s="7">
        <v>60</v>
      </c>
      <c r="G22" s="4">
        <v>70</v>
      </c>
      <c r="H22" s="4">
        <v>90</v>
      </c>
      <c r="I22" s="4">
        <v>95</v>
      </c>
      <c r="J22" s="167">
        <v>100</v>
      </c>
      <c r="K22" s="265">
        <v>100</v>
      </c>
    </row>
    <row r="23" spans="1:11" ht="15.75" customHeight="1">
      <c r="A23" s="11" t="s">
        <v>479</v>
      </c>
      <c r="B23" s="11"/>
      <c r="C23" s="4" t="s">
        <v>386</v>
      </c>
      <c r="D23" s="33"/>
      <c r="E23" s="6" t="s">
        <v>283</v>
      </c>
      <c r="F23" s="7">
        <v>1200</v>
      </c>
      <c r="G23" s="4">
        <v>1200</v>
      </c>
      <c r="H23" s="4">
        <v>1200</v>
      </c>
      <c r="I23" s="4">
        <v>1200</v>
      </c>
      <c r="J23" s="167">
        <v>1200</v>
      </c>
      <c r="K23" s="266">
        <v>1200</v>
      </c>
    </row>
    <row r="24" spans="1:11" ht="17.25" customHeight="1">
      <c r="A24" s="12" t="s">
        <v>812</v>
      </c>
      <c r="B24" s="11"/>
      <c r="C24" s="4" t="s">
        <v>387</v>
      </c>
      <c r="D24" s="33"/>
      <c r="E24" s="6" t="s">
        <v>283</v>
      </c>
      <c r="F24" s="7" t="s">
        <v>388</v>
      </c>
      <c r="G24" s="4">
        <v>4800</v>
      </c>
      <c r="H24" s="4">
        <v>5500</v>
      </c>
      <c r="I24" s="4">
        <v>5500</v>
      </c>
      <c r="J24" s="167">
        <v>5500</v>
      </c>
      <c r="K24" s="266">
        <v>5500</v>
      </c>
    </row>
    <row r="25" spans="1:11" ht="15.75" customHeight="1">
      <c r="A25" s="11" t="s">
        <v>389</v>
      </c>
      <c r="B25" s="11"/>
      <c r="C25" s="4" t="s">
        <v>390</v>
      </c>
      <c r="D25" s="33"/>
      <c r="E25" s="6" t="s">
        <v>283</v>
      </c>
      <c r="F25" s="7" t="s">
        <v>578</v>
      </c>
      <c r="G25" s="4">
        <v>1250</v>
      </c>
      <c r="H25" s="4">
        <v>1220</v>
      </c>
      <c r="I25" s="4">
        <v>1220</v>
      </c>
      <c r="J25" s="167">
        <v>1220</v>
      </c>
      <c r="K25" s="266">
        <v>1220</v>
      </c>
    </row>
    <row r="26" spans="1:11" ht="15" customHeight="1">
      <c r="A26" s="11" t="s">
        <v>649</v>
      </c>
      <c r="B26" s="11"/>
      <c r="C26" s="4" t="s">
        <v>650</v>
      </c>
      <c r="D26" s="33"/>
      <c r="E26" s="6" t="s">
        <v>283</v>
      </c>
      <c r="F26" s="7">
        <v>450</v>
      </c>
      <c r="G26" s="4">
        <v>420</v>
      </c>
      <c r="H26" s="4">
        <v>600</v>
      </c>
      <c r="I26" s="4">
        <v>600</v>
      </c>
      <c r="J26" s="167">
        <v>600</v>
      </c>
      <c r="K26" s="266">
        <v>600</v>
      </c>
    </row>
    <row r="27" spans="1:11" ht="15" customHeight="1">
      <c r="A27" s="11" t="s">
        <v>813</v>
      </c>
      <c r="B27" s="11"/>
      <c r="C27" s="4" t="s">
        <v>520</v>
      </c>
      <c r="D27" s="33"/>
      <c r="E27" s="6" t="s">
        <v>283</v>
      </c>
      <c r="F27" s="7"/>
      <c r="G27" s="4"/>
      <c r="H27" s="4">
        <v>0</v>
      </c>
      <c r="I27" s="4">
        <v>0</v>
      </c>
      <c r="J27" s="167">
        <v>0</v>
      </c>
      <c r="K27" s="267">
        <v>0</v>
      </c>
    </row>
    <row r="28" spans="1:11" ht="12.75" customHeight="1">
      <c r="A28" s="2582" t="s">
        <v>72</v>
      </c>
      <c r="B28" s="2582"/>
      <c r="C28" s="2582"/>
      <c r="D28" s="2582"/>
      <c r="E28" s="2582"/>
      <c r="F28" s="2582"/>
      <c r="G28" s="2582"/>
      <c r="H28" s="2582"/>
      <c r="I28" s="2582"/>
      <c r="J28" s="2583"/>
      <c r="K28" s="189"/>
    </row>
    <row r="29" spans="1:11" ht="15.75" customHeight="1">
      <c r="A29" s="11" t="s">
        <v>685</v>
      </c>
      <c r="B29" s="11"/>
      <c r="C29" s="4" t="s">
        <v>73</v>
      </c>
      <c r="D29" s="33"/>
      <c r="E29" s="6" t="s">
        <v>283</v>
      </c>
      <c r="F29" s="7">
        <v>10</v>
      </c>
      <c r="G29" s="7">
        <v>10</v>
      </c>
      <c r="H29" s="7">
        <v>10</v>
      </c>
      <c r="I29" s="7">
        <v>10</v>
      </c>
      <c r="J29" s="142">
        <v>10</v>
      </c>
      <c r="K29" s="268">
        <v>10</v>
      </c>
    </row>
    <row r="30" spans="1:11" ht="14.25" customHeight="1">
      <c r="A30" s="11" t="s">
        <v>74</v>
      </c>
      <c r="B30" s="11"/>
      <c r="C30" s="4" t="s">
        <v>465</v>
      </c>
      <c r="D30" s="33"/>
      <c r="E30" s="6" t="s">
        <v>283</v>
      </c>
      <c r="F30" s="7">
        <v>3</v>
      </c>
      <c r="G30" s="7">
        <v>3</v>
      </c>
      <c r="H30" s="7">
        <v>3</v>
      </c>
      <c r="I30" s="7">
        <v>3</v>
      </c>
      <c r="J30" s="142">
        <v>3</v>
      </c>
      <c r="K30" s="268">
        <v>3</v>
      </c>
    </row>
    <row r="31" spans="1:11" ht="12.75" customHeight="1">
      <c r="A31" s="2582" t="s">
        <v>579</v>
      </c>
      <c r="B31" s="2582"/>
      <c r="C31" s="2582"/>
      <c r="D31" s="2582"/>
      <c r="E31" s="2582"/>
      <c r="F31" s="2582"/>
      <c r="G31" s="2582"/>
      <c r="H31" s="2582"/>
      <c r="I31" s="2582"/>
      <c r="J31" s="2583"/>
      <c r="K31" s="189"/>
    </row>
    <row r="32" spans="1:11" ht="12.75" customHeight="1">
      <c r="A32" s="11" t="s">
        <v>749</v>
      </c>
      <c r="B32" s="11"/>
      <c r="C32" s="4" t="s">
        <v>750</v>
      </c>
      <c r="D32" s="33"/>
      <c r="E32" s="6" t="s">
        <v>456</v>
      </c>
      <c r="F32" s="7">
        <v>80</v>
      </c>
      <c r="G32" s="7">
        <v>80</v>
      </c>
      <c r="H32" s="7">
        <v>80</v>
      </c>
      <c r="I32" s="7">
        <v>80</v>
      </c>
      <c r="J32" s="142">
        <v>80</v>
      </c>
      <c r="K32" s="268">
        <v>80</v>
      </c>
    </row>
    <row r="33" spans="1:13" ht="27" customHeight="1">
      <c r="A33" s="12" t="s">
        <v>126</v>
      </c>
      <c r="B33" s="11"/>
      <c r="C33" s="4" t="s">
        <v>574</v>
      </c>
      <c r="D33" s="33"/>
      <c r="E33" s="6" t="s">
        <v>456</v>
      </c>
      <c r="F33" s="7">
        <v>100</v>
      </c>
      <c r="G33" s="7">
        <v>100</v>
      </c>
      <c r="H33" s="7">
        <v>100</v>
      </c>
      <c r="I33" s="7">
        <v>100</v>
      </c>
      <c r="J33" s="142">
        <v>100</v>
      </c>
      <c r="K33" s="268">
        <v>100</v>
      </c>
    </row>
    <row r="34" spans="1:13" ht="15" customHeight="1">
      <c r="A34" s="43" t="s">
        <v>315</v>
      </c>
      <c r="B34" s="241"/>
      <c r="C34" s="152" t="s">
        <v>316</v>
      </c>
      <c r="D34" s="242"/>
      <c r="E34" s="153" t="s">
        <v>456</v>
      </c>
      <c r="F34" s="154">
        <v>100</v>
      </c>
      <c r="G34" s="154">
        <v>100</v>
      </c>
      <c r="H34" s="154">
        <v>100</v>
      </c>
      <c r="I34" s="154">
        <v>100</v>
      </c>
      <c r="J34" s="149">
        <v>100</v>
      </c>
      <c r="K34" s="269">
        <v>100</v>
      </c>
    </row>
    <row r="35" spans="1:13" ht="13.8">
      <c r="A35" s="2584" t="s">
        <v>751</v>
      </c>
      <c r="B35" s="2585"/>
      <c r="C35" s="2585"/>
      <c r="D35" s="2585"/>
      <c r="E35" s="2585"/>
      <c r="F35" s="2585"/>
      <c r="G35" s="2585"/>
      <c r="H35" s="2585"/>
      <c r="I35" s="2585"/>
      <c r="J35" s="2585"/>
      <c r="K35" s="189"/>
    </row>
    <row r="36" spans="1:13" ht="15.75" customHeight="1">
      <c r="A36" s="243" t="s">
        <v>33</v>
      </c>
      <c r="B36" s="243"/>
      <c r="C36" s="162" t="s">
        <v>34</v>
      </c>
      <c r="D36" s="244"/>
      <c r="E36" s="136" t="s">
        <v>35</v>
      </c>
      <c r="F36" s="137">
        <v>100</v>
      </c>
      <c r="G36" s="137">
        <v>40</v>
      </c>
      <c r="H36" s="137">
        <v>70</v>
      </c>
      <c r="I36" s="137">
        <v>90</v>
      </c>
      <c r="J36" s="165">
        <v>100</v>
      </c>
      <c r="K36" s="270">
        <v>100</v>
      </c>
    </row>
    <row r="37" spans="1:13" ht="15.75" customHeight="1">
      <c r="A37" s="241" t="s">
        <v>23</v>
      </c>
      <c r="B37" s="241"/>
      <c r="C37" s="152" t="s">
        <v>22</v>
      </c>
      <c r="D37" s="242"/>
      <c r="E37" s="245" t="s">
        <v>24</v>
      </c>
      <c r="F37" s="154"/>
      <c r="G37" s="154"/>
      <c r="H37" s="154">
        <v>30</v>
      </c>
      <c r="I37" s="154">
        <v>30</v>
      </c>
      <c r="J37" s="149">
        <v>30</v>
      </c>
      <c r="K37" s="264">
        <v>30</v>
      </c>
    </row>
    <row r="38" spans="1:13" ht="25.65" customHeight="1">
      <c r="A38" s="2557" t="s">
        <v>170</v>
      </c>
      <c r="B38" s="2558"/>
      <c r="C38" s="2558"/>
      <c r="D38" s="2558"/>
      <c r="E38" s="2558"/>
      <c r="F38" s="2558"/>
      <c r="G38" s="2558"/>
      <c r="H38" s="2558"/>
      <c r="I38" s="2558"/>
      <c r="J38" s="2558"/>
      <c r="K38" s="205"/>
      <c r="M38" t="s">
        <v>127</v>
      </c>
    </row>
    <row r="39" spans="1:13" ht="12.75" customHeight="1">
      <c r="A39" s="2561" t="s">
        <v>281</v>
      </c>
      <c r="B39" s="2562"/>
      <c r="C39" s="2562"/>
      <c r="D39" s="2562"/>
      <c r="E39" s="2562"/>
      <c r="F39" s="2562"/>
      <c r="G39" s="2562"/>
      <c r="H39" s="2562"/>
      <c r="I39" s="2562"/>
      <c r="J39" s="2562"/>
      <c r="K39" s="234"/>
    </row>
    <row r="40" spans="1:13">
      <c r="A40" s="246" t="s">
        <v>438</v>
      </c>
      <c r="B40" s="246"/>
      <c r="C40" s="162" t="s">
        <v>439</v>
      </c>
      <c r="D40" s="135"/>
      <c r="E40" s="136" t="s">
        <v>456</v>
      </c>
      <c r="F40" s="137">
        <v>65</v>
      </c>
      <c r="G40" s="137">
        <v>50</v>
      </c>
      <c r="H40" s="137">
        <v>50</v>
      </c>
      <c r="I40" s="137">
        <v>50</v>
      </c>
      <c r="J40" s="165">
        <v>50</v>
      </c>
      <c r="K40" s="263">
        <v>50</v>
      </c>
    </row>
    <row r="41" spans="1:13" ht="16.5" customHeight="1">
      <c r="A41" s="247" t="s">
        <v>440</v>
      </c>
      <c r="B41" s="247"/>
      <c r="C41" s="152" t="s">
        <v>441</v>
      </c>
      <c r="D41" s="133"/>
      <c r="E41" s="153" t="s">
        <v>283</v>
      </c>
      <c r="F41" s="154">
        <v>350</v>
      </c>
      <c r="G41" s="154">
        <v>250</v>
      </c>
      <c r="H41" s="154">
        <v>320</v>
      </c>
      <c r="I41" s="154">
        <v>330</v>
      </c>
      <c r="J41" s="149">
        <v>330</v>
      </c>
      <c r="K41" s="269">
        <v>330</v>
      </c>
    </row>
    <row r="42" spans="1:13">
      <c r="A42" s="2552" t="s">
        <v>113</v>
      </c>
      <c r="B42" s="2553"/>
      <c r="C42" s="2553"/>
      <c r="D42" s="2553"/>
      <c r="E42" s="2553"/>
      <c r="F42" s="2553"/>
      <c r="G42" s="2553"/>
      <c r="H42" s="2553"/>
      <c r="I42" s="2553"/>
      <c r="J42" s="2553"/>
      <c r="K42" s="271"/>
    </row>
    <row r="43" spans="1:13" ht="13.8">
      <c r="A43" s="2584" t="s">
        <v>487</v>
      </c>
      <c r="B43" s="2585"/>
      <c r="C43" s="2585"/>
      <c r="D43" s="2585"/>
      <c r="E43" s="2585"/>
      <c r="F43" s="2585"/>
      <c r="G43" s="2585"/>
      <c r="H43" s="2585"/>
      <c r="I43" s="2585"/>
      <c r="J43" s="2585"/>
      <c r="K43" s="189"/>
    </row>
    <row r="44" spans="1:13">
      <c r="A44" s="211" t="s">
        <v>602</v>
      </c>
      <c r="B44" s="211"/>
      <c r="C44" s="162" t="s">
        <v>538</v>
      </c>
      <c r="D44" s="135"/>
      <c r="E44" s="249" t="s">
        <v>539</v>
      </c>
      <c r="F44" s="137">
        <v>70</v>
      </c>
      <c r="G44" s="137">
        <v>60</v>
      </c>
      <c r="H44" s="137">
        <v>60</v>
      </c>
      <c r="I44" s="137">
        <v>60</v>
      </c>
      <c r="J44" s="165">
        <v>60</v>
      </c>
      <c r="K44" s="270">
        <v>60</v>
      </c>
    </row>
    <row r="45" spans="1:13" ht="13.8">
      <c r="A45" s="2582" t="s">
        <v>348</v>
      </c>
      <c r="B45" s="2582"/>
      <c r="C45" s="2582"/>
      <c r="D45" s="2582"/>
      <c r="E45" s="2582"/>
      <c r="F45" s="2582"/>
      <c r="G45" s="2582"/>
      <c r="H45" s="2582"/>
      <c r="I45" s="2582"/>
      <c r="J45" s="2583"/>
      <c r="K45" s="189"/>
    </row>
    <row r="46" spans="1:13">
      <c r="A46" s="12" t="s">
        <v>814</v>
      </c>
      <c r="B46" s="12"/>
      <c r="C46" s="4" t="s">
        <v>352</v>
      </c>
      <c r="D46" s="5"/>
      <c r="E46" s="13" t="s">
        <v>283</v>
      </c>
      <c r="F46" s="7">
        <v>0</v>
      </c>
      <c r="G46" s="7">
        <v>1</v>
      </c>
      <c r="H46" s="7">
        <v>0</v>
      </c>
      <c r="I46" s="7">
        <v>1</v>
      </c>
      <c r="J46" s="142">
        <v>0</v>
      </c>
      <c r="K46" s="268">
        <v>0</v>
      </c>
      <c r="L46" s="31"/>
    </row>
    <row r="47" spans="1:13" ht="26.4">
      <c r="A47" s="12" t="s">
        <v>836</v>
      </c>
      <c r="B47" s="36"/>
      <c r="C47" s="4" t="s">
        <v>349</v>
      </c>
      <c r="D47" s="37"/>
      <c r="E47" s="34" t="s">
        <v>456</v>
      </c>
      <c r="F47" s="4"/>
      <c r="G47" s="4">
        <v>50</v>
      </c>
      <c r="H47" s="4">
        <v>60</v>
      </c>
      <c r="I47" s="4">
        <v>70</v>
      </c>
      <c r="J47" s="167">
        <v>60</v>
      </c>
      <c r="K47" s="266">
        <v>60</v>
      </c>
      <c r="L47" s="31"/>
    </row>
    <row r="48" spans="1:13">
      <c r="A48" s="12" t="s">
        <v>57</v>
      </c>
      <c r="B48" s="36"/>
      <c r="C48" s="4" t="s">
        <v>350</v>
      </c>
      <c r="D48" s="37"/>
      <c r="E48" s="6" t="s">
        <v>283</v>
      </c>
      <c r="F48" s="7"/>
      <c r="G48" s="7"/>
      <c r="H48" s="7">
        <v>0</v>
      </c>
      <c r="I48" s="7">
        <v>2</v>
      </c>
      <c r="J48" s="142">
        <v>2</v>
      </c>
      <c r="K48" s="268">
        <v>2</v>
      </c>
      <c r="L48" s="31"/>
    </row>
    <row r="49" spans="1:16" ht="13.8">
      <c r="A49" s="2582" t="s">
        <v>837</v>
      </c>
      <c r="B49" s="2582"/>
      <c r="C49" s="2582"/>
      <c r="D49" s="2582"/>
      <c r="E49" s="2582"/>
      <c r="F49" s="2582"/>
      <c r="G49" s="2582"/>
      <c r="H49" s="2582"/>
      <c r="I49" s="2582"/>
      <c r="J49" s="2583"/>
      <c r="K49" s="189"/>
    </row>
    <row r="50" spans="1:16" ht="17.25" customHeight="1">
      <c r="A50" s="11" t="s">
        <v>686</v>
      </c>
      <c r="B50" s="11"/>
      <c r="C50" s="4" t="s">
        <v>838</v>
      </c>
      <c r="D50" s="5"/>
      <c r="E50" s="6" t="s">
        <v>283</v>
      </c>
      <c r="F50" s="7">
        <v>3</v>
      </c>
      <c r="G50" s="7">
        <v>4</v>
      </c>
      <c r="H50" s="7">
        <v>5</v>
      </c>
      <c r="I50" s="7">
        <v>4</v>
      </c>
      <c r="J50" s="142">
        <v>4</v>
      </c>
      <c r="K50" s="268">
        <v>4</v>
      </c>
    </row>
    <row r="51" spans="1:16" ht="17.25" customHeight="1">
      <c r="A51" s="11" t="s">
        <v>504</v>
      </c>
      <c r="B51" s="11"/>
      <c r="C51" s="4" t="s">
        <v>340</v>
      </c>
      <c r="D51" s="5"/>
      <c r="E51" s="6" t="s">
        <v>283</v>
      </c>
      <c r="F51" s="7"/>
      <c r="G51" s="7"/>
      <c r="H51" s="7">
        <v>1</v>
      </c>
      <c r="I51" s="7">
        <v>1</v>
      </c>
      <c r="J51" s="142">
        <v>1</v>
      </c>
      <c r="K51" s="264">
        <v>1</v>
      </c>
    </row>
    <row r="52" spans="1:16" ht="26.25" customHeight="1">
      <c r="A52" s="2525" t="s">
        <v>528</v>
      </c>
      <c r="B52" s="2525"/>
      <c r="C52" s="2525"/>
      <c r="D52" s="2525"/>
      <c r="E52" s="2525"/>
      <c r="F52" s="2525"/>
      <c r="G52" s="2525"/>
      <c r="H52" s="2525"/>
      <c r="I52" s="2525"/>
      <c r="J52" s="2526"/>
      <c r="K52" s="190"/>
    </row>
    <row r="53" spans="1:16">
      <c r="A53" s="11" t="s">
        <v>12</v>
      </c>
      <c r="B53" s="11"/>
      <c r="C53" s="4" t="s">
        <v>13</v>
      </c>
      <c r="D53" s="5"/>
      <c r="E53" s="6" t="s">
        <v>283</v>
      </c>
      <c r="F53" s="7">
        <v>7</v>
      </c>
      <c r="G53" s="7">
        <v>7</v>
      </c>
      <c r="H53" s="7">
        <v>9</v>
      </c>
      <c r="I53" s="7">
        <v>9</v>
      </c>
      <c r="J53" s="142">
        <v>10</v>
      </c>
      <c r="K53" s="263">
        <v>10</v>
      </c>
      <c r="N53" s="69"/>
      <c r="O53" s="69"/>
      <c r="P53" s="69"/>
    </row>
    <row r="54" spans="1:16">
      <c r="A54" s="11" t="s">
        <v>407</v>
      </c>
      <c r="B54" s="11"/>
      <c r="C54" s="4" t="s">
        <v>739</v>
      </c>
      <c r="D54" s="5"/>
      <c r="E54" s="6" t="s">
        <v>283</v>
      </c>
      <c r="F54" s="7">
        <v>1</v>
      </c>
      <c r="G54" s="7" t="s">
        <v>408</v>
      </c>
      <c r="H54" s="7">
        <v>0</v>
      </c>
      <c r="I54" s="7">
        <v>1</v>
      </c>
      <c r="J54" s="142">
        <v>0</v>
      </c>
      <c r="K54" s="268">
        <v>0</v>
      </c>
      <c r="N54" s="69"/>
      <c r="O54" s="69"/>
      <c r="P54" s="69"/>
    </row>
    <row r="55" spans="1:16" ht="27.75" customHeight="1">
      <c r="A55" s="12" t="s">
        <v>815</v>
      </c>
      <c r="B55" s="12"/>
      <c r="C55" s="2598" t="s">
        <v>822</v>
      </c>
      <c r="D55" s="5"/>
      <c r="E55" s="2586" t="s">
        <v>283</v>
      </c>
      <c r="F55" s="7" t="s">
        <v>384</v>
      </c>
      <c r="G55" s="35">
        <v>1</v>
      </c>
      <c r="H55" s="4">
        <v>2</v>
      </c>
      <c r="I55" s="4">
        <v>2</v>
      </c>
      <c r="J55" s="167">
        <v>2</v>
      </c>
      <c r="K55" s="266">
        <v>2</v>
      </c>
      <c r="N55" s="69"/>
      <c r="O55" s="69"/>
      <c r="P55" s="69"/>
    </row>
    <row r="56" spans="1:16" ht="15" customHeight="1">
      <c r="A56" s="12" t="s">
        <v>62</v>
      </c>
      <c r="B56" s="12"/>
      <c r="C56" s="2599"/>
      <c r="D56" s="5"/>
      <c r="E56" s="2587"/>
      <c r="F56" s="7"/>
      <c r="G56" s="24">
        <v>5</v>
      </c>
      <c r="H56" s="7">
        <v>2</v>
      </c>
      <c r="I56" s="7">
        <v>2</v>
      </c>
      <c r="J56" s="142">
        <v>2</v>
      </c>
      <c r="K56" s="268">
        <v>2</v>
      </c>
      <c r="N56" s="69"/>
      <c r="O56" s="69"/>
      <c r="P56" s="69"/>
    </row>
    <row r="57" spans="1:16" ht="15" customHeight="1">
      <c r="A57" s="12" t="s">
        <v>28</v>
      </c>
      <c r="B57" s="12"/>
      <c r="C57" s="2599"/>
      <c r="D57" s="5"/>
      <c r="E57" s="2587"/>
      <c r="F57" s="7"/>
      <c r="G57" s="24">
        <v>3</v>
      </c>
      <c r="H57" s="7">
        <v>2</v>
      </c>
      <c r="I57" s="7">
        <v>2</v>
      </c>
      <c r="J57" s="142">
        <v>2</v>
      </c>
      <c r="K57" s="268">
        <v>2</v>
      </c>
      <c r="N57" s="69"/>
      <c r="O57" s="69"/>
      <c r="P57" s="69"/>
    </row>
    <row r="58" spans="1:16" ht="15" customHeight="1">
      <c r="A58" s="12" t="s">
        <v>643</v>
      </c>
      <c r="B58" s="12"/>
      <c r="C58" s="2600"/>
      <c r="D58" s="5"/>
      <c r="E58" s="2588"/>
      <c r="F58" s="7"/>
      <c r="G58" s="24" t="s">
        <v>409</v>
      </c>
      <c r="H58" s="7">
        <v>52</v>
      </c>
      <c r="I58" s="7">
        <v>52</v>
      </c>
      <c r="J58" s="142">
        <f>H58</f>
        <v>52</v>
      </c>
      <c r="K58" s="264">
        <f>I58</f>
        <v>52</v>
      </c>
      <c r="N58" s="69"/>
      <c r="O58" s="69"/>
      <c r="P58" s="69"/>
    </row>
    <row r="59" spans="1:16" ht="13.5" customHeight="1">
      <c r="A59" s="2519" t="s">
        <v>38</v>
      </c>
      <c r="B59" s="2519"/>
      <c r="C59" s="2519"/>
      <c r="D59" s="2519"/>
      <c r="E59" s="2519"/>
      <c r="F59" s="2519"/>
      <c r="G59" s="2519"/>
      <c r="H59" s="2519"/>
      <c r="I59" s="2519"/>
      <c r="J59" s="2520"/>
      <c r="K59" s="191"/>
    </row>
    <row r="60" spans="1:16" ht="13.5" customHeight="1">
      <c r="A60" s="2519" t="s">
        <v>698</v>
      </c>
      <c r="B60" s="2519"/>
      <c r="C60" s="2519"/>
      <c r="D60" s="2519"/>
      <c r="E60" s="2519"/>
      <c r="F60" s="2519"/>
      <c r="G60" s="2519"/>
      <c r="H60" s="2519"/>
      <c r="I60" s="2519"/>
      <c r="J60" s="2520"/>
      <c r="K60" s="191"/>
    </row>
    <row r="61" spans="1:16">
      <c r="A61" s="126" t="s">
        <v>451</v>
      </c>
      <c r="B61" s="14"/>
      <c r="C61" s="4" t="s">
        <v>624</v>
      </c>
      <c r="D61" s="127"/>
      <c r="E61" s="34" t="s">
        <v>456</v>
      </c>
      <c r="F61" s="4">
        <v>68</v>
      </c>
      <c r="G61" s="4">
        <v>65</v>
      </c>
      <c r="H61" s="4">
        <v>66</v>
      </c>
      <c r="I61" s="4">
        <v>65</v>
      </c>
      <c r="J61" s="167">
        <v>65</v>
      </c>
      <c r="K61" s="156">
        <v>65</v>
      </c>
    </row>
    <row r="62" spans="1:16">
      <c r="A62" s="126" t="s">
        <v>503</v>
      </c>
      <c r="B62" s="14"/>
      <c r="C62" s="4" t="s">
        <v>625</v>
      </c>
      <c r="D62" s="127"/>
      <c r="E62" s="34" t="s">
        <v>283</v>
      </c>
      <c r="F62" s="4">
        <v>15</v>
      </c>
      <c r="G62" s="4">
        <v>18</v>
      </c>
      <c r="H62" s="4">
        <v>21</v>
      </c>
      <c r="I62" s="4">
        <v>23</v>
      </c>
      <c r="J62" s="167">
        <v>25</v>
      </c>
      <c r="K62" s="156">
        <v>25</v>
      </c>
    </row>
    <row r="63" spans="1:16" ht="23.25" customHeight="1">
      <c r="A63" s="126" t="s">
        <v>825</v>
      </c>
      <c r="B63" s="14"/>
      <c r="C63" s="4" t="s">
        <v>626</v>
      </c>
      <c r="D63" s="127"/>
      <c r="E63" s="34" t="s">
        <v>456</v>
      </c>
      <c r="F63" s="128">
        <v>11</v>
      </c>
      <c r="G63" s="128">
        <v>13</v>
      </c>
      <c r="H63" s="128">
        <v>15</v>
      </c>
      <c r="I63" s="128">
        <v>16</v>
      </c>
      <c r="J63" s="168">
        <v>17</v>
      </c>
      <c r="K63" s="278">
        <v>17</v>
      </c>
      <c r="M63" s="29"/>
    </row>
    <row r="64" spans="1:16" ht="16.5" customHeight="1">
      <c r="A64" s="126" t="s">
        <v>635</v>
      </c>
      <c r="B64" s="14"/>
      <c r="C64" s="4" t="s">
        <v>472</v>
      </c>
      <c r="D64" s="127"/>
      <c r="E64" s="34" t="s">
        <v>283</v>
      </c>
      <c r="F64" s="128">
        <v>2</v>
      </c>
      <c r="G64" s="128">
        <v>16</v>
      </c>
      <c r="H64" s="128">
        <v>2</v>
      </c>
      <c r="I64" s="128">
        <v>2</v>
      </c>
      <c r="J64" s="168">
        <v>2</v>
      </c>
      <c r="K64" s="278">
        <v>2</v>
      </c>
      <c r="M64" s="29"/>
    </row>
    <row r="65" spans="1:12" ht="26.4">
      <c r="A65" s="126" t="s">
        <v>471</v>
      </c>
      <c r="B65" s="14"/>
      <c r="C65" s="4" t="s">
        <v>82</v>
      </c>
      <c r="D65" s="127"/>
      <c r="E65" s="34" t="s">
        <v>283</v>
      </c>
      <c r="F65" s="128">
        <f>F181+F187+F123</f>
        <v>31</v>
      </c>
      <c r="G65" s="128">
        <v>30</v>
      </c>
      <c r="H65" s="128">
        <v>35</v>
      </c>
      <c r="I65" s="128">
        <v>40</v>
      </c>
      <c r="J65" s="168">
        <v>40</v>
      </c>
      <c r="K65" s="278">
        <v>40</v>
      </c>
    </row>
    <row r="66" spans="1:12" ht="26.25" customHeight="1">
      <c r="A66" s="126" t="s">
        <v>81</v>
      </c>
      <c r="B66" s="14"/>
      <c r="C66" s="4" t="s">
        <v>119</v>
      </c>
      <c r="D66" s="129"/>
      <c r="E66" s="34" t="s">
        <v>283</v>
      </c>
      <c r="F66" s="128" t="s">
        <v>83</v>
      </c>
      <c r="G66" s="128" t="s">
        <v>84</v>
      </c>
      <c r="H66" s="128" t="s">
        <v>83</v>
      </c>
      <c r="I66" s="128" t="s">
        <v>83</v>
      </c>
      <c r="J66" s="168" t="s">
        <v>84</v>
      </c>
      <c r="K66" s="278" t="s">
        <v>84</v>
      </c>
    </row>
    <row r="67" spans="1:12" ht="13.5" customHeight="1">
      <c r="A67" s="126" t="s">
        <v>118</v>
      </c>
      <c r="B67" s="14"/>
      <c r="C67" s="4" t="s">
        <v>676</v>
      </c>
      <c r="D67" s="129"/>
      <c r="E67" s="34" t="s">
        <v>456</v>
      </c>
      <c r="F67" s="4">
        <v>7</v>
      </c>
      <c r="G67" s="4">
        <v>6.8</v>
      </c>
      <c r="H67" s="4">
        <v>6.7</v>
      </c>
      <c r="I67" s="4">
        <v>6.6</v>
      </c>
      <c r="J67" s="167">
        <v>6.5</v>
      </c>
      <c r="K67" s="156">
        <v>6.5</v>
      </c>
      <c r="L67" s="72"/>
    </row>
    <row r="68" spans="1:12" ht="13.5" customHeight="1">
      <c r="A68" s="126" t="s">
        <v>290</v>
      </c>
      <c r="B68" s="14"/>
      <c r="C68" s="4" t="s">
        <v>511</v>
      </c>
      <c r="D68" s="129"/>
      <c r="E68" s="34" t="s">
        <v>292</v>
      </c>
      <c r="F68" s="4"/>
      <c r="G68" s="4"/>
      <c r="H68" s="4" t="s">
        <v>293</v>
      </c>
      <c r="I68" s="4" t="s">
        <v>294</v>
      </c>
      <c r="J68" s="167" t="s">
        <v>295</v>
      </c>
      <c r="K68" s="156" t="s">
        <v>295</v>
      </c>
      <c r="L68" s="72"/>
    </row>
    <row r="69" spans="1:12" ht="24" customHeight="1">
      <c r="A69" s="126" t="s">
        <v>675</v>
      </c>
      <c r="B69" s="14"/>
      <c r="C69" s="4" t="s">
        <v>846</v>
      </c>
      <c r="D69" s="129"/>
      <c r="E69" s="34" t="s">
        <v>283</v>
      </c>
      <c r="F69" s="34" t="s">
        <v>654</v>
      </c>
      <c r="G69" s="34" t="s">
        <v>654</v>
      </c>
      <c r="H69" s="34" t="s">
        <v>654</v>
      </c>
      <c r="I69" s="34" t="s">
        <v>654</v>
      </c>
      <c r="J69" s="169" t="s">
        <v>654</v>
      </c>
      <c r="K69" s="279" t="s">
        <v>654</v>
      </c>
    </row>
    <row r="70" spans="1:12" ht="24.75" customHeight="1">
      <c r="A70" s="126" t="s">
        <v>510</v>
      </c>
      <c r="B70" s="14"/>
      <c r="C70" s="4" t="s">
        <v>291</v>
      </c>
      <c r="D70" s="129"/>
      <c r="E70" s="34" t="s">
        <v>283</v>
      </c>
      <c r="F70" s="34" t="s">
        <v>654</v>
      </c>
      <c r="G70" s="34" t="s">
        <v>654</v>
      </c>
      <c r="H70" s="34" t="s">
        <v>654</v>
      </c>
      <c r="I70" s="34" t="s">
        <v>654</v>
      </c>
      <c r="J70" s="169" t="s">
        <v>654</v>
      </c>
      <c r="K70" s="279" t="s">
        <v>654</v>
      </c>
    </row>
    <row r="71" spans="1:12" ht="22.35" customHeight="1">
      <c r="A71" s="2521" t="s">
        <v>416</v>
      </c>
      <c r="B71" s="2521"/>
      <c r="C71" s="2521"/>
      <c r="D71" s="2521"/>
      <c r="E71" s="2521"/>
      <c r="F71" s="2521"/>
      <c r="G71" s="2521"/>
      <c r="H71" s="2521"/>
      <c r="I71" s="2521"/>
      <c r="J71" s="2522"/>
      <c r="K71" s="186"/>
    </row>
    <row r="72" spans="1:12" ht="12.75" customHeight="1">
      <c r="A72" s="2523" t="s">
        <v>647</v>
      </c>
      <c r="B72" s="2523"/>
      <c r="C72" s="2523"/>
      <c r="D72" s="2523"/>
      <c r="E72" s="2523"/>
      <c r="F72" s="2523"/>
      <c r="G72" s="2523"/>
      <c r="H72" s="2523"/>
      <c r="I72" s="2523"/>
      <c r="J72" s="2524"/>
      <c r="K72" s="187"/>
    </row>
    <row r="73" spans="1:12" ht="12.75" customHeight="1">
      <c r="A73" s="2523" t="s">
        <v>281</v>
      </c>
      <c r="B73" s="2523"/>
      <c r="C73" s="2523"/>
      <c r="D73" s="2523"/>
      <c r="E73" s="2523"/>
      <c r="F73" s="2523"/>
      <c r="G73" s="2523"/>
      <c r="H73" s="2523"/>
      <c r="I73" s="2523"/>
      <c r="J73" s="2524"/>
      <c r="K73" s="187"/>
    </row>
    <row r="74" spans="1:12">
      <c r="A74" s="8" t="s">
        <v>135</v>
      </c>
      <c r="B74" s="8"/>
      <c r="C74" s="15" t="s">
        <v>648</v>
      </c>
      <c r="D74" s="5"/>
      <c r="E74" s="6" t="s">
        <v>283</v>
      </c>
      <c r="F74" s="7">
        <v>157</v>
      </c>
      <c r="G74" s="7">
        <v>150</v>
      </c>
      <c r="H74" s="7">
        <v>155</v>
      </c>
      <c r="I74" s="7">
        <v>160</v>
      </c>
      <c r="J74" s="142">
        <v>165</v>
      </c>
      <c r="K74" s="143">
        <v>165</v>
      </c>
    </row>
    <row r="75" spans="1:12">
      <c r="A75" s="10" t="s">
        <v>646</v>
      </c>
      <c r="B75" s="10"/>
      <c r="C75" s="15" t="s">
        <v>816</v>
      </c>
      <c r="D75" s="5"/>
      <c r="E75" s="6" t="s">
        <v>456</v>
      </c>
      <c r="F75" s="7">
        <v>98</v>
      </c>
      <c r="G75" s="7">
        <v>98</v>
      </c>
      <c r="H75" s="7">
        <v>98</v>
      </c>
      <c r="I75" s="7">
        <v>98</v>
      </c>
      <c r="J75" s="142">
        <v>98</v>
      </c>
      <c r="K75" s="143">
        <v>98</v>
      </c>
    </row>
    <row r="76" spans="1:12">
      <c r="A76" s="10" t="s">
        <v>136</v>
      </c>
      <c r="B76" s="10"/>
      <c r="C76" s="15" t="s">
        <v>541</v>
      </c>
      <c r="D76" s="5"/>
      <c r="E76" s="6" t="s">
        <v>283</v>
      </c>
      <c r="F76" s="7">
        <v>98</v>
      </c>
      <c r="G76" s="7">
        <v>98</v>
      </c>
      <c r="H76" s="7">
        <v>98</v>
      </c>
      <c r="I76" s="7">
        <v>12</v>
      </c>
      <c r="J76" s="142">
        <v>14</v>
      </c>
      <c r="K76" s="143">
        <v>16</v>
      </c>
    </row>
    <row r="77" spans="1:12" ht="12.75" customHeight="1">
      <c r="A77" s="10" t="s">
        <v>540</v>
      </c>
      <c r="B77" s="10"/>
      <c r="C77" s="2551" t="s">
        <v>77</v>
      </c>
      <c r="D77" s="5"/>
      <c r="E77" s="6"/>
      <c r="F77" s="7"/>
      <c r="G77" s="40"/>
      <c r="H77" s="7"/>
      <c r="I77" s="7"/>
      <c r="J77" s="142"/>
      <c r="K77" s="143"/>
    </row>
    <row r="78" spans="1:12">
      <c r="A78" s="10" t="s">
        <v>542</v>
      </c>
      <c r="B78" s="10"/>
      <c r="C78" s="2551"/>
      <c r="D78" s="5"/>
      <c r="E78" s="6" t="s">
        <v>456</v>
      </c>
      <c r="F78" s="7">
        <v>99</v>
      </c>
      <c r="G78" s="7">
        <v>99</v>
      </c>
      <c r="H78" s="7">
        <v>99</v>
      </c>
      <c r="I78" s="7">
        <v>99</v>
      </c>
      <c r="J78" s="142">
        <v>99</v>
      </c>
      <c r="K78" s="143">
        <v>99</v>
      </c>
    </row>
    <row r="79" spans="1:12">
      <c r="A79" s="236" t="s">
        <v>76</v>
      </c>
      <c r="B79" s="236"/>
      <c r="C79" s="201" t="s">
        <v>137</v>
      </c>
      <c r="D79" s="133"/>
      <c r="E79" s="153" t="s">
        <v>456</v>
      </c>
      <c r="F79" s="154">
        <v>98</v>
      </c>
      <c r="G79" s="154">
        <v>99</v>
      </c>
      <c r="H79" s="154">
        <v>99</v>
      </c>
      <c r="I79" s="154">
        <v>99</v>
      </c>
      <c r="J79" s="149">
        <v>99</v>
      </c>
      <c r="K79" s="143">
        <v>99</v>
      </c>
    </row>
    <row r="80" spans="1:12">
      <c r="A80" s="2552" t="s">
        <v>113</v>
      </c>
      <c r="B80" s="2553"/>
      <c r="C80" s="2553"/>
      <c r="D80" s="2553"/>
      <c r="E80" s="2553"/>
      <c r="F80" s="2553"/>
      <c r="G80" s="2553"/>
      <c r="H80" s="2553"/>
      <c r="I80" s="2553"/>
      <c r="J80" s="2553"/>
      <c r="K80" s="248"/>
    </row>
    <row r="81" spans="1:11" ht="12.75" customHeight="1">
      <c r="A81" s="2547" t="s">
        <v>735</v>
      </c>
      <c r="B81" s="2548"/>
      <c r="C81" s="2548"/>
      <c r="D81" s="2548"/>
      <c r="E81" s="2548"/>
      <c r="F81" s="2548"/>
      <c r="G81" s="2548"/>
      <c r="H81" s="2548"/>
      <c r="I81" s="2548"/>
      <c r="J81" s="2548"/>
      <c r="K81" s="250"/>
    </row>
    <row r="82" spans="1:11" ht="12.75" customHeight="1">
      <c r="A82" s="2549" t="s">
        <v>210</v>
      </c>
      <c r="B82" s="2550"/>
      <c r="C82" s="2550"/>
      <c r="D82" s="2550"/>
      <c r="E82" s="2550"/>
      <c r="F82" s="2550"/>
      <c r="G82" s="2550"/>
      <c r="H82" s="2550"/>
      <c r="I82" s="2550"/>
      <c r="J82" s="2550"/>
      <c r="K82" s="251"/>
    </row>
    <row r="83" spans="1:11">
      <c r="A83" s="280" t="s">
        <v>627</v>
      </c>
      <c r="B83" s="284"/>
      <c r="C83" s="288" t="s">
        <v>628</v>
      </c>
      <c r="D83" s="289"/>
      <c r="E83" s="292" t="s">
        <v>283</v>
      </c>
      <c r="F83" s="137">
        <v>785</v>
      </c>
      <c r="G83" s="137">
        <v>740</v>
      </c>
      <c r="H83" s="165">
        <v>745</v>
      </c>
      <c r="I83" s="288">
        <v>760</v>
      </c>
      <c r="J83" s="288">
        <v>770</v>
      </c>
      <c r="K83" s="288" t="s">
        <v>760</v>
      </c>
    </row>
    <row r="84" spans="1:11" ht="13.8" thickBot="1">
      <c r="A84" s="280" t="s">
        <v>148</v>
      </c>
      <c r="B84" s="285"/>
      <c r="C84" s="288" t="s">
        <v>171</v>
      </c>
      <c r="D84" s="289"/>
      <c r="E84" s="293" t="s">
        <v>283</v>
      </c>
      <c r="F84" s="281">
        <v>760</v>
      </c>
      <c r="G84" s="291">
        <v>770</v>
      </c>
      <c r="H84" s="294" t="s">
        <v>760</v>
      </c>
      <c r="I84" s="288">
        <v>180</v>
      </c>
      <c r="J84" s="288">
        <v>190</v>
      </c>
      <c r="K84" s="288" t="s">
        <v>761</v>
      </c>
    </row>
    <row r="85" spans="1:11" ht="13.8" thickBot="1">
      <c r="A85" s="280" t="s">
        <v>188</v>
      </c>
      <c r="B85" s="285"/>
      <c r="C85" s="288" t="s">
        <v>189</v>
      </c>
      <c r="D85" s="289"/>
      <c r="E85" s="293" t="s">
        <v>283</v>
      </c>
      <c r="F85" s="281">
        <v>180</v>
      </c>
      <c r="G85" s="291">
        <v>190</v>
      </c>
      <c r="H85" s="294" t="s">
        <v>761</v>
      </c>
      <c r="I85" s="288">
        <v>760</v>
      </c>
      <c r="J85" s="288">
        <v>770</v>
      </c>
      <c r="K85" s="288" t="s">
        <v>760</v>
      </c>
    </row>
    <row r="86" spans="1:11" ht="12.9" customHeight="1" thickBot="1">
      <c r="A86" s="280" t="s">
        <v>190</v>
      </c>
      <c r="B86" s="285"/>
      <c r="C86" s="288" t="s">
        <v>187</v>
      </c>
      <c r="D86" s="289"/>
      <c r="E86" s="293" t="s">
        <v>283</v>
      </c>
      <c r="F86" s="281">
        <v>760</v>
      </c>
      <c r="G86" s="291">
        <v>770</v>
      </c>
      <c r="H86" s="294" t="s">
        <v>760</v>
      </c>
      <c r="I86" s="288">
        <v>890</v>
      </c>
      <c r="J86" s="288">
        <v>890</v>
      </c>
      <c r="K86" s="288" t="s">
        <v>762</v>
      </c>
    </row>
    <row r="87" spans="1:11" ht="13.8" thickBot="1">
      <c r="A87" s="280" t="s">
        <v>478</v>
      </c>
      <c r="B87" s="285"/>
      <c r="C87" s="288" t="s">
        <v>419</v>
      </c>
      <c r="D87" s="289"/>
      <c r="E87" s="293" t="s">
        <v>283</v>
      </c>
      <c r="F87" s="281">
        <v>890</v>
      </c>
      <c r="G87" s="291">
        <v>890</v>
      </c>
      <c r="H87" s="294" t="s">
        <v>762</v>
      </c>
      <c r="I87" s="288">
        <v>200</v>
      </c>
      <c r="J87" s="288">
        <v>200</v>
      </c>
      <c r="K87" s="288" t="s">
        <v>763</v>
      </c>
    </row>
    <row r="88" spans="1:11" ht="13.8" thickBot="1">
      <c r="A88" s="280" t="s">
        <v>138</v>
      </c>
      <c r="B88" s="285"/>
      <c r="C88" s="288" t="s">
        <v>558</v>
      </c>
      <c r="D88" s="289"/>
      <c r="E88" s="293" t="s">
        <v>283</v>
      </c>
      <c r="F88" s="281">
        <v>200</v>
      </c>
      <c r="G88" s="291">
        <v>200</v>
      </c>
      <c r="H88" s="294" t="s">
        <v>763</v>
      </c>
      <c r="I88" s="288">
        <v>17</v>
      </c>
      <c r="J88" s="288">
        <v>15</v>
      </c>
      <c r="K88" s="288">
        <v>15</v>
      </c>
    </row>
    <row r="89" spans="1:11" ht="13.5" customHeight="1" thickBot="1">
      <c r="A89" s="280" t="s">
        <v>139</v>
      </c>
      <c r="B89" s="285"/>
      <c r="C89" s="288" t="s">
        <v>559</v>
      </c>
      <c r="D89" s="289"/>
      <c r="E89" s="293" t="s">
        <v>283</v>
      </c>
      <c r="F89" s="281">
        <v>17</v>
      </c>
      <c r="G89" s="291">
        <v>15</v>
      </c>
      <c r="H89" s="294">
        <v>15</v>
      </c>
      <c r="I89" s="288">
        <v>2200</v>
      </c>
      <c r="J89" s="288">
        <v>2300</v>
      </c>
      <c r="K89" s="288" t="s">
        <v>764</v>
      </c>
    </row>
    <row r="90" spans="1:11" ht="13.8" thickBot="1">
      <c r="A90" s="280" t="s">
        <v>755</v>
      </c>
      <c r="B90" s="285"/>
      <c r="C90" s="288" t="s">
        <v>325</v>
      </c>
      <c r="D90" s="289"/>
      <c r="E90" s="293" t="s">
        <v>283</v>
      </c>
      <c r="F90" s="281">
        <v>2200</v>
      </c>
      <c r="G90" s="291">
        <v>2300</v>
      </c>
      <c r="H90" s="294" t="s">
        <v>764</v>
      </c>
      <c r="I90" s="288">
        <v>200</v>
      </c>
      <c r="J90" s="288">
        <v>300</v>
      </c>
      <c r="K90" s="288">
        <v>500</v>
      </c>
    </row>
    <row r="91" spans="1:11" ht="13.8" thickBot="1">
      <c r="A91" s="280" t="s">
        <v>418</v>
      </c>
      <c r="B91" s="285"/>
      <c r="C91" s="288" t="s">
        <v>327</v>
      </c>
      <c r="D91" s="289"/>
      <c r="E91" s="293" t="s">
        <v>283</v>
      </c>
      <c r="F91" s="281">
        <v>200</v>
      </c>
      <c r="G91" s="291">
        <v>300</v>
      </c>
      <c r="H91" s="294">
        <v>500</v>
      </c>
      <c r="I91" s="288">
        <v>65</v>
      </c>
      <c r="J91" s="288">
        <v>70</v>
      </c>
      <c r="K91" s="288" t="s">
        <v>765</v>
      </c>
    </row>
    <row r="92" spans="1:11" ht="12.75" customHeight="1" thickBot="1">
      <c r="A92" s="280" t="s">
        <v>477</v>
      </c>
      <c r="B92" s="285"/>
      <c r="C92" s="288" t="s">
        <v>517</v>
      </c>
      <c r="D92" s="289"/>
      <c r="E92" s="293" t="s">
        <v>456</v>
      </c>
      <c r="F92" s="281">
        <v>65</v>
      </c>
      <c r="G92" s="291">
        <v>70</v>
      </c>
      <c r="H92" s="294" t="s">
        <v>765</v>
      </c>
      <c r="I92" s="288">
        <v>27</v>
      </c>
      <c r="J92" s="288">
        <v>28</v>
      </c>
      <c r="K92" s="288" t="s">
        <v>766</v>
      </c>
    </row>
    <row r="93" spans="1:11" ht="27" thickBot="1">
      <c r="A93" s="280" t="s">
        <v>756</v>
      </c>
      <c r="B93" s="285"/>
      <c r="C93" s="288" t="s">
        <v>486</v>
      </c>
      <c r="D93" s="289"/>
      <c r="E93" s="293" t="s">
        <v>283</v>
      </c>
      <c r="F93" s="281">
        <v>27</v>
      </c>
      <c r="G93" s="291">
        <v>28</v>
      </c>
      <c r="H93" s="294" t="s">
        <v>766</v>
      </c>
      <c r="I93" s="288">
        <v>90</v>
      </c>
      <c r="J93" s="288">
        <v>95</v>
      </c>
      <c r="K93" s="288" t="s">
        <v>767</v>
      </c>
    </row>
    <row r="94" spans="1:11" ht="16.2" thickBot="1">
      <c r="A94" s="280" t="s">
        <v>326</v>
      </c>
      <c r="B94" s="285"/>
      <c r="C94" s="290"/>
      <c r="D94" s="289"/>
      <c r="E94" s="293" t="s">
        <v>456</v>
      </c>
      <c r="F94" s="281">
        <v>90</v>
      </c>
      <c r="G94" s="291">
        <v>95</v>
      </c>
      <c r="H94" s="294" t="s">
        <v>767</v>
      </c>
      <c r="I94" s="288">
        <v>250</v>
      </c>
      <c r="J94" s="288">
        <v>150</v>
      </c>
      <c r="K94" s="288" t="s">
        <v>768</v>
      </c>
    </row>
    <row r="95" spans="1:11" ht="13.8" thickBot="1">
      <c r="A95" s="280" t="s">
        <v>328</v>
      </c>
      <c r="B95" s="285"/>
      <c r="C95" s="288" t="s">
        <v>382</v>
      </c>
      <c r="D95" s="289"/>
      <c r="E95" s="293" t="s">
        <v>283</v>
      </c>
      <c r="F95" s="281">
        <v>250</v>
      </c>
      <c r="G95" s="291">
        <v>150</v>
      </c>
      <c r="H95" s="294" t="s">
        <v>768</v>
      </c>
      <c r="I95" s="288">
        <v>100</v>
      </c>
      <c r="J95" s="288">
        <v>50</v>
      </c>
      <c r="K95" s="288" t="s">
        <v>769</v>
      </c>
    </row>
    <row r="96" spans="1:11" ht="13.8" thickBot="1">
      <c r="A96" s="280" t="s">
        <v>515</v>
      </c>
      <c r="B96" s="285"/>
      <c r="C96" s="139"/>
      <c r="D96" s="289"/>
      <c r="E96" s="293" t="s">
        <v>283</v>
      </c>
      <c r="F96" s="281">
        <v>100</v>
      </c>
      <c r="G96" s="291">
        <v>50</v>
      </c>
      <c r="H96" s="294" t="s">
        <v>769</v>
      </c>
      <c r="I96" s="288">
        <v>100</v>
      </c>
      <c r="J96" s="288">
        <v>50</v>
      </c>
      <c r="K96" s="288" t="s">
        <v>770</v>
      </c>
    </row>
    <row r="97" spans="1:11" ht="13.8" thickBot="1">
      <c r="A97" s="280" t="s">
        <v>516</v>
      </c>
      <c r="B97" s="286"/>
      <c r="C97" s="139"/>
      <c r="D97" s="289"/>
      <c r="E97" s="293" t="s">
        <v>283</v>
      </c>
      <c r="F97" s="281">
        <v>100</v>
      </c>
      <c r="G97" s="291">
        <v>50</v>
      </c>
      <c r="H97" s="294" t="s">
        <v>770</v>
      </c>
      <c r="I97" s="288">
        <v>50</v>
      </c>
      <c r="J97" s="288">
        <v>30</v>
      </c>
      <c r="K97" s="288" t="s">
        <v>769</v>
      </c>
    </row>
    <row r="98" spans="1:11" ht="27" thickBot="1">
      <c r="A98" s="280" t="s">
        <v>757</v>
      </c>
      <c r="B98" s="285"/>
      <c r="C98" s="288" t="s">
        <v>383</v>
      </c>
      <c r="D98" s="289"/>
      <c r="E98" s="293" t="s">
        <v>283</v>
      </c>
      <c r="F98" s="281">
        <v>50</v>
      </c>
      <c r="G98" s="291">
        <v>30</v>
      </c>
      <c r="H98" s="294" t="s">
        <v>769</v>
      </c>
      <c r="I98" s="288">
        <v>90</v>
      </c>
      <c r="J98" s="288">
        <v>95</v>
      </c>
      <c r="K98" s="288" t="s">
        <v>771</v>
      </c>
    </row>
    <row r="99" spans="1:11" ht="13.8" thickBot="1">
      <c r="A99" s="280" t="s">
        <v>758</v>
      </c>
      <c r="B99" s="287"/>
      <c r="C99" s="288" t="s">
        <v>636</v>
      </c>
      <c r="D99" s="289"/>
      <c r="E99" s="293" t="s">
        <v>456</v>
      </c>
      <c r="F99" s="281">
        <v>90</v>
      </c>
      <c r="G99" s="291">
        <v>95</v>
      </c>
      <c r="H99" s="294" t="s">
        <v>771</v>
      </c>
      <c r="I99" s="288">
        <v>1400</v>
      </c>
      <c r="J99" s="288">
        <v>1500</v>
      </c>
      <c r="K99" s="288" t="s">
        <v>772</v>
      </c>
    </row>
    <row r="100" spans="1:11">
      <c r="A100" s="280" t="s">
        <v>759</v>
      </c>
      <c r="B100" s="287"/>
      <c r="C100" s="288" t="s">
        <v>637</v>
      </c>
      <c r="D100" s="289"/>
      <c r="E100" s="293" t="s">
        <v>568</v>
      </c>
      <c r="F100" s="283">
        <v>1400</v>
      </c>
      <c r="G100" s="282">
        <v>1500</v>
      </c>
      <c r="H100" s="295" t="s">
        <v>772</v>
      </c>
      <c r="I100" s="288">
        <v>500</v>
      </c>
      <c r="J100" s="288">
        <v>600</v>
      </c>
      <c r="K100" s="288">
        <v>650</v>
      </c>
    </row>
    <row r="101" spans="1:11" ht="18.899999999999999" customHeight="1">
      <c r="A101" s="2575" t="s">
        <v>658</v>
      </c>
      <c r="B101" s="2576"/>
      <c r="C101" s="2577"/>
      <c r="D101" s="2577"/>
      <c r="E101" s="2568"/>
      <c r="F101" s="2568"/>
      <c r="G101" s="2568"/>
      <c r="H101" s="2568"/>
      <c r="I101" s="2577"/>
      <c r="J101" s="2577"/>
      <c r="K101" s="296"/>
    </row>
    <row r="102" spans="1:11" ht="12.75" customHeight="1">
      <c r="A102" s="2569" t="s">
        <v>773</v>
      </c>
      <c r="B102" s="297"/>
      <c r="C102" s="2570" t="s">
        <v>557</v>
      </c>
      <c r="D102" s="297"/>
      <c r="E102" s="293" t="s">
        <v>283</v>
      </c>
      <c r="F102" s="299">
        <v>1800</v>
      </c>
      <c r="G102" s="137">
        <v>1750</v>
      </c>
      <c r="H102" s="165">
        <v>1750</v>
      </c>
      <c r="I102" s="288">
        <v>1200</v>
      </c>
      <c r="J102" s="288">
        <v>1200</v>
      </c>
      <c r="K102" s="288" t="s">
        <v>784</v>
      </c>
    </row>
    <row r="103" spans="1:11">
      <c r="A103" s="2569"/>
      <c r="B103" s="297"/>
      <c r="C103" s="2570"/>
      <c r="D103" s="297"/>
      <c r="E103" s="293" t="s">
        <v>456</v>
      </c>
      <c r="F103" s="73">
        <v>6</v>
      </c>
      <c r="G103" s="7">
        <v>7</v>
      </c>
      <c r="H103" s="142">
        <v>7</v>
      </c>
      <c r="I103" s="288">
        <v>7</v>
      </c>
      <c r="J103" s="288">
        <v>8</v>
      </c>
      <c r="K103" s="288" t="s">
        <v>785</v>
      </c>
    </row>
    <row r="104" spans="1:11">
      <c r="A104" s="280" t="s">
        <v>639</v>
      </c>
      <c r="B104" s="297"/>
      <c r="C104" s="288" t="s">
        <v>246</v>
      </c>
      <c r="D104" s="297"/>
      <c r="E104" s="293" t="s">
        <v>283</v>
      </c>
      <c r="F104" s="73">
        <v>45</v>
      </c>
      <c r="G104" s="7">
        <v>50</v>
      </c>
      <c r="H104" s="142">
        <v>50</v>
      </c>
      <c r="I104" s="288">
        <v>6</v>
      </c>
      <c r="J104" s="288">
        <v>8</v>
      </c>
      <c r="K104" s="288" t="s">
        <v>786</v>
      </c>
    </row>
    <row r="105" spans="1:11">
      <c r="A105" s="280" t="s">
        <v>421</v>
      </c>
      <c r="B105" s="297"/>
      <c r="C105" s="288" t="s">
        <v>638</v>
      </c>
      <c r="D105" s="297"/>
      <c r="E105" s="293" t="s">
        <v>283</v>
      </c>
      <c r="F105" s="73">
        <v>750</v>
      </c>
      <c r="G105" s="7">
        <v>800</v>
      </c>
      <c r="H105" s="142">
        <v>900</v>
      </c>
      <c r="I105" s="288">
        <v>100</v>
      </c>
      <c r="J105" s="288">
        <v>100</v>
      </c>
      <c r="K105" s="288" t="s">
        <v>767</v>
      </c>
    </row>
    <row r="106" spans="1:11" ht="26.4">
      <c r="A106" s="280" t="s">
        <v>260</v>
      </c>
      <c r="B106" s="297"/>
      <c r="C106" s="288" t="s">
        <v>640</v>
      </c>
      <c r="D106" s="297"/>
      <c r="E106" s="293" t="s">
        <v>456</v>
      </c>
      <c r="F106" s="73">
        <v>60</v>
      </c>
      <c r="G106" s="7">
        <v>70</v>
      </c>
      <c r="H106" s="142">
        <v>70</v>
      </c>
      <c r="I106" s="288">
        <v>99</v>
      </c>
      <c r="J106" s="288">
        <v>99</v>
      </c>
      <c r="K106" s="288" t="s">
        <v>787</v>
      </c>
    </row>
    <row r="107" spans="1:11">
      <c r="A107" s="280" t="s">
        <v>774</v>
      </c>
      <c r="B107" s="297"/>
      <c r="C107" s="2570" t="s">
        <v>641</v>
      </c>
      <c r="D107" s="297"/>
      <c r="E107" s="293" t="s">
        <v>456</v>
      </c>
      <c r="F107" s="73">
        <v>1450</v>
      </c>
      <c r="G107" s="7">
        <v>1500</v>
      </c>
      <c r="H107" s="142">
        <v>1500</v>
      </c>
      <c r="I107" s="288">
        <v>85</v>
      </c>
      <c r="J107" s="288">
        <v>95</v>
      </c>
      <c r="K107" s="288" t="s">
        <v>771</v>
      </c>
    </row>
    <row r="108" spans="1:11">
      <c r="A108" s="280" t="s">
        <v>775</v>
      </c>
      <c r="B108" s="297"/>
      <c r="C108" s="2570"/>
      <c r="D108" s="297"/>
      <c r="E108" s="300" t="s">
        <v>283</v>
      </c>
      <c r="F108" s="73">
        <v>186</v>
      </c>
      <c r="G108" s="7">
        <v>190</v>
      </c>
      <c r="H108" s="142">
        <v>90</v>
      </c>
      <c r="I108" s="288">
        <v>17</v>
      </c>
      <c r="J108" s="288">
        <v>20</v>
      </c>
      <c r="K108" s="288">
        <v>20</v>
      </c>
    </row>
    <row r="109" spans="1:11">
      <c r="A109" s="280" t="s">
        <v>776</v>
      </c>
      <c r="B109" s="297"/>
      <c r="C109" s="2570"/>
      <c r="D109" s="297"/>
      <c r="E109" s="300" t="s">
        <v>283</v>
      </c>
      <c r="F109" s="73">
        <v>99</v>
      </c>
      <c r="G109" s="7">
        <v>99</v>
      </c>
      <c r="H109" s="142">
        <v>99</v>
      </c>
      <c r="I109" s="288">
        <v>14</v>
      </c>
      <c r="J109" s="288">
        <v>15</v>
      </c>
      <c r="K109" s="288">
        <v>14</v>
      </c>
    </row>
    <row r="110" spans="1:11">
      <c r="A110" s="280" t="s">
        <v>777</v>
      </c>
      <c r="B110" s="297"/>
      <c r="C110" s="2570"/>
      <c r="D110" s="297"/>
      <c r="E110" s="300" t="s">
        <v>283</v>
      </c>
      <c r="F110" s="73">
        <v>30</v>
      </c>
      <c r="G110" s="7">
        <v>25</v>
      </c>
      <c r="H110" s="142">
        <v>32</v>
      </c>
      <c r="I110" s="288">
        <v>0</v>
      </c>
      <c r="J110" s="288">
        <v>0</v>
      </c>
      <c r="K110" s="288">
        <v>1</v>
      </c>
    </row>
    <row r="111" spans="1:11">
      <c r="A111" s="280" t="s">
        <v>778</v>
      </c>
      <c r="B111" s="297"/>
      <c r="C111" s="2573" t="s">
        <v>422</v>
      </c>
      <c r="D111" s="297"/>
      <c r="E111" s="293" t="s">
        <v>456</v>
      </c>
      <c r="F111" s="73">
        <v>40</v>
      </c>
      <c r="G111" s="7">
        <v>50</v>
      </c>
      <c r="H111" s="142">
        <v>50</v>
      </c>
      <c r="I111" s="288">
        <v>91</v>
      </c>
      <c r="J111" s="288">
        <v>93</v>
      </c>
      <c r="K111" s="288" t="s">
        <v>788</v>
      </c>
    </row>
    <row r="112" spans="1:11">
      <c r="A112" s="280" t="s">
        <v>779</v>
      </c>
      <c r="B112" s="297"/>
      <c r="C112" s="2574"/>
      <c r="D112" s="297"/>
      <c r="E112" s="293" t="s">
        <v>283</v>
      </c>
      <c r="F112" s="73">
        <v>7</v>
      </c>
      <c r="G112" s="7">
        <v>8</v>
      </c>
      <c r="H112" s="142">
        <v>8</v>
      </c>
      <c r="I112" s="288">
        <v>55</v>
      </c>
      <c r="J112" s="288">
        <v>53</v>
      </c>
      <c r="K112" s="288" t="s">
        <v>789</v>
      </c>
    </row>
    <row r="113" spans="1:11">
      <c r="A113" s="280" t="s">
        <v>780</v>
      </c>
      <c r="B113" s="297"/>
      <c r="C113" s="2574"/>
      <c r="D113" s="297"/>
      <c r="E113" s="293" t="s">
        <v>283</v>
      </c>
      <c r="F113" s="73">
        <v>7</v>
      </c>
      <c r="G113" s="7">
        <v>7</v>
      </c>
      <c r="H113" s="142">
        <v>7</v>
      </c>
      <c r="I113" s="288">
        <v>155</v>
      </c>
      <c r="J113" s="288">
        <v>157</v>
      </c>
      <c r="K113" s="288" t="s">
        <v>790</v>
      </c>
    </row>
    <row r="114" spans="1:11">
      <c r="A114" s="280" t="s">
        <v>781</v>
      </c>
      <c r="B114" s="297"/>
      <c r="C114" s="2574"/>
      <c r="D114" s="297"/>
      <c r="E114" s="300" t="s">
        <v>283</v>
      </c>
      <c r="F114" s="210">
        <v>5</v>
      </c>
      <c r="G114" s="154">
        <v>5</v>
      </c>
      <c r="H114" s="149">
        <v>7</v>
      </c>
      <c r="I114" s="288">
        <v>185</v>
      </c>
      <c r="J114" s="288">
        <v>187</v>
      </c>
      <c r="K114" s="288">
        <v>189</v>
      </c>
    </row>
    <row r="115" spans="1:11">
      <c r="A115" s="280" t="s">
        <v>792</v>
      </c>
      <c r="B115" s="297"/>
      <c r="C115" s="2574"/>
      <c r="D115" s="297"/>
      <c r="E115" s="300" t="s">
        <v>283</v>
      </c>
      <c r="F115" s="210">
        <v>5</v>
      </c>
      <c r="G115" s="154">
        <v>5</v>
      </c>
      <c r="H115" s="149">
        <v>7</v>
      </c>
      <c r="I115" s="288">
        <v>7</v>
      </c>
      <c r="J115" s="288">
        <v>8</v>
      </c>
      <c r="K115" s="288">
        <v>8</v>
      </c>
    </row>
    <row r="116" spans="1:11" ht="26.4">
      <c r="A116" s="280" t="s">
        <v>782</v>
      </c>
      <c r="B116" s="298"/>
      <c r="C116" s="288" t="s">
        <v>261</v>
      </c>
      <c r="D116" s="297"/>
      <c r="E116" s="300" t="s">
        <v>283</v>
      </c>
      <c r="F116" s="73">
        <v>7</v>
      </c>
      <c r="G116" s="7">
        <v>8</v>
      </c>
      <c r="H116" s="142">
        <v>8</v>
      </c>
      <c r="I116" s="288">
        <v>5</v>
      </c>
      <c r="J116" s="288">
        <v>10</v>
      </c>
      <c r="K116" s="288">
        <v>10</v>
      </c>
    </row>
    <row r="117" spans="1:11" ht="14.25" customHeight="1">
      <c r="A117" s="280" t="s">
        <v>480</v>
      </c>
      <c r="B117" s="298"/>
      <c r="C117" s="288" t="s">
        <v>262</v>
      </c>
      <c r="D117" s="297"/>
      <c r="E117" s="300" t="s">
        <v>283</v>
      </c>
      <c r="F117" s="73">
        <v>7</v>
      </c>
      <c r="G117" s="7">
        <v>7</v>
      </c>
      <c r="H117" s="142">
        <v>7</v>
      </c>
      <c r="I117" s="288">
        <v>5</v>
      </c>
      <c r="J117" s="288">
        <v>5</v>
      </c>
      <c r="K117" s="288" t="s">
        <v>791</v>
      </c>
    </row>
    <row r="118" spans="1:11" ht="26.4">
      <c r="A118" s="280" t="s">
        <v>783</v>
      </c>
      <c r="B118" s="298"/>
      <c r="C118" s="288" t="s">
        <v>642</v>
      </c>
      <c r="D118" s="297"/>
      <c r="E118" s="293" t="s">
        <v>283</v>
      </c>
      <c r="F118" s="210">
        <v>5</v>
      </c>
      <c r="G118" s="154">
        <v>5</v>
      </c>
      <c r="H118" s="149">
        <v>7</v>
      </c>
      <c r="I118" s="288">
        <v>7</v>
      </c>
      <c r="J118" s="288">
        <v>10</v>
      </c>
      <c r="K118" s="288">
        <v>12</v>
      </c>
    </row>
    <row r="119" spans="1:11" ht="12.75" customHeight="1">
      <c r="A119" s="2571" t="s">
        <v>169</v>
      </c>
      <c r="B119" s="2572"/>
      <c r="C119" s="2572"/>
      <c r="D119" s="2572"/>
      <c r="E119" s="2572"/>
      <c r="F119" s="2558"/>
      <c r="G119" s="2558"/>
      <c r="H119" s="2558"/>
      <c r="I119" s="2572"/>
      <c r="J119" s="2572"/>
      <c r="K119" s="301"/>
    </row>
    <row r="120" spans="1:11" ht="12.75" customHeight="1">
      <c r="A120" s="2565" t="s">
        <v>281</v>
      </c>
      <c r="B120" s="2566"/>
      <c r="C120" s="2566"/>
      <c r="D120" s="2566"/>
      <c r="E120" s="2566"/>
      <c r="F120" s="2566"/>
      <c r="G120" s="2566"/>
      <c r="H120" s="2566"/>
      <c r="I120" s="2566"/>
      <c r="J120" s="2566"/>
      <c r="K120" s="206"/>
    </row>
    <row r="121" spans="1:11">
      <c r="A121" s="253" t="s">
        <v>793</v>
      </c>
      <c r="B121" s="148"/>
      <c r="C121" s="222" t="s">
        <v>98</v>
      </c>
      <c r="D121" s="254"/>
      <c r="E121" s="223" t="s">
        <v>456</v>
      </c>
      <c r="F121" s="222">
        <v>65</v>
      </c>
      <c r="G121" s="222">
        <v>62</v>
      </c>
      <c r="H121" s="222">
        <v>30</v>
      </c>
      <c r="I121" s="222">
        <v>30</v>
      </c>
      <c r="J121" s="255">
        <v>30</v>
      </c>
      <c r="K121" s="156">
        <v>30</v>
      </c>
    </row>
    <row r="122" spans="1:11" ht="13.5" customHeight="1">
      <c r="A122" s="2567" t="s">
        <v>719</v>
      </c>
      <c r="B122" s="2568"/>
      <c r="C122" s="2568"/>
      <c r="D122" s="2568"/>
      <c r="E122" s="2568"/>
      <c r="F122" s="2568"/>
      <c r="G122" s="2568"/>
      <c r="H122" s="2568"/>
      <c r="I122" s="2568"/>
      <c r="J122" s="2568"/>
      <c r="K122" s="252"/>
    </row>
    <row r="123" spans="1:11" ht="13.8">
      <c r="A123" s="148" t="s">
        <v>211</v>
      </c>
      <c r="B123" s="256"/>
      <c r="C123" s="257" t="s">
        <v>99</v>
      </c>
      <c r="D123" s="258"/>
      <c r="E123" s="259" t="s">
        <v>283</v>
      </c>
      <c r="F123" s="260">
        <v>28</v>
      </c>
      <c r="G123" s="260">
        <v>28</v>
      </c>
      <c r="H123" s="261">
        <v>14</v>
      </c>
      <c r="I123" s="261">
        <v>15</v>
      </c>
      <c r="J123" s="262">
        <v>17</v>
      </c>
      <c r="K123" s="143">
        <v>20</v>
      </c>
    </row>
    <row r="124" spans="1:11" ht="17.100000000000001" customHeight="1">
      <c r="A124" s="2559" t="s">
        <v>462</v>
      </c>
      <c r="B124" s="2560"/>
      <c r="C124" s="2560"/>
      <c r="D124" s="2560"/>
      <c r="E124" s="2560"/>
      <c r="F124" s="2560"/>
      <c r="G124" s="2560"/>
      <c r="H124" s="2560"/>
      <c r="I124" s="2560"/>
      <c r="J124" s="2560"/>
      <c r="K124" s="232"/>
    </row>
    <row r="125" spans="1:11" ht="12.75" customHeight="1">
      <c r="A125" s="2557" t="s">
        <v>442</v>
      </c>
      <c r="B125" s="2558"/>
      <c r="C125" s="2558"/>
      <c r="D125" s="2558"/>
      <c r="E125" s="2558"/>
      <c r="F125" s="2558"/>
      <c r="G125" s="2558"/>
      <c r="H125" s="2558"/>
      <c r="I125" s="2558"/>
      <c r="J125" s="2558"/>
      <c r="K125" s="205"/>
    </row>
    <row r="126" spans="1:11" ht="12.75" customHeight="1">
      <c r="A126" s="2561" t="s">
        <v>281</v>
      </c>
      <c r="B126" s="2562"/>
      <c r="C126" s="2562"/>
      <c r="D126" s="2562"/>
      <c r="E126" s="2562"/>
      <c r="F126" s="2562"/>
      <c r="G126" s="2562"/>
      <c r="H126" s="2562"/>
      <c r="I126" s="2562"/>
      <c r="J126" s="2562"/>
      <c r="K126" s="234"/>
    </row>
    <row r="127" spans="1:11" ht="15.75" customHeight="1">
      <c r="A127" s="134" t="s">
        <v>443</v>
      </c>
      <c r="B127" s="134"/>
      <c r="C127" s="203" t="s">
        <v>484</v>
      </c>
      <c r="D127" s="135"/>
      <c r="E127" s="136" t="s">
        <v>283</v>
      </c>
      <c r="F127" s="137">
        <v>45</v>
      </c>
      <c r="G127" s="137">
        <v>45</v>
      </c>
      <c r="H127" s="137">
        <v>44</v>
      </c>
      <c r="I127" s="137">
        <v>45</v>
      </c>
      <c r="J127" s="165">
        <v>45</v>
      </c>
      <c r="K127" s="143">
        <v>45</v>
      </c>
    </row>
    <row r="128" spans="1:11" ht="15.75" customHeight="1">
      <c r="A128" s="8" t="s">
        <v>826</v>
      </c>
      <c r="B128" s="8"/>
      <c r="C128" s="15" t="s">
        <v>309</v>
      </c>
      <c r="D128" s="5"/>
      <c r="E128" s="6" t="s">
        <v>283</v>
      </c>
      <c r="F128" s="7"/>
      <c r="G128" s="7"/>
      <c r="H128" s="7">
        <v>3000</v>
      </c>
      <c r="I128" s="7">
        <v>3000</v>
      </c>
      <c r="J128" s="142">
        <v>3000</v>
      </c>
      <c r="K128" s="143">
        <v>3000</v>
      </c>
    </row>
    <row r="129" spans="1:11">
      <c r="A129" s="2527" t="s">
        <v>113</v>
      </c>
      <c r="B129" s="2527"/>
      <c r="C129" s="2527"/>
      <c r="D129" s="2527"/>
      <c r="E129" s="2527"/>
      <c r="F129" s="2527"/>
      <c r="G129" s="2527"/>
      <c r="H129" s="2527"/>
      <c r="I129" s="2527"/>
      <c r="J129" s="2528"/>
      <c r="K129" s="188"/>
    </row>
    <row r="130" spans="1:11" ht="12.75" customHeight="1">
      <c r="A130" s="2525" t="s">
        <v>400</v>
      </c>
      <c r="B130" s="2525"/>
      <c r="C130" s="2525"/>
      <c r="D130" s="2525"/>
      <c r="E130" s="2525"/>
      <c r="F130" s="2525"/>
      <c r="G130" s="2525"/>
      <c r="H130" s="2525"/>
      <c r="I130" s="2525"/>
      <c r="J130" s="2526"/>
      <c r="K130" s="190"/>
    </row>
    <row r="131" spans="1:11">
      <c r="A131" s="241" t="s">
        <v>594</v>
      </c>
      <c r="B131" s="241"/>
      <c r="C131" s="201" t="s">
        <v>595</v>
      </c>
      <c r="D131" s="133"/>
      <c r="E131" s="153" t="s">
        <v>283</v>
      </c>
      <c r="F131" s="154">
        <v>800</v>
      </c>
      <c r="G131" s="154">
        <v>800</v>
      </c>
      <c r="H131" s="154">
        <v>850</v>
      </c>
      <c r="I131" s="154">
        <v>850</v>
      </c>
      <c r="J131" s="149">
        <v>850</v>
      </c>
      <c r="K131" s="143">
        <v>850</v>
      </c>
    </row>
    <row r="132" spans="1:11" ht="26.4" customHeight="1">
      <c r="A132" s="2563" t="s">
        <v>596</v>
      </c>
      <c r="B132" s="2564"/>
      <c r="C132" s="2564"/>
      <c r="D132" s="2564"/>
      <c r="E132" s="2564"/>
      <c r="F132" s="2564"/>
      <c r="G132" s="2564"/>
      <c r="H132" s="2564"/>
      <c r="I132" s="2564"/>
      <c r="J132" s="2564"/>
      <c r="K132" s="215"/>
    </row>
    <row r="133" spans="1:11" ht="15.75" customHeight="1">
      <c r="A133" s="211" t="s">
        <v>443</v>
      </c>
      <c r="B133" s="211"/>
      <c r="C133" s="203" t="s">
        <v>32</v>
      </c>
      <c r="D133" s="135"/>
      <c r="E133" s="136" t="s">
        <v>283</v>
      </c>
      <c r="F133" s="137">
        <v>45</v>
      </c>
      <c r="G133" s="137">
        <v>45</v>
      </c>
      <c r="H133" s="137">
        <v>44</v>
      </c>
      <c r="I133" s="137">
        <v>45</v>
      </c>
      <c r="J133" s="165">
        <v>45</v>
      </c>
      <c r="K133" s="204">
        <v>45</v>
      </c>
    </row>
    <row r="134" spans="1:11" ht="26.25" customHeight="1">
      <c r="A134" s="30" t="s">
        <v>499</v>
      </c>
      <c r="B134" s="12"/>
      <c r="C134" s="15" t="s">
        <v>586</v>
      </c>
      <c r="D134" s="5"/>
      <c r="E134" s="6" t="s">
        <v>456</v>
      </c>
      <c r="F134" s="7">
        <v>20</v>
      </c>
      <c r="G134" s="7">
        <v>20</v>
      </c>
      <c r="H134" s="7">
        <v>80</v>
      </c>
      <c r="I134" s="7">
        <v>80</v>
      </c>
      <c r="J134" s="142">
        <v>80</v>
      </c>
      <c r="K134" s="143">
        <v>80</v>
      </c>
    </row>
    <row r="135" spans="1:11" ht="16.5" customHeight="1">
      <c r="A135" s="30" t="s">
        <v>537</v>
      </c>
      <c r="B135" s="12"/>
      <c r="C135" s="15" t="s">
        <v>514</v>
      </c>
      <c r="D135" s="5"/>
      <c r="E135" s="6" t="s">
        <v>283</v>
      </c>
      <c r="F135" s="7">
        <v>300</v>
      </c>
      <c r="G135" s="7">
        <v>300</v>
      </c>
      <c r="H135" s="7">
        <v>150</v>
      </c>
      <c r="I135" s="7">
        <v>150</v>
      </c>
      <c r="J135" s="142">
        <v>150</v>
      </c>
      <c r="K135" s="143">
        <v>150</v>
      </c>
    </row>
    <row r="136" spans="1:11">
      <c r="A136" s="12" t="s">
        <v>153</v>
      </c>
      <c r="B136" s="12"/>
      <c r="C136" s="15" t="s">
        <v>154</v>
      </c>
      <c r="D136" s="5"/>
      <c r="E136" s="6" t="s">
        <v>155</v>
      </c>
      <c r="F136" s="7">
        <v>2</v>
      </c>
      <c r="G136" s="7">
        <v>1</v>
      </c>
      <c r="H136" s="7">
        <v>1</v>
      </c>
      <c r="I136" s="7">
        <v>1</v>
      </c>
      <c r="J136" s="142">
        <v>1</v>
      </c>
      <c r="K136" s="143">
        <v>1</v>
      </c>
    </row>
    <row r="137" spans="1:11" ht="15.75" customHeight="1">
      <c r="A137" s="12" t="s">
        <v>156</v>
      </c>
      <c r="B137" s="12"/>
      <c r="C137" s="15" t="s">
        <v>157</v>
      </c>
      <c r="D137" s="5"/>
      <c r="E137" s="6" t="s">
        <v>283</v>
      </c>
      <c r="F137" s="7">
        <v>2</v>
      </c>
      <c r="G137" s="7">
        <v>2</v>
      </c>
      <c r="H137" s="7">
        <v>2</v>
      </c>
      <c r="I137" s="7">
        <v>2</v>
      </c>
      <c r="J137" s="142">
        <v>2</v>
      </c>
      <c r="K137" s="143">
        <v>2</v>
      </c>
    </row>
    <row r="138" spans="1:11" ht="17.25" customHeight="1">
      <c r="A138" s="12" t="s">
        <v>721</v>
      </c>
      <c r="B138" s="12"/>
      <c r="C138" s="15" t="s">
        <v>722</v>
      </c>
      <c r="D138" s="5"/>
      <c r="E138" s="6" t="s">
        <v>283</v>
      </c>
      <c r="F138" s="7">
        <v>50</v>
      </c>
      <c r="G138" s="7">
        <v>50</v>
      </c>
      <c r="H138" s="7">
        <v>50</v>
      </c>
      <c r="I138" s="7">
        <v>50</v>
      </c>
      <c r="J138" s="142">
        <v>50</v>
      </c>
      <c r="K138" s="143">
        <v>50</v>
      </c>
    </row>
    <row r="139" spans="1:11" ht="26.4">
      <c r="A139" s="12" t="s">
        <v>741</v>
      </c>
      <c r="B139" s="12"/>
      <c r="C139" s="15" t="s">
        <v>723</v>
      </c>
      <c r="D139" s="5"/>
      <c r="E139" s="34" t="s">
        <v>283</v>
      </c>
      <c r="F139" s="15" t="s">
        <v>724</v>
      </c>
      <c r="G139" s="4" t="s">
        <v>724</v>
      </c>
      <c r="H139" s="4" t="s">
        <v>742</v>
      </c>
      <c r="I139" s="4" t="s">
        <v>742</v>
      </c>
      <c r="J139" s="167" t="s">
        <v>742</v>
      </c>
      <c r="K139" s="156" t="s">
        <v>742</v>
      </c>
    </row>
    <row r="140" spans="1:11" ht="18.600000000000001" customHeight="1">
      <c r="A140" s="2521" t="s">
        <v>21</v>
      </c>
      <c r="B140" s="2521"/>
      <c r="C140" s="2521"/>
      <c r="D140" s="2521"/>
      <c r="E140" s="2521"/>
      <c r="F140" s="2521"/>
      <c r="G140" s="2521"/>
      <c r="H140" s="2521"/>
      <c r="I140" s="2521"/>
      <c r="J140" s="2522"/>
      <c r="K140" s="186"/>
    </row>
    <row r="141" spans="1:11" ht="12.75" customHeight="1">
      <c r="A141" s="2523" t="s">
        <v>380</v>
      </c>
      <c r="B141" s="2523"/>
      <c r="C141" s="2523"/>
      <c r="D141" s="2523"/>
      <c r="E141" s="2523"/>
      <c r="F141" s="2523"/>
      <c r="G141" s="2523"/>
      <c r="H141" s="2523"/>
      <c r="I141" s="2523"/>
      <c r="J141" s="2524"/>
      <c r="K141" s="187"/>
    </row>
    <row r="142" spans="1:11" ht="12.75" customHeight="1">
      <c r="A142" s="2523" t="s">
        <v>281</v>
      </c>
      <c r="B142" s="2523"/>
      <c r="C142" s="2523"/>
      <c r="D142" s="2523"/>
      <c r="E142" s="2523"/>
      <c r="F142" s="2523"/>
      <c r="G142" s="2523"/>
      <c r="H142" s="2523"/>
      <c r="I142" s="2523"/>
      <c r="J142" s="2524"/>
      <c r="K142" s="187"/>
    </row>
    <row r="143" spans="1:11" ht="14.25" customHeight="1">
      <c r="A143" s="8" t="s">
        <v>381</v>
      </c>
      <c r="B143" s="8"/>
      <c r="C143" s="15" t="s">
        <v>546</v>
      </c>
      <c r="D143" s="5"/>
      <c r="E143" s="6" t="s">
        <v>283</v>
      </c>
      <c r="F143" s="7">
        <v>940</v>
      </c>
      <c r="G143" s="7">
        <v>600</v>
      </c>
      <c r="H143" s="40">
        <v>550</v>
      </c>
      <c r="I143" s="7">
        <v>450</v>
      </c>
      <c r="J143" s="142">
        <v>350</v>
      </c>
      <c r="K143" s="143">
        <v>300</v>
      </c>
    </row>
    <row r="144" spans="1:11">
      <c r="A144" s="10" t="s">
        <v>242</v>
      </c>
      <c r="B144" s="10"/>
      <c r="C144" s="15" t="s">
        <v>547</v>
      </c>
      <c r="D144" s="5"/>
      <c r="E144" s="6" t="s">
        <v>283</v>
      </c>
      <c r="F144" s="7">
        <v>6</v>
      </c>
      <c r="G144" s="7">
        <v>12</v>
      </c>
      <c r="H144" s="7">
        <v>20</v>
      </c>
      <c r="I144" s="7">
        <v>15</v>
      </c>
      <c r="J144" s="142">
        <v>17</v>
      </c>
      <c r="K144" s="143">
        <v>20</v>
      </c>
    </row>
    <row r="145" spans="1:11" ht="16.5" customHeight="1">
      <c r="A145" s="10" t="s">
        <v>794</v>
      </c>
      <c r="B145" s="10"/>
      <c r="C145" s="15" t="s">
        <v>548</v>
      </c>
      <c r="D145" s="5"/>
      <c r="E145" s="6" t="s">
        <v>283</v>
      </c>
      <c r="F145" s="7">
        <v>25</v>
      </c>
      <c r="G145" s="7">
        <v>30</v>
      </c>
      <c r="H145" s="7">
        <v>30</v>
      </c>
      <c r="I145" s="7">
        <v>5</v>
      </c>
      <c r="J145" s="142">
        <v>5</v>
      </c>
      <c r="K145" s="143">
        <v>7</v>
      </c>
    </row>
    <row r="146" spans="1:11" ht="17.25" customHeight="1">
      <c r="A146" s="10" t="s">
        <v>795</v>
      </c>
      <c r="B146" s="10"/>
      <c r="C146" s="15" t="s">
        <v>796</v>
      </c>
      <c r="D146" s="5"/>
      <c r="E146" s="6" t="s">
        <v>456</v>
      </c>
      <c r="F146" s="7">
        <v>25</v>
      </c>
      <c r="G146" s="7">
        <v>30</v>
      </c>
      <c r="H146" s="7">
        <v>30</v>
      </c>
      <c r="I146" s="7">
        <v>40</v>
      </c>
      <c r="J146" s="142">
        <v>45</v>
      </c>
      <c r="K146" s="143">
        <v>50</v>
      </c>
    </row>
    <row r="147" spans="1:11">
      <c r="A147" s="2527" t="s">
        <v>113</v>
      </c>
      <c r="B147" s="2527"/>
      <c r="C147" s="2527"/>
      <c r="D147" s="2527"/>
      <c r="E147" s="2527"/>
      <c r="F147" s="2527"/>
      <c r="G147" s="2527"/>
      <c r="H147" s="2527"/>
      <c r="I147" s="2527"/>
      <c r="J147" s="2528"/>
      <c r="K147" s="188"/>
    </row>
    <row r="148" spans="1:11" ht="12.75" customHeight="1">
      <c r="A148" s="2525" t="s">
        <v>321</v>
      </c>
      <c r="B148" s="2525"/>
      <c r="C148" s="2525"/>
      <c r="D148" s="2525"/>
      <c r="E148" s="2525"/>
      <c r="F148" s="2525"/>
      <c r="G148" s="2525"/>
      <c r="H148" s="2525"/>
      <c r="I148" s="2525"/>
      <c r="J148" s="2526"/>
      <c r="K148" s="190"/>
    </row>
    <row r="149" spans="1:11">
      <c r="A149" s="12" t="s">
        <v>544</v>
      </c>
      <c r="B149" s="12"/>
      <c r="C149" s="15" t="s">
        <v>545</v>
      </c>
      <c r="D149" s="5"/>
      <c r="E149" s="6" t="s">
        <v>283</v>
      </c>
      <c r="F149" s="7">
        <v>2600</v>
      </c>
      <c r="G149" s="7">
        <v>2600</v>
      </c>
      <c r="H149" s="7">
        <v>2700</v>
      </c>
      <c r="I149" s="7">
        <v>2750</v>
      </c>
      <c r="J149" s="142">
        <v>2800</v>
      </c>
      <c r="K149" s="143">
        <v>3000</v>
      </c>
    </row>
    <row r="150" spans="1:11">
      <c r="A150" s="12" t="s">
        <v>244</v>
      </c>
      <c r="B150" s="12"/>
      <c r="C150" s="15" t="s">
        <v>604</v>
      </c>
      <c r="D150" s="5"/>
      <c r="E150" s="6" t="s">
        <v>283</v>
      </c>
      <c r="F150" s="7">
        <v>550</v>
      </c>
      <c r="G150" s="7">
        <v>550</v>
      </c>
      <c r="H150" s="7">
        <v>560</v>
      </c>
      <c r="I150" s="7">
        <v>500</v>
      </c>
      <c r="J150" s="142">
        <v>550</v>
      </c>
      <c r="K150" s="143">
        <v>600</v>
      </c>
    </row>
    <row r="151" spans="1:11" ht="18" customHeight="1">
      <c r="A151" s="12" t="s">
        <v>245</v>
      </c>
      <c r="B151" s="12"/>
      <c r="C151" s="15" t="s">
        <v>97</v>
      </c>
      <c r="D151" s="5"/>
      <c r="E151" s="6" t="s">
        <v>834</v>
      </c>
      <c r="F151" s="7" t="s">
        <v>832</v>
      </c>
      <c r="G151" s="7">
        <v>29</v>
      </c>
      <c r="H151" s="7">
        <v>5.3</v>
      </c>
      <c r="I151" s="7">
        <v>50</v>
      </c>
      <c r="J151" s="142">
        <v>150</v>
      </c>
      <c r="K151" s="143">
        <v>150</v>
      </c>
    </row>
    <row r="152" spans="1:11">
      <c r="A152" s="12" t="s">
        <v>232</v>
      </c>
      <c r="B152" s="12"/>
      <c r="C152" s="15" t="s">
        <v>243</v>
      </c>
      <c r="D152" s="5"/>
      <c r="E152" s="6" t="s">
        <v>833</v>
      </c>
      <c r="F152" s="7">
        <v>49000</v>
      </c>
      <c r="G152" s="7">
        <v>49000</v>
      </c>
      <c r="H152" s="7">
        <v>50000</v>
      </c>
      <c r="I152" s="7">
        <v>50000</v>
      </c>
      <c r="J152" s="142">
        <v>51000</v>
      </c>
      <c r="K152" s="143">
        <v>53000</v>
      </c>
    </row>
    <row r="153" spans="1:11" ht="26.4" customHeight="1">
      <c r="A153" s="2554" t="s">
        <v>508</v>
      </c>
      <c r="B153" s="2554"/>
      <c r="C153" s="2554"/>
      <c r="D153" s="2554"/>
      <c r="E153" s="2554"/>
      <c r="F153" s="2554"/>
      <c r="G153" s="2554"/>
      <c r="H153" s="2554"/>
      <c r="I153" s="2554"/>
      <c r="J153" s="2555"/>
      <c r="K153" s="193"/>
    </row>
    <row r="154" spans="1:11" ht="12.75" customHeight="1">
      <c r="A154" s="2523" t="s">
        <v>281</v>
      </c>
      <c r="B154" s="2523"/>
      <c r="C154" s="2523"/>
      <c r="D154" s="2523"/>
      <c r="E154" s="2523"/>
      <c r="F154" s="2523"/>
      <c r="G154" s="2523"/>
      <c r="H154" s="2523"/>
      <c r="I154" s="2523"/>
      <c r="J154" s="2524"/>
      <c r="K154" s="187"/>
    </row>
    <row r="155" spans="1:11">
      <c r="A155" s="8" t="s">
        <v>233</v>
      </c>
      <c r="B155" s="8"/>
      <c r="C155" s="15" t="s">
        <v>621</v>
      </c>
      <c r="D155" s="5"/>
      <c r="E155" s="6" t="s">
        <v>283</v>
      </c>
      <c r="F155" s="7">
        <v>50</v>
      </c>
      <c r="G155" s="7">
        <v>6</v>
      </c>
      <c r="H155" s="7">
        <v>6</v>
      </c>
      <c r="I155" s="7">
        <v>7</v>
      </c>
      <c r="J155" s="142">
        <v>12</v>
      </c>
      <c r="K155" s="143">
        <v>12</v>
      </c>
    </row>
    <row r="156" spans="1:11">
      <c r="A156" s="8" t="s">
        <v>234</v>
      </c>
      <c r="B156" s="8"/>
      <c r="C156" s="15" t="s">
        <v>58</v>
      </c>
      <c r="D156" s="5"/>
      <c r="E156" s="6" t="s">
        <v>283</v>
      </c>
      <c r="F156" s="7">
        <v>15</v>
      </c>
      <c r="G156" s="7">
        <v>450</v>
      </c>
      <c r="H156" s="7">
        <v>700</v>
      </c>
      <c r="I156" s="7">
        <v>800</v>
      </c>
      <c r="J156" s="142">
        <v>2500</v>
      </c>
      <c r="K156" s="143">
        <v>2500</v>
      </c>
    </row>
    <row r="157" spans="1:11">
      <c r="A157" s="2527" t="s">
        <v>113</v>
      </c>
      <c r="B157" s="2527"/>
      <c r="C157" s="2527"/>
      <c r="D157" s="2527"/>
      <c r="E157" s="2527"/>
      <c r="F157" s="2527"/>
      <c r="G157" s="2527"/>
      <c r="H157" s="2527"/>
      <c r="I157" s="2527"/>
      <c r="J157" s="2528"/>
      <c r="K157" s="188"/>
    </row>
    <row r="158" spans="1:11" ht="12.75" customHeight="1">
      <c r="A158" s="2525" t="s">
        <v>324</v>
      </c>
      <c r="B158" s="2525"/>
      <c r="C158" s="2525"/>
      <c r="D158" s="2525"/>
      <c r="E158" s="2525"/>
      <c r="F158" s="2525"/>
      <c r="G158" s="2525"/>
      <c r="H158" s="2525"/>
      <c r="I158" s="2525"/>
      <c r="J158" s="2526"/>
      <c r="K158" s="190"/>
    </row>
    <row r="159" spans="1:11" ht="12.75" customHeight="1">
      <c r="A159" s="16" t="s">
        <v>847</v>
      </c>
      <c r="B159" s="16"/>
      <c r="C159" s="15" t="s">
        <v>204</v>
      </c>
      <c r="D159" s="17"/>
      <c r="E159" s="6" t="s">
        <v>283</v>
      </c>
      <c r="F159" s="7" t="s">
        <v>205</v>
      </c>
      <c r="G159" s="7">
        <v>50</v>
      </c>
      <c r="H159" s="7">
        <v>55</v>
      </c>
      <c r="I159" s="7">
        <v>150</v>
      </c>
      <c r="J159" s="142">
        <v>140</v>
      </c>
      <c r="K159" s="143">
        <v>120</v>
      </c>
    </row>
    <row r="160" spans="1:11">
      <c r="A160" s="11" t="s">
        <v>848</v>
      </c>
      <c r="B160" s="11"/>
      <c r="C160" s="15" t="s">
        <v>655</v>
      </c>
      <c r="D160" s="5"/>
      <c r="E160" s="6" t="s">
        <v>283</v>
      </c>
      <c r="F160" s="7">
        <v>5</v>
      </c>
      <c r="G160" s="7">
        <v>30</v>
      </c>
      <c r="H160" s="7">
        <v>35</v>
      </c>
      <c r="I160" s="7">
        <v>30</v>
      </c>
      <c r="J160" s="142">
        <v>35</v>
      </c>
      <c r="K160" s="143">
        <v>40</v>
      </c>
    </row>
    <row r="161" spans="1:11">
      <c r="A161" s="12" t="s">
        <v>258</v>
      </c>
      <c r="B161" s="11"/>
      <c r="C161" s="15" t="s">
        <v>128</v>
      </c>
      <c r="D161" s="5"/>
      <c r="E161" s="6" t="s">
        <v>283</v>
      </c>
      <c r="F161" s="7"/>
      <c r="G161" s="7">
        <v>30</v>
      </c>
      <c r="H161" s="7">
        <v>35</v>
      </c>
      <c r="I161" s="7">
        <v>35</v>
      </c>
      <c r="J161" s="142">
        <v>30</v>
      </c>
      <c r="K161" s="143">
        <v>30</v>
      </c>
    </row>
    <row r="162" spans="1:11">
      <c r="A162" s="12" t="s">
        <v>797</v>
      </c>
      <c r="B162" s="11"/>
      <c r="C162" s="15" t="s">
        <v>179</v>
      </c>
      <c r="D162" s="5"/>
      <c r="E162" s="6" t="s">
        <v>834</v>
      </c>
      <c r="F162" s="7"/>
      <c r="G162" s="7">
        <v>25</v>
      </c>
      <c r="H162" s="7">
        <v>26</v>
      </c>
      <c r="I162" s="7">
        <v>18</v>
      </c>
      <c r="J162" s="142">
        <v>20</v>
      </c>
      <c r="K162" s="143">
        <v>20</v>
      </c>
    </row>
    <row r="163" spans="1:11">
      <c r="A163" s="11" t="s">
        <v>178</v>
      </c>
      <c r="B163" s="11"/>
      <c r="C163" s="15" t="s">
        <v>180</v>
      </c>
      <c r="D163" s="5"/>
      <c r="E163" s="6" t="s">
        <v>283</v>
      </c>
      <c r="F163" s="7">
        <v>5</v>
      </c>
      <c r="G163" s="7">
        <v>0</v>
      </c>
      <c r="H163" s="7">
        <v>6</v>
      </c>
      <c r="I163" s="7"/>
      <c r="J163" s="142">
        <v>9</v>
      </c>
      <c r="K163" s="143"/>
    </row>
    <row r="164" spans="1:11" ht="25.35" customHeight="1">
      <c r="A164" s="2525" t="s">
        <v>475</v>
      </c>
      <c r="B164" s="2525"/>
      <c r="C164" s="2525" t="s">
        <v>387</v>
      </c>
      <c r="D164" s="2525"/>
      <c r="E164" s="2525"/>
      <c r="F164" s="2525"/>
      <c r="G164" s="2525"/>
      <c r="H164" s="2525"/>
      <c r="I164" s="2529"/>
      <c r="J164" s="2556"/>
      <c r="K164" s="190"/>
    </row>
    <row r="165" spans="1:11" ht="14.85" customHeight="1">
      <c r="A165" s="12" t="s">
        <v>129</v>
      </c>
      <c r="B165" s="12"/>
      <c r="C165" s="15" t="s">
        <v>130</v>
      </c>
      <c r="D165" s="17"/>
      <c r="E165" s="6" t="s">
        <v>283</v>
      </c>
      <c r="F165" s="7" t="s">
        <v>835</v>
      </c>
      <c r="G165" s="7" t="s">
        <v>835</v>
      </c>
      <c r="H165" s="142">
        <v>18</v>
      </c>
      <c r="I165" s="143">
        <v>18</v>
      </c>
      <c r="J165" s="171">
        <v>20</v>
      </c>
      <c r="K165" s="143">
        <v>23</v>
      </c>
    </row>
    <row r="166" spans="1:11" ht="12.75" customHeight="1">
      <c r="A166" s="12" t="s">
        <v>181</v>
      </c>
      <c r="B166" s="12"/>
      <c r="C166" s="15" t="s">
        <v>131</v>
      </c>
      <c r="D166" s="17"/>
      <c r="E166" s="6" t="s">
        <v>283</v>
      </c>
      <c r="F166" s="7">
        <v>50</v>
      </c>
      <c r="G166" s="7">
        <v>20</v>
      </c>
      <c r="H166" s="142">
        <v>25</v>
      </c>
      <c r="I166" s="143">
        <v>15</v>
      </c>
      <c r="J166" s="171">
        <v>20</v>
      </c>
      <c r="K166" s="143">
        <v>15</v>
      </c>
    </row>
    <row r="167" spans="1:11">
      <c r="A167" s="43" t="s">
        <v>182</v>
      </c>
      <c r="B167" s="12"/>
      <c r="C167" s="15" t="s">
        <v>132</v>
      </c>
      <c r="D167" s="5"/>
      <c r="E167" s="6" t="s">
        <v>283</v>
      </c>
      <c r="F167" s="7">
        <v>17</v>
      </c>
      <c r="G167" s="7">
        <v>25</v>
      </c>
      <c r="H167" s="142">
        <v>25</v>
      </c>
      <c r="I167" s="143">
        <v>25</v>
      </c>
      <c r="J167" s="171">
        <v>25</v>
      </c>
      <c r="K167" s="143">
        <v>25</v>
      </c>
    </row>
    <row r="168" spans="1:11">
      <c r="A168" s="44" t="s">
        <v>183</v>
      </c>
      <c r="B168" s="12"/>
      <c r="C168" s="15" t="s">
        <v>133</v>
      </c>
      <c r="D168" s="5"/>
      <c r="E168" s="6" t="s">
        <v>283</v>
      </c>
      <c r="F168" s="7">
        <v>20</v>
      </c>
      <c r="G168" s="7">
        <v>10</v>
      </c>
      <c r="H168" s="149">
        <v>10</v>
      </c>
      <c r="I168" s="150">
        <v>10</v>
      </c>
      <c r="J168" s="172">
        <v>10</v>
      </c>
      <c r="K168" s="143">
        <v>10</v>
      </c>
    </row>
    <row r="169" spans="1:11">
      <c r="A169" s="148" t="s">
        <v>519</v>
      </c>
      <c r="B169" s="12"/>
      <c r="C169" s="15" t="s">
        <v>134</v>
      </c>
      <c r="D169" s="5"/>
      <c r="E169" s="6" t="s">
        <v>283</v>
      </c>
      <c r="F169" s="7"/>
      <c r="G169" s="142"/>
      <c r="H169" s="143">
        <v>20</v>
      </c>
      <c r="I169" s="143">
        <v>20</v>
      </c>
      <c r="J169" s="171">
        <v>25</v>
      </c>
      <c r="K169" s="143">
        <v>30</v>
      </c>
    </row>
    <row r="170" spans="1:11" ht="21" customHeight="1">
      <c r="A170" s="2521" t="s">
        <v>121</v>
      </c>
      <c r="B170" s="2521"/>
      <c r="C170" s="2521"/>
      <c r="D170" s="2521"/>
      <c r="E170" s="2521"/>
      <c r="F170" s="2521"/>
      <c r="G170" s="2521"/>
      <c r="H170" s="2542"/>
      <c r="I170" s="2542"/>
      <c r="J170" s="2543"/>
      <c r="K170" s="186"/>
    </row>
    <row r="171" spans="1:11" ht="12.75" customHeight="1">
      <c r="A171" s="2523" t="s">
        <v>829</v>
      </c>
      <c r="B171" s="2523"/>
      <c r="C171" s="2523"/>
      <c r="D171" s="2523"/>
      <c r="E171" s="2523"/>
      <c r="F171" s="2523"/>
      <c r="G171" s="2523"/>
      <c r="H171" s="2523"/>
      <c r="I171" s="2523"/>
      <c r="J171" s="2524"/>
      <c r="K171" s="187"/>
    </row>
    <row r="172" spans="1:11" ht="12.75" customHeight="1">
      <c r="A172" s="2523" t="s">
        <v>281</v>
      </c>
      <c r="B172" s="2523"/>
      <c r="C172" s="2523"/>
      <c r="D172" s="2523"/>
      <c r="E172" s="2523"/>
      <c r="F172" s="2523"/>
      <c r="G172" s="2523"/>
      <c r="H172" s="2523"/>
      <c r="I172" s="2523"/>
      <c r="J172" s="2524"/>
      <c r="K172" s="187"/>
    </row>
    <row r="173" spans="1:11" ht="26.4">
      <c r="A173" s="14" t="s">
        <v>191</v>
      </c>
      <c r="B173" s="78"/>
      <c r="C173" s="4" t="s">
        <v>656</v>
      </c>
      <c r="D173" s="33"/>
      <c r="E173" s="34" t="s">
        <v>456</v>
      </c>
      <c r="F173" s="4">
        <v>100</v>
      </c>
      <c r="G173" s="4">
        <v>100</v>
      </c>
      <c r="H173" s="4">
        <v>85</v>
      </c>
      <c r="I173" s="4">
        <v>65</v>
      </c>
      <c r="J173" s="167">
        <v>85</v>
      </c>
      <c r="K173" s="156">
        <v>85</v>
      </c>
    </row>
    <row r="174" spans="1:11">
      <c r="A174" s="2527" t="s">
        <v>113</v>
      </c>
      <c r="B174" s="2527"/>
      <c r="C174" s="2527"/>
      <c r="D174" s="2527"/>
      <c r="E174" s="2527"/>
      <c r="F174" s="2527"/>
      <c r="G174" s="2527"/>
      <c r="H174" s="2527"/>
      <c r="I174" s="2527"/>
      <c r="J174" s="2528"/>
      <c r="K174" s="188"/>
    </row>
    <row r="175" spans="1:11" ht="15" customHeight="1">
      <c r="A175" s="2545" t="s">
        <v>444</v>
      </c>
      <c r="B175" s="2545"/>
      <c r="C175" s="2545"/>
      <c r="D175" s="2545"/>
      <c r="E175" s="2545"/>
      <c r="F175" s="2545"/>
      <c r="G175" s="2545"/>
      <c r="H175" s="2545"/>
      <c r="I175" s="2545"/>
      <c r="J175" s="2546"/>
      <c r="K175" s="194"/>
    </row>
    <row r="176" spans="1:11" ht="12.75" customHeight="1">
      <c r="A176" s="16" t="s">
        <v>86</v>
      </c>
      <c r="B176" s="16"/>
      <c r="C176" s="15" t="s">
        <v>856</v>
      </c>
      <c r="D176" s="5"/>
      <c r="E176" s="6" t="s">
        <v>283</v>
      </c>
      <c r="F176" s="7"/>
      <c r="G176" s="7">
        <v>7</v>
      </c>
      <c r="H176" s="7">
        <v>6</v>
      </c>
      <c r="I176" s="7">
        <v>7</v>
      </c>
      <c r="J176" s="142">
        <v>7</v>
      </c>
      <c r="K176" s="143">
        <v>8</v>
      </c>
    </row>
    <row r="177" spans="1:11" ht="12.75" customHeight="1">
      <c r="A177" s="16" t="s">
        <v>192</v>
      </c>
      <c r="B177" s="16"/>
      <c r="C177" s="15" t="s">
        <v>0</v>
      </c>
      <c r="D177" s="5"/>
      <c r="E177" s="6" t="s">
        <v>283</v>
      </c>
      <c r="F177" s="7"/>
      <c r="G177" s="7"/>
      <c r="H177" s="7">
        <v>18</v>
      </c>
      <c r="I177" s="7">
        <v>18</v>
      </c>
      <c r="J177" s="142">
        <v>18</v>
      </c>
      <c r="K177" s="143">
        <v>19</v>
      </c>
    </row>
    <row r="178" spans="1:11" ht="12.75" customHeight="1">
      <c r="A178" s="16" t="s">
        <v>521</v>
      </c>
      <c r="B178" s="16"/>
      <c r="C178" s="15" t="s">
        <v>522</v>
      </c>
      <c r="D178" s="5"/>
      <c r="E178" s="6" t="s">
        <v>283</v>
      </c>
      <c r="F178" s="7"/>
      <c r="G178" s="7"/>
      <c r="H178" s="7">
        <v>0</v>
      </c>
      <c r="I178" s="7">
        <v>2</v>
      </c>
      <c r="J178" s="142">
        <v>4</v>
      </c>
      <c r="K178" s="143">
        <v>5</v>
      </c>
    </row>
    <row r="179" spans="1:11" ht="12.75" customHeight="1">
      <c r="A179" s="2523" t="s">
        <v>445</v>
      </c>
      <c r="B179" s="2523"/>
      <c r="C179" s="2523"/>
      <c r="D179" s="2523"/>
      <c r="E179" s="2523"/>
      <c r="F179" s="2523"/>
      <c r="G179" s="2523"/>
      <c r="H179" s="2523"/>
      <c r="I179" s="2523"/>
      <c r="J179" s="2524"/>
      <c r="K179" s="187"/>
    </row>
    <row r="180" spans="1:11" ht="12.75" customHeight="1">
      <c r="A180" s="2523" t="s">
        <v>281</v>
      </c>
      <c r="B180" s="2523"/>
      <c r="C180" s="2523"/>
      <c r="D180" s="2523"/>
      <c r="E180" s="2523"/>
      <c r="F180" s="2523"/>
      <c r="G180" s="2523"/>
      <c r="H180" s="2523"/>
      <c r="I180" s="2523"/>
      <c r="J180" s="2524"/>
      <c r="K180" s="187"/>
    </row>
    <row r="181" spans="1:11" ht="12.75" customHeight="1">
      <c r="A181" s="2544" t="s">
        <v>857</v>
      </c>
      <c r="B181" s="8"/>
      <c r="C181" s="15" t="s">
        <v>858</v>
      </c>
      <c r="D181" s="18"/>
      <c r="E181" s="6" t="s">
        <v>283</v>
      </c>
      <c r="F181" s="19">
        <v>2</v>
      </c>
      <c r="G181" s="7">
        <v>3</v>
      </c>
      <c r="H181" s="7">
        <v>3</v>
      </c>
      <c r="I181" s="7">
        <v>2</v>
      </c>
      <c r="J181" s="142">
        <v>2</v>
      </c>
      <c r="K181" s="143">
        <v>3</v>
      </c>
    </row>
    <row r="182" spans="1:11">
      <c r="A182" s="2544"/>
      <c r="B182" s="8"/>
      <c r="C182" s="15" t="s">
        <v>859</v>
      </c>
      <c r="D182" s="5"/>
      <c r="E182" s="6" t="s">
        <v>283</v>
      </c>
      <c r="F182" s="19">
        <v>20</v>
      </c>
      <c r="G182" s="7">
        <v>36</v>
      </c>
      <c r="H182" s="7">
        <v>36</v>
      </c>
      <c r="I182" s="7">
        <v>24</v>
      </c>
      <c r="J182" s="142">
        <v>24</v>
      </c>
      <c r="K182" s="143">
        <v>36</v>
      </c>
    </row>
    <row r="183" spans="1:11">
      <c r="A183" s="2527" t="s">
        <v>113</v>
      </c>
      <c r="B183" s="2527"/>
      <c r="C183" s="2527"/>
      <c r="D183" s="2527"/>
      <c r="E183" s="2527"/>
      <c r="F183" s="2527"/>
      <c r="G183" s="2527"/>
      <c r="H183" s="2527"/>
      <c r="I183" s="2527"/>
      <c r="J183" s="2528"/>
      <c r="K183" s="188"/>
    </row>
    <row r="184" spans="1:11" ht="15.75" customHeight="1">
      <c r="A184" s="2539" t="s">
        <v>263</v>
      </c>
      <c r="B184" s="2539"/>
      <c r="C184" s="2539"/>
      <c r="D184" s="2539"/>
      <c r="E184" s="2539"/>
      <c r="F184" s="2539"/>
      <c r="G184" s="2539"/>
      <c r="H184" s="2539"/>
      <c r="I184" s="2539"/>
      <c r="J184" s="2540"/>
      <c r="K184" s="194"/>
    </row>
    <row r="185" spans="1:11">
      <c r="A185" s="12" t="s">
        <v>800</v>
      </c>
      <c r="B185" s="12"/>
      <c r="C185" s="15" t="s">
        <v>801</v>
      </c>
      <c r="D185" s="5"/>
      <c r="E185" s="6" t="s">
        <v>283</v>
      </c>
      <c r="F185" s="19">
        <v>3</v>
      </c>
      <c r="G185" s="19">
        <v>5</v>
      </c>
      <c r="H185" s="19">
        <v>9</v>
      </c>
      <c r="I185" s="19">
        <v>9</v>
      </c>
      <c r="J185" s="173">
        <v>9</v>
      </c>
      <c r="K185" s="195">
        <v>10</v>
      </c>
    </row>
    <row r="186" spans="1:11" ht="17.25" customHeight="1">
      <c r="A186" s="12" t="s">
        <v>662</v>
      </c>
      <c r="B186" s="12"/>
      <c r="C186" s="15" t="s">
        <v>663</v>
      </c>
      <c r="D186" s="5"/>
      <c r="E186" s="6" t="s">
        <v>283</v>
      </c>
      <c r="F186" s="19">
        <v>2</v>
      </c>
      <c r="G186" s="19">
        <v>2</v>
      </c>
      <c r="H186" s="19">
        <v>1</v>
      </c>
      <c r="I186" s="19">
        <v>0</v>
      </c>
      <c r="J186" s="173">
        <v>0</v>
      </c>
      <c r="K186" s="195">
        <v>0</v>
      </c>
    </row>
    <row r="187" spans="1:11">
      <c r="A187" s="12" t="s">
        <v>51</v>
      </c>
      <c r="B187" s="12"/>
      <c r="C187" s="15" t="s">
        <v>52</v>
      </c>
      <c r="D187" s="5"/>
      <c r="E187" s="6" t="s">
        <v>283</v>
      </c>
      <c r="F187" s="19">
        <v>1</v>
      </c>
      <c r="G187" s="19">
        <v>2</v>
      </c>
      <c r="H187" s="19">
        <v>2</v>
      </c>
      <c r="I187" s="19">
        <v>2</v>
      </c>
      <c r="J187" s="173">
        <v>2</v>
      </c>
      <c r="K187" s="195">
        <v>3</v>
      </c>
    </row>
    <row r="188" spans="1:11" ht="13.8">
      <c r="A188" s="2523" t="s">
        <v>495</v>
      </c>
      <c r="B188" s="2523"/>
      <c r="C188" s="2523"/>
      <c r="D188" s="2523"/>
      <c r="E188" s="2523"/>
      <c r="F188" s="2523"/>
      <c r="G188" s="2523"/>
      <c r="H188" s="2523"/>
      <c r="I188" s="2523"/>
      <c r="J188" s="2524"/>
      <c r="K188" s="187"/>
    </row>
    <row r="189" spans="1:11" ht="13.8">
      <c r="A189" s="2523" t="s">
        <v>281</v>
      </c>
      <c r="B189" s="2523"/>
      <c r="C189" s="2523"/>
      <c r="D189" s="2523"/>
      <c r="E189" s="2523"/>
      <c r="F189" s="2523"/>
      <c r="G189" s="2523"/>
      <c r="H189" s="2523"/>
      <c r="I189" s="2523"/>
      <c r="J189" s="2524"/>
      <c r="K189" s="187"/>
    </row>
    <row r="190" spans="1:11" ht="13.5" customHeight="1">
      <c r="A190" s="14" t="s">
        <v>264</v>
      </c>
      <c r="B190" s="14"/>
      <c r="C190" s="15" t="s">
        <v>446</v>
      </c>
      <c r="D190" s="5"/>
      <c r="E190" s="6" t="s">
        <v>456</v>
      </c>
      <c r="F190" s="25">
        <v>5</v>
      </c>
      <c r="G190" s="41">
        <v>2</v>
      </c>
      <c r="H190" s="41">
        <v>2</v>
      </c>
      <c r="I190" s="41">
        <v>2</v>
      </c>
      <c r="J190" s="174">
        <v>2</v>
      </c>
      <c r="K190" s="277">
        <v>2</v>
      </c>
    </row>
    <row r="191" spans="1:11" ht="26.25" customHeight="1">
      <c r="A191" s="14" t="s">
        <v>830</v>
      </c>
      <c r="B191" s="14"/>
      <c r="C191" s="4" t="s">
        <v>265</v>
      </c>
      <c r="D191" s="33"/>
      <c r="E191" s="6" t="s">
        <v>283</v>
      </c>
      <c r="F191" s="48">
        <v>2</v>
      </c>
      <c r="G191" s="48">
        <v>2</v>
      </c>
      <c r="H191" s="42">
        <v>50</v>
      </c>
      <c r="I191" s="42">
        <v>50</v>
      </c>
      <c r="J191" s="175">
        <v>50</v>
      </c>
      <c r="K191" s="276">
        <v>50</v>
      </c>
    </row>
    <row r="192" spans="1:11" ht="13.5" customHeight="1">
      <c r="A192" s="14" t="s">
        <v>831</v>
      </c>
      <c r="B192" s="14"/>
      <c r="C192" s="15" t="s">
        <v>674</v>
      </c>
      <c r="D192" s="5"/>
      <c r="E192" s="6" t="s">
        <v>456</v>
      </c>
      <c r="F192" s="19"/>
      <c r="G192" s="19">
        <v>100</v>
      </c>
      <c r="H192" s="19">
        <v>100</v>
      </c>
      <c r="I192" s="19">
        <v>100</v>
      </c>
      <c r="J192" s="173">
        <v>100</v>
      </c>
      <c r="K192" s="195">
        <v>100</v>
      </c>
    </row>
    <row r="193" spans="1:11" ht="13.5" customHeight="1">
      <c r="A193" s="14" t="s">
        <v>695</v>
      </c>
      <c r="B193" s="14"/>
      <c r="C193" s="15" t="s">
        <v>696</v>
      </c>
      <c r="D193" s="5"/>
      <c r="E193" s="6" t="s">
        <v>283</v>
      </c>
      <c r="F193" s="19"/>
      <c r="G193" s="19"/>
      <c r="H193" s="19">
        <v>3</v>
      </c>
      <c r="I193" s="19">
        <v>5</v>
      </c>
      <c r="J193" s="173">
        <v>5</v>
      </c>
      <c r="K193" s="195">
        <v>5</v>
      </c>
    </row>
    <row r="194" spans="1:11" ht="13.5" customHeight="1">
      <c r="A194" s="2527" t="s">
        <v>113</v>
      </c>
      <c r="B194" s="2527"/>
      <c r="C194" s="2527"/>
      <c r="D194" s="2527"/>
      <c r="E194" s="2527"/>
      <c r="F194" s="2527"/>
      <c r="G194" s="2527"/>
      <c r="H194" s="2527"/>
      <c r="I194" s="2527"/>
      <c r="J194" s="2528"/>
      <c r="K194" s="188"/>
    </row>
    <row r="195" spans="1:11" ht="13.8">
      <c r="A195" s="2539" t="s">
        <v>437</v>
      </c>
      <c r="B195" s="2539"/>
      <c r="C195" s="2539"/>
      <c r="D195" s="2539"/>
      <c r="E195" s="2539"/>
      <c r="F195" s="2539"/>
      <c r="G195" s="2539"/>
      <c r="H195" s="2539"/>
      <c r="I195" s="2539"/>
      <c r="J195" s="2540"/>
      <c r="K195" s="194"/>
    </row>
    <row r="196" spans="1:11" ht="13.5" customHeight="1">
      <c r="A196" s="12" t="s">
        <v>307</v>
      </c>
      <c r="B196" s="12"/>
      <c r="C196" s="15" t="s">
        <v>493</v>
      </c>
      <c r="D196" s="5"/>
      <c r="E196" s="6" t="s">
        <v>283</v>
      </c>
      <c r="F196" s="19">
        <v>5</v>
      </c>
      <c r="G196" s="19">
        <v>6</v>
      </c>
      <c r="H196" s="19">
        <v>6</v>
      </c>
      <c r="I196" s="19">
        <v>6</v>
      </c>
      <c r="J196" s="173">
        <v>6</v>
      </c>
      <c r="K196" s="195">
        <v>6</v>
      </c>
    </row>
    <row r="197" spans="1:11" ht="13.5" customHeight="1">
      <c r="A197" s="12" t="s">
        <v>39</v>
      </c>
      <c r="B197" s="12"/>
      <c r="C197" s="15" t="s">
        <v>105</v>
      </c>
      <c r="D197" s="5"/>
      <c r="E197" s="6" t="s">
        <v>249</v>
      </c>
      <c r="F197" s="19" t="s">
        <v>65</v>
      </c>
      <c r="G197" s="19" t="s">
        <v>65</v>
      </c>
      <c r="H197" s="19" t="s">
        <v>65</v>
      </c>
      <c r="I197" s="19" t="s">
        <v>65</v>
      </c>
      <c r="J197" s="173" t="s">
        <v>65</v>
      </c>
      <c r="K197" s="195" t="s">
        <v>65</v>
      </c>
    </row>
    <row r="198" spans="1:11" ht="13.8">
      <c r="A198" s="2539" t="s">
        <v>496</v>
      </c>
      <c r="B198" s="2539"/>
      <c r="C198" s="2539"/>
      <c r="D198" s="2539"/>
      <c r="E198" s="2539"/>
      <c r="F198" s="2539"/>
      <c r="G198" s="2539"/>
      <c r="H198" s="2539"/>
      <c r="I198" s="2539"/>
      <c r="J198" s="2540"/>
      <c r="K198" s="194"/>
    </row>
    <row r="199" spans="1:11" ht="15" customHeight="1">
      <c r="A199" s="12" t="s">
        <v>688</v>
      </c>
      <c r="B199" s="12"/>
      <c r="C199" s="15" t="s">
        <v>494</v>
      </c>
      <c r="D199" s="5"/>
      <c r="E199" s="34" t="s">
        <v>283</v>
      </c>
      <c r="F199" s="42">
        <v>85</v>
      </c>
      <c r="G199" s="42">
        <v>80</v>
      </c>
      <c r="H199" s="42">
        <v>10</v>
      </c>
      <c r="I199" s="42">
        <v>10</v>
      </c>
      <c r="J199" s="175">
        <v>10</v>
      </c>
      <c r="K199" s="276">
        <v>10</v>
      </c>
    </row>
    <row r="200" spans="1:11" ht="15" customHeight="1">
      <c r="A200" s="12" t="s">
        <v>43</v>
      </c>
      <c r="B200" s="12"/>
      <c r="C200" s="15" t="s">
        <v>692</v>
      </c>
      <c r="D200" s="5"/>
      <c r="E200" s="34" t="s">
        <v>283</v>
      </c>
      <c r="F200" s="42"/>
      <c r="G200" s="42"/>
      <c r="H200" s="42">
        <v>5</v>
      </c>
      <c r="I200" s="42">
        <v>5</v>
      </c>
      <c r="J200" s="175">
        <v>5</v>
      </c>
      <c r="K200" s="276">
        <v>5</v>
      </c>
    </row>
    <row r="201" spans="1:11" ht="15" customHeight="1">
      <c r="A201" s="12" t="s">
        <v>44</v>
      </c>
      <c r="B201" s="12"/>
      <c r="C201" s="15" t="s">
        <v>693</v>
      </c>
      <c r="D201" s="5"/>
      <c r="E201" s="34" t="s">
        <v>283</v>
      </c>
      <c r="F201" s="42"/>
      <c r="G201" s="42"/>
      <c r="H201" s="42">
        <v>5</v>
      </c>
      <c r="I201" s="42">
        <v>5</v>
      </c>
      <c r="J201" s="175">
        <v>5</v>
      </c>
      <c r="K201" s="276">
        <v>5</v>
      </c>
    </row>
    <row r="202" spans="1:11" ht="41.25" customHeight="1">
      <c r="A202" s="12" t="s">
        <v>691</v>
      </c>
      <c r="B202" s="12"/>
      <c r="C202" s="15" t="s">
        <v>694</v>
      </c>
      <c r="D202" s="5"/>
      <c r="E202" s="34" t="s">
        <v>283</v>
      </c>
      <c r="F202" s="42"/>
      <c r="G202" s="42"/>
      <c r="H202" s="42">
        <v>10</v>
      </c>
      <c r="I202" s="42">
        <v>10</v>
      </c>
      <c r="J202" s="175">
        <v>10</v>
      </c>
      <c r="K202" s="276">
        <v>10</v>
      </c>
    </row>
    <row r="203" spans="1:11" ht="17.850000000000001" customHeight="1">
      <c r="A203" s="2521" t="s">
        <v>53</v>
      </c>
      <c r="B203" s="2521"/>
      <c r="C203" s="2521"/>
      <c r="D203" s="2521"/>
      <c r="E203" s="2521"/>
      <c r="F203" s="2521"/>
      <c r="G203" s="2521"/>
      <c r="H203" s="2521"/>
      <c r="I203" s="2521"/>
      <c r="J203" s="2522"/>
      <c r="K203" s="186"/>
    </row>
    <row r="204" spans="1:11" ht="12.75" customHeight="1">
      <c r="A204" s="2524" t="s">
        <v>54</v>
      </c>
      <c r="B204" s="2541"/>
      <c r="C204" s="2541"/>
      <c r="D204" s="2541"/>
      <c r="E204" s="2541"/>
      <c r="F204" s="2541"/>
      <c r="G204" s="2541"/>
      <c r="H204" s="2541"/>
      <c r="I204" s="2541"/>
      <c r="J204" s="2541"/>
      <c r="K204" s="187"/>
    </row>
    <row r="205" spans="1:11" ht="12.75" customHeight="1">
      <c r="A205" s="2523" t="s">
        <v>281</v>
      </c>
      <c r="B205" s="2523"/>
      <c r="C205" s="2523"/>
      <c r="D205" s="2523"/>
      <c r="E205" s="2523"/>
      <c r="F205" s="2523"/>
      <c r="G205" s="2523"/>
      <c r="H205" s="2523"/>
      <c r="I205" s="2523"/>
      <c r="J205" s="2524"/>
      <c r="K205" s="187"/>
    </row>
    <row r="206" spans="1:11">
      <c r="A206" s="8" t="s">
        <v>55</v>
      </c>
      <c r="B206" s="8"/>
      <c r="C206" s="15" t="s">
        <v>56</v>
      </c>
      <c r="D206" s="5"/>
      <c r="E206" s="9" t="s">
        <v>456</v>
      </c>
      <c r="F206" s="7">
        <v>90</v>
      </c>
      <c r="G206" s="7">
        <v>90</v>
      </c>
      <c r="H206" s="7">
        <v>90</v>
      </c>
      <c r="I206" s="7">
        <v>90</v>
      </c>
      <c r="J206" s="142">
        <v>90</v>
      </c>
      <c r="K206" s="142">
        <v>90</v>
      </c>
    </row>
    <row r="207" spans="1:11" ht="17.25" customHeight="1">
      <c r="A207" s="51" t="s">
        <v>344</v>
      </c>
      <c r="B207" s="132"/>
      <c r="C207" s="15" t="s">
        <v>306</v>
      </c>
      <c r="D207" s="133"/>
      <c r="E207" s="6" t="s">
        <v>283</v>
      </c>
      <c r="F207" s="7">
        <v>110</v>
      </c>
      <c r="G207" s="7">
        <v>83</v>
      </c>
      <c r="H207" s="7">
        <v>103</v>
      </c>
      <c r="I207" s="7">
        <v>100</v>
      </c>
      <c r="J207" s="142">
        <v>100</v>
      </c>
      <c r="K207" s="142">
        <v>100</v>
      </c>
    </row>
    <row r="208" spans="1:11" ht="17.25" customHeight="1">
      <c r="A208" s="51" t="s">
        <v>200</v>
      </c>
      <c r="B208" s="138"/>
      <c r="C208" s="15" t="s">
        <v>199</v>
      </c>
      <c r="D208" s="139"/>
      <c r="E208" s="6" t="s">
        <v>283</v>
      </c>
      <c r="F208" s="7">
        <v>190</v>
      </c>
      <c r="G208" s="7">
        <v>150</v>
      </c>
      <c r="H208" s="7">
        <v>198</v>
      </c>
      <c r="I208" s="7">
        <v>195</v>
      </c>
      <c r="J208" s="142">
        <v>1190</v>
      </c>
      <c r="K208" s="142">
        <v>1190</v>
      </c>
    </row>
    <row r="209" spans="1:11" ht="12" customHeight="1">
      <c r="A209" s="51" t="s">
        <v>452</v>
      </c>
      <c r="B209" s="140"/>
      <c r="C209" s="15" t="s">
        <v>405</v>
      </c>
      <c r="D209" s="141"/>
      <c r="E209" s="6" t="s">
        <v>283</v>
      </c>
      <c r="F209" s="7">
        <v>920</v>
      </c>
      <c r="G209" s="7">
        <v>960</v>
      </c>
      <c r="H209" s="7">
        <v>1000</v>
      </c>
      <c r="I209" s="7">
        <v>1100</v>
      </c>
      <c r="J209" s="142">
        <v>1150</v>
      </c>
      <c r="K209" s="142">
        <v>1150</v>
      </c>
    </row>
    <row r="210" spans="1:11" ht="12" customHeight="1">
      <c r="A210" s="51" t="s">
        <v>678</v>
      </c>
      <c r="B210" s="140"/>
      <c r="C210" s="15" t="s">
        <v>745</v>
      </c>
      <c r="D210" s="141"/>
      <c r="E210" s="6" t="s">
        <v>283</v>
      </c>
      <c r="F210" s="7">
        <v>110</v>
      </c>
      <c r="G210" s="7">
        <v>95</v>
      </c>
      <c r="H210" s="7">
        <v>80</v>
      </c>
      <c r="I210" s="7">
        <v>100</v>
      </c>
      <c r="J210" s="142">
        <v>95</v>
      </c>
      <c r="K210" s="142">
        <v>95</v>
      </c>
    </row>
    <row r="211" spans="1:11" ht="17.25" customHeight="1">
      <c r="A211" s="134" t="s">
        <v>806</v>
      </c>
      <c r="B211" s="134"/>
      <c r="C211" s="15" t="s">
        <v>746</v>
      </c>
      <c r="D211" s="135"/>
      <c r="E211" s="136" t="s">
        <v>283</v>
      </c>
      <c r="F211" s="137">
        <v>4370</v>
      </c>
      <c r="G211" s="137">
        <v>10560</v>
      </c>
      <c r="H211" s="137">
        <v>9000</v>
      </c>
      <c r="I211" s="137">
        <v>10100</v>
      </c>
      <c r="J211" s="165">
        <v>10200</v>
      </c>
      <c r="K211" s="165">
        <v>10200</v>
      </c>
    </row>
    <row r="212" spans="1:11">
      <c r="A212" s="2527" t="s">
        <v>113</v>
      </c>
      <c r="B212" s="2527"/>
      <c r="C212" s="2527"/>
      <c r="D212" s="2527"/>
      <c r="E212" s="2527"/>
      <c r="F212" s="2527"/>
      <c r="G212" s="2527"/>
      <c r="H212" s="2527"/>
      <c r="I212" s="2527"/>
      <c r="J212" s="2528"/>
      <c r="K212" s="188"/>
    </row>
    <row r="213" spans="1:11" ht="12.75" customHeight="1">
      <c r="A213" s="2525" t="s">
        <v>556</v>
      </c>
      <c r="B213" s="2525"/>
      <c r="C213" s="2525"/>
      <c r="D213" s="2525"/>
      <c r="E213" s="2525"/>
      <c r="F213" s="2525"/>
      <c r="G213" s="2525"/>
      <c r="H213" s="2525"/>
      <c r="I213" s="2525"/>
      <c r="J213" s="2526"/>
      <c r="K213" s="190"/>
    </row>
    <row r="214" spans="1:11" ht="12.75" customHeight="1">
      <c r="A214" s="12" t="s">
        <v>271</v>
      </c>
      <c r="B214" s="27"/>
      <c r="C214" s="15" t="s">
        <v>842</v>
      </c>
      <c r="D214" s="27"/>
      <c r="E214" s="6" t="s">
        <v>283</v>
      </c>
      <c r="F214" s="7">
        <v>2</v>
      </c>
      <c r="G214" s="7">
        <v>2</v>
      </c>
      <c r="H214" s="7">
        <v>2</v>
      </c>
      <c r="I214" s="7">
        <v>2</v>
      </c>
      <c r="J214" s="142">
        <v>2</v>
      </c>
      <c r="K214" s="143">
        <v>2</v>
      </c>
    </row>
    <row r="215" spans="1:11" ht="12.75" customHeight="1">
      <c r="A215" s="2525" t="s">
        <v>679</v>
      </c>
      <c r="B215" s="2525"/>
      <c r="C215" s="2525"/>
      <c r="D215" s="2525"/>
      <c r="E215" s="2525"/>
      <c r="F215" s="2525"/>
      <c r="G215" s="2525"/>
      <c r="H215" s="2525"/>
      <c r="I215" s="2525"/>
      <c r="J215" s="2526"/>
      <c r="K215" s="190"/>
    </row>
    <row r="216" spans="1:11">
      <c r="A216" s="12" t="s">
        <v>803</v>
      </c>
      <c r="B216" s="12"/>
      <c r="C216" s="15" t="s">
        <v>680</v>
      </c>
      <c r="D216" s="5"/>
      <c r="E216" s="6" t="s">
        <v>283</v>
      </c>
      <c r="F216" s="7">
        <v>1270</v>
      </c>
      <c r="G216" s="7">
        <v>1089</v>
      </c>
      <c r="H216" s="7">
        <v>1090</v>
      </c>
      <c r="I216" s="7">
        <v>1200</v>
      </c>
      <c r="J216" s="142">
        <v>1300</v>
      </c>
      <c r="K216" s="143">
        <v>1400</v>
      </c>
    </row>
    <row r="217" spans="1:11">
      <c r="A217" s="12" t="s">
        <v>681</v>
      </c>
      <c r="B217" s="12"/>
      <c r="C217" s="15" t="s">
        <v>682</v>
      </c>
      <c r="D217" s="5"/>
      <c r="E217" s="6" t="s">
        <v>283</v>
      </c>
      <c r="F217" s="7">
        <v>77</v>
      </c>
      <c r="G217" s="7">
        <v>56</v>
      </c>
      <c r="H217" s="7">
        <v>58</v>
      </c>
      <c r="I217" s="7">
        <v>40</v>
      </c>
      <c r="J217" s="142">
        <v>45</v>
      </c>
      <c r="K217" s="143">
        <v>50</v>
      </c>
    </row>
    <row r="218" spans="1:11" ht="26.4">
      <c r="A218" s="12" t="s">
        <v>355</v>
      </c>
      <c r="B218" s="12"/>
      <c r="C218" s="15" t="s">
        <v>356</v>
      </c>
      <c r="D218" s="5"/>
      <c r="E218" s="6" t="s">
        <v>283</v>
      </c>
      <c r="F218" s="7">
        <v>5230</v>
      </c>
      <c r="G218" s="7">
        <v>5497</v>
      </c>
      <c r="H218" s="7">
        <v>3000</v>
      </c>
      <c r="I218" s="7">
        <v>2500</v>
      </c>
      <c r="J218" s="142">
        <v>2600</v>
      </c>
      <c r="K218" s="143">
        <v>3000</v>
      </c>
    </row>
    <row r="219" spans="1:11">
      <c r="A219" s="12" t="s">
        <v>313</v>
      </c>
      <c r="B219" s="12"/>
      <c r="C219" s="15" t="s">
        <v>314</v>
      </c>
      <c r="D219" s="5"/>
      <c r="E219" s="6" t="s">
        <v>283</v>
      </c>
      <c r="F219" s="7">
        <v>550</v>
      </c>
      <c r="G219" s="7">
        <v>990</v>
      </c>
      <c r="H219" s="7">
        <v>1500</v>
      </c>
      <c r="I219" s="7">
        <v>1800</v>
      </c>
      <c r="J219" s="142">
        <v>1800</v>
      </c>
      <c r="K219" s="143">
        <v>1800</v>
      </c>
    </row>
    <row r="220" spans="1:11">
      <c r="A220" s="12" t="s">
        <v>275</v>
      </c>
      <c r="B220" s="12"/>
      <c r="C220" s="15" t="s">
        <v>274</v>
      </c>
      <c r="D220" s="5"/>
      <c r="E220" s="6" t="s">
        <v>283</v>
      </c>
      <c r="F220" s="7">
        <v>1800</v>
      </c>
      <c r="G220" s="7">
        <v>1405</v>
      </c>
      <c r="H220" s="7">
        <v>1405</v>
      </c>
      <c r="I220" s="7">
        <v>1300</v>
      </c>
      <c r="J220" s="142">
        <v>1300</v>
      </c>
      <c r="K220" s="143">
        <v>1300</v>
      </c>
    </row>
    <row r="221" spans="1:11">
      <c r="A221" s="12" t="s">
        <v>591</v>
      </c>
      <c r="B221" s="12"/>
      <c r="C221" s="15" t="s">
        <v>276</v>
      </c>
      <c r="D221" s="5"/>
      <c r="E221" s="6" t="s">
        <v>283</v>
      </c>
      <c r="F221" s="7">
        <v>94</v>
      </c>
      <c r="G221" s="7">
        <v>93</v>
      </c>
      <c r="H221" s="7">
        <v>96</v>
      </c>
      <c r="I221" s="7">
        <v>95</v>
      </c>
      <c r="J221" s="142">
        <v>100</v>
      </c>
      <c r="K221" s="143">
        <v>100</v>
      </c>
    </row>
    <row r="222" spans="1:11">
      <c r="A222" s="12" t="s">
        <v>593</v>
      </c>
      <c r="B222" s="12"/>
      <c r="C222" s="15" t="s">
        <v>592</v>
      </c>
      <c r="D222" s="5"/>
      <c r="E222" s="6" t="s">
        <v>283</v>
      </c>
      <c r="F222" s="7">
        <v>900</v>
      </c>
      <c r="G222" s="7">
        <v>610</v>
      </c>
      <c r="H222" s="7">
        <v>584</v>
      </c>
      <c r="I222" s="7">
        <v>540</v>
      </c>
      <c r="J222" s="142">
        <v>500</v>
      </c>
      <c r="K222" s="143">
        <v>500</v>
      </c>
    </row>
    <row r="223" spans="1:11" ht="12.75" customHeight="1">
      <c r="A223" s="2525" t="s">
        <v>235</v>
      </c>
      <c r="B223" s="2525"/>
      <c r="C223" s="2525"/>
      <c r="D223" s="2525"/>
      <c r="E223" s="2525"/>
      <c r="F223" s="2525"/>
      <c r="G223" s="2525"/>
      <c r="H223" s="2525"/>
      <c r="I223" s="2525"/>
      <c r="J223" s="2526"/>
      <c r="K223" s="190"/>
    </row>
    <row r="224" spans="1:11" ht="12.75" customHeight="1">
      <c r="A224" s="11" t="s">
        <v>804</v>
      </c>
      <c r="B224" s="27"/>
      <c r="C224" s="15" t="s">
        <v>820</v>
      </c>
      <c r="D224" s="27"/>
      <c r="E224" s="6" t="s">
        <v>456</v>
      </c>
      <c r="F224" s="7" t="s">
        <v>6</v>
      </c>
      <c r="G224" s="7">
        <v>65</v>
      </c>
      <c r="H224" s="7">
        <v>67</v>
      </c>
      <c r="I224" s="7">
        <v>70</v>
      </c>
      <c r="J224" s="142">
        <v>75</v>
      </c>
      <c r="K224" s="143">
        <v>75</v>
      </c>
    </row>
    <row r="225" spans="1:11" ht="12.75" customHeight="1">
      <c r="A225" s="11" t="s">
        <v>16</v>
      </c>
      <c r="B225" s="27"/>
      <c r="C225" s="15" t="s">
        <v>215</v>
      </c>
      <c r="D225" s="27"/>
      <c r="E225" s="6" t="s">
        <v>283</v>
      </c>
      <c r="F225" s="7"/>
      <c r="G225" s="7"/>
      <c r="H225" s="7">
        <v>1</v>
      </c>
      <c r="I225" s="7">
        <v>0</v>
      </c>
      <c r="J225" s="142">
        <v>0</v>
      </c>
      <c r="K225" s="143">
        <v>0</v>
      </c>
    </row>
    <row r="226" spans="1:11">
      <c r="A226" s="11" t="s">
        <v>819</v>
      </c>
      <c r="B226" s="11"/>
      <c r="C226" s="15" t="s">
        <v>217</v>
      </c>
      <c r="D226" s="5"/>
      <c r="E226" s="6" t="s">
        <v>283</v>
      </c>
      <c r="F226" s="7">
        <v>11</v>
      </c>
      <c r="G226" s="7">
        <v>10</v>
      </c>
      <c r="H226" s="7">
        <v>12</v>
      </c>
      <c r="I226" s="7">
        <v>13</v>
      </c>
      <c r="J226" s="142">
        <v>13</v>
      </c>
      <c r="K226" s="143">
        <v>13</v>
      </c>
    </row>
    <row r="227" spans="1:11">
      <c r="A227" s="11" t="s">
        <v>821</v>
      </c>
      <c r="B227" s="11"/>
      <c r="C227" s="15" t="s">
        <v>805</v>
      </c>
      <c r="D227" s="5"/>
      <c r="E227" s="6" t="s">
        <v>283</v>
      </c>
      <c r="F227" s="7">
        <v>2</v>
      </c>
      <c r="G227" s="7">
        <v>2</v>
      </c>
      <c r="H227" s="7">
        <v>2</v>
      </c>
      <c r="I227" s="7">
        <v>2</v>
      </c>
      <c r="J227" s="142">
        <v>2</v>
      </c>
      <c r="K227" s="143">
        <v>2</v>
      </c>
    </row>
    <row r="228" spans="1:11">
      <c r="A228" s="11" t="s">
        <v>216</v>
      </c>
      <c r="B228" s="11"/>
      <c r="C228" s="15" t="s">
        <v>207</v>
      </c>
      <c r="D228" s="5"/>
      <c r="E228" s="6" t="s">
        <v>283</v>
      </c>
      <c r="F228" s="7">
        <v>0</v>
      </c>
      <c r="G228" s="7">
        <v>0</v>
      </c>
      <c r="H228" s="7">
        <v>4</v>
      </c>
      <c r="I228" s="7">
        <v>5</v>
      </c>
      <c r="J228" s="142">
        <v>5</v>
      </c>
      <c r="K228" s="143">
        <v>5</v>
      </c>
    </row>
    <row r="229" spans="1:11">
      <c r="A229" s="11" t="s">
        <v>738</v>
      </c>
      <c r="B229" s="11"/>
      <c r="C229" s="15" t="s">
        <v>333</v>
      </c>
      <c r="D229" s="5"/>
      <c r="E229" s="6" t="s">
        <v>283</v>
      </c>
      <c r="F229" s="7">
        <v>4</v>
      </c>
      <c r="G229" s="7">
        <v>7</v>
      </c>
      <c r="H229" s="7">
        <v>4</v>
      </c>
      <c r="I229" s="7">
        <v>5</v>
      </c>
      <c r="J229" s="142">
        <v>5</v>
      </c>
      <c r="K229" s="143">
        <v>5</v>
      </c>
    </row>
    <row r="230" spans="1:11">
      <c r="A230" s="11" t="s">
        <v>221</v>
      </c>
      <c r="B230" s="11"/>
      <c r="C230" s="15" t="s">
        <v>222</v>
      </c>
      <c r="D230" s="5"/>
      <c r="E230" s="6" t="s">
        <v>283</v>
      </c>
      <c r="F230" s="7"/>
      <c r="G230" s="7"/>
      <c r="H230" s="7">
        <v>1</v>
      </c>
      <c r="I230" s="7">
        <v>0</v>
      </c>
      <c r="J230" s="142">
        <v>0</v>
      </c>
      <c r="K230" s="143">
        <v>0</v>
      </c>
    </row>
    <row r="231" spans="1:11" ht="26.4">
      <c r="A231" s="12" t="s">
        <v>223</v>
      </c>
      <c r="B231" s="11"/>
      <c r="C231" s="15" t="s">
        <v>523</v>
      </c>
      <c r="D231" s="5"/>
      <c r="E231" s="34" t="s">
        <v>283</v>
      </c>
      <c r="F231" s="4"/>
      <c r="G231" s="4"/>
      <c r="H231" s="4">
        <v>0</v>
      </c>
      <c r="I231" s="4">
        <v>0</v>
      </c>
      <c r="J231" s="167">
        <v>20</v>
      </c>
      <c r="K231" s="156">
        <v>20</v>
      </c>
    </row>
    <row r="232" spans="1:11" ht="12.75" customHeight="1">
      <c r="A232" s="2523" t="s">
        <v>609</v>
      </c>
      <c r="B232" s="2523"/>
      <c r="C232" s="2523"/>
      <c r="D232" s="2523"/>
      <c r="E232" s="2523"/>
      <c r="F232" s="2523"/>
      <c r="G232" s="2523"/>
      <c r="H232" s="2523"/>
      <c r="I232" s="2523"/>
      <c r="J232" s="2524"/>
      <c r="K232" s="187"/>
    </row>
    <row r="233" spans="1:11" ht="12.75" customHeight="1">
      <c r="A233" s="2523" t="s">
        <v>281</v>
      </c>
      <c r="B233" s="2523"/>
      <c r="C233" s="2523"/>
      <c r="D233" s="2523"/>
      <c r="E233" s="2523"/>
      <c r="F233" s="2523"/>
      <c r="G233" s="2523"/>
      <c r="H233" s="2523"/>
      <c r="I233" s="2523"/>
      <c r="J233" s="2524"/>
      <c r="K233" s="187"/>
    </row>
    <row r="234" spans="1:11">
      <c r="A234" s="8" t="s">
        <v>393</v>
      </c>
      <c r="B234" s="8"/>
      <c r="C234" s="15" t="s">
        <v>610</v>
      </c>
      <c r="D234" s="5"/>
      <c r="E234" s="6" t="s">
        <v>283</v>
      </c>
      <c r="F234" s="7">
        <v>4</v>
      </c>
      <c r="G234" s="7">
        <v>5</v>
      </c>
      <c r="H234" s="7">
        <v>2</v>
      </c>
      <c r="I234" s="7">
        <v>4</v>
      </c>
      <c r="J234" s="142">
        <v>4</v>
      </c>
      <c r="K234" s="143">
        <v>4</v>
      </c>
    </row>
    <row r="235" spans="1:11">
      <c r="A235" s="8" t="s">
        <v>412</v>
      </c>
      <c r="B235" s="8"/>
      <c r="C235" s="15" t="s">
        <v>411</v>
      </c>
      <c r="D235" s="5"/>
      <c r="E235" s="6" t="s">
        <v>283</v>
      </c>
      <c r="F235" s="7"/>
      <c r="G235" s="7">
        <v>1</v>
      </c>
      <c r="H235" s="7">
        <v>1</v>
      </c>
      <c r="I235" s="7">
        <v>0</v>
      </c>
      <c r="J235" s="142">
        <v>0</v>
      </c>
      <c r="K235" s="143">
        <v>0</v>
      </c>
    </row>
    <row r="236" spans="1:11">
      <c r="A236" s="8" t="s">
        <v>225</v>
      </c>
      <c r="B236" s="8"/>
      <c r="C236" s="15" t="s">
        <v>394</v>
      </c>
      <c r="D236" s="5"/>
      <c r="E236" s="6" t="s">
        <v>283</v>
      </c>
      <c r="F236" s="7"/>
      <c r="G236" s="7"/>
      <c r="H236" s="7">
        <v>0</v>
      </c>
      <c r="I236" s="7">
        <v>0</v>
      </c>
      <c r="J236" s="142">
        <v>1</v>
      </c>
      <c r="K236" s="143">
        <v>1</v>
      </c>
    </row>
    <row r="237" spans="1:11">
      <c r="A237" s="2527" t="s">
        <v>113</v>
      </c>
      <c r="B237" s="2527"/>
      <c r="C237" s="2527"/>
      <c r="D237" s="2527"/>
      <c r="E237" s="2527"/>
      <c r="F237" s="2527"/>
      <c r="G237" s="2527"/>
      <c r="H237" s="2527"/>
      <c r="I237" s="2527"/>
      <c r="J237" s="2528"/>
      <c r="K237" s="188"/>
    </row>
    <row r="238" spans="1:11" ht="12.75" customHeight="1">
      <c r="A238" s="2525" t="s">
        <v>590</v>
      </c>
      <c r="B238" s="2525"/>
      <c r="C238" s="2525"/>
      <c r="D238" s="2525"/>
      <c r="E238" s="2525"/>
      <c r="F238" s="2525"/>
      <c r="G238" s="2525"/>
      <c r="H238" s="2525"/>
      <c r="I238" s="2525"/>
      <c r="J238" s="2526"/>
      <c r="K238" s="190"/>
    </row>
    <row r="239" spans="1:11" ht="12.75" customHeight="1">
      <c r="A239" s="11" t="s">
        <v>549</v>
      </c>
      <c r="B239" s="11"/>
      <c r="C239" s="15" t="s">
        <v>550</v>
      </c>
      <c r="D239" s="20"/>
      <c r="E239" s="6" t="s">
        <v>283</v>
      </c>
      <c r="F239" s="7" t="s">
        <v>552</v>
      </c>
      <c r="G239" s="7">
        <v>4</v>
      </c>
      <c r="H239" s="7">
        <v>4</v>
      </c>
      <c r="I239" s="7" t="s">
        <v>551</v>
      </c>
      <c r="J239" s="142" t="s">
        <v>551</v>
      </c>
      <c r="K239" s="143" t="s">
        <v>551</v>
      </c>
    </row>
    <row r="240" spans="1:11" ht="12.75" customHeight="1">
      <c r="A240" s="11" t="s">
        <v>286</v>
      </c>
      <c r="B240" s="11"/>
      <c r="C240" s="15" t="s">
        <v>31</v>
      </c>
      <c r="D240" s="20"/>
      <c r="E240" s="6" t="s">
        <v>283</v>
      </c>
      <c r="F240" s="7" t="s">
        <v>552</v>
      </c>
      <c r="G240" s="7">
        <v>15</v>
      </c>
      <c r="H240" s="7">
        <v>19</v>
      </c>
      <c r="I240" s="7">
        <v>40</v>
      </c>
      <c r="J240" s="142">
        <v>45</v>
      </c>
      <c r="K240" s="143">
        <v>50</v>
      </c>
    </row>
    <row r="241" spans="1:11">
      <c r="A241" s="11" t="s">
        <v>30</v>
      </c>
      <c r="B241" s="11"/>
      <c r="C241" s="15" t="s">
        <v>287</v>
      </c>
      <c r="D241" s="5"/>
      <c r="E241" s="6" t="s">
        <v>283</v>
      </c>
      <c r="F241" s="7" t="s">
        <v>552</v>
      </c>
      <c r="G241" s="7" t="s">
        <v>551</v>
      </c>
      <c r="H241" s="7" t="s">
        <v>551</v>
      </c>
      <c r="I241" s="7" t="s">
        <v>551</v>
      </c>
      <c r="J241" s="142" t="s">
        <v>551</v>
      </c>
      <c r="K241" s="143" t="s">
        <v>551</v>
      </c>
    </row>
    <row r="242" spans="1:11">
      <c r="A242" s="11" t="s">
        <v>470</v>
      </c>
      <c r="B242" s="11"/>
      <c r="C242" s="15" t="s">
        <v>737</v>
      </c>
      <c r="D242" s="5"/>
      <c r="E242" s="6" t="s">
        <v>283</v>
      </c>
      <c r="F242" s="7">
        <v>20</v>
      </c>
      <c r="G242" s="7">
        <v>20</v>
      </c>
      <c r="H242" s="7">
        <v>30</v>
      </c>
      <c r="I242" s="7">
        <v>30</v>
      </c>
      <c r="J242" s="142">
        <v>30</v>
      </c>
      <c r="K242" s="143">
        <v>30</v>
      </c>
    </row>
    <row r="243" spans="1:11">
      <c r="A243" s="11" t="s">
        <v>413</v>
      </c>
      <c r="B243" s="11"/>
      <c r="C243" s="15" t="s">
        <v>414</v>
      </c>
      <c r="D243" s="5"/>
      <c r="E243" s="6" t="s">
        <v>283</v>
      </c>
      <c r="F243" s="7"/>
      <c r="G243" s="7">
        <v>60</v>
      </c>
      <c r="H243" s="7">
        <v>65</v>
      </c>
      <c r="I243" s="7">
        <v>80</v>
      </c>
      <c r="J243" s="142">
        <v>90</v>
      </c>
      <c r="K243" s="143">
        <v>100</v>
      </c>
    </row>
    <row r="244" spans="1:11">
      <c r="A244" s="11" t="s">
        <v>221</v>
      </c>
      <c r="B244" s="11"/>
      <c r="C244" s="15" t="s">
        <v>224</v>
      </c>
      <c r="D244" s="5"/>
      <c r="E244" s="6" t="s">
        <v>283</v>
      </c>
      <c r="F244" s="7"/>
      <c r="G244" s="7"/>
      <c r="H244" s="7">
        <v>1</v>
      </c>
      <c r="I244" s="7">
        <v>0</v>
      </c>
      <c r="J244" s="142">
        <v>0</v>
      </c>
      <c r="K244" s="143">
        <v>0</v>
      </c>
    </row>
    <row r="245" spans="1:11" ht="21" customHeight="1">
      <c r="A245" s="2521" t="s">
        <v>149</v>
      </c>
      <c r="B245" s="2521"/>
      <c r="C245" s="2521"/>
      <c r="D245" s="2521"/>
      <c r="E245" s="2521"/>
      <c r="F245" s="2521"/>
      <c r="G245" s="2521"/>
      <c r="H245" s="2521"/>
      <c r="I245" s="2521"/>
      <c r="J245" s="2522"/>
      <c r="K245" s="186"/>
    </row>
    <row r="246" spans="1:11" ht="12.75" customHeight="1">
      <c r="A246" s="2523" t="s">
        <v>730</v>
      </c>
      <c r="B246" s="2523"/>
      <c r="C246" s="2523"/>
      <c r="D246" s="2523"/>
      <c r="E246" s="2523"/>
      <c r="F246" s="2523"/>
      <c r="G246" s="2523"/>
      <c r="H246" s="2523"/>
      <c r="I246" s="2523"/>
      <c r="J246" s="2524"/>
      <c r="K246" s="187"/>
    </row>
    <row r="247" spans="1:11" ht="12.75" customHeight="1">
      <c r="A247" s="2523" t="s">
        <v>281</v>
      </c>
      <c r="B247" s="2523"/>
      <c r="C247" s="2523"/>
      <c r="D247" s="2523"/>
      <c r="E247" s="2523"/>
      <c r="F247" s="2523"/>
      <c r="G247" s="2523"/>
      <c r="H247" s="2523"/>
      <c r="I247" s="2523"/>
      <c r="J247" s="2524"/>
      <c r="K247" s="187"/>
    </row>
    <row r="248" spans="1:11">
      <c r="A248" s="8" t="s">
        <v>512</v>
      </c>
      <c r="B248" s="8"/>
      <c r="C248" s="15" t="s">
        <v>305</v>
      </c>
      <c r="D248" s="5"/>
      <c r="E248" s="9" t="s">
        <v>490</v>
      </c>
      <c r="F248" s="7">
        <v>7</v>
      </c>
      <c r="G248" s="7">
        <v>8.4</v>
      </c>
      <c r="H248" s="7">
        <v>8.5</v>
      </c>
      <c r="I248" s="7">
        <v>8</v>
      </c>
      <c r="J248" s="142">
        <v>7.5</v>
      </c>
      <c r="K248" s="143">
        <v>7.5</v>
      </c>
    </row>
    <row r="249" spans="1:11" ht="26.4">
      <c r="A249" s="8" t="s">
        <v>303</v>
      </c>
      <c r="B249" s="8"/>
      <c r="C249" s="15" t="s">
        <v>288</v>
      </c>
      <c r="D249" s="5"/>
      <c r="E249" s="9" t="s">
        <v>283</v>
      </c>
      <c r="F249" s="7"/>
      <c r="G249" s="7"/>
      <c r="H249" s="7">
        <v>2</v>
      </c>
      <c r="I249" s="7">
        <v>1</v>
      </c>
      <c r="J249" s="142">
        <v>1</v>
      </c>
      <c r="K249" s="143">
        <v>1</v>
      </c>
    </row>
    <row r="250" spans="1:11">
      <c r="A250" s="8" t="s">
        <v>266</v>
      </c>
      <c r="B250" s="8"/>
      <c r="C250" s="15" t="s">
        <v>289</v>
      </c>
      <c r="D250" s="5"/>
      <c r="E250" s="9" t="s">
        <v>283</v>
      </c>
      <c r="F250" s="7">
        <v>0</v>
      </c>
      <c r="G250" s="7">
        <v>0</v>
      </c>
      <c r="H250" s="7">
        <v>0</v>
      </c>
      <c r="I250" s="7">
        <v>0</v>
      </c>
      <c r="J250" s="142">
        <v>1</v>
      </c>
      <c r="K250" s="143">
        <v>1</v>
      </c>
    </row>
    <row r="251" spans="1:11">
      <c r="A251" s="2527" t="s">
        <v>113</v>
      </c>
      <c r="B251" s="2527"/>
      <c r="C251" s="2527"/>
      <c r="D251" s="2527"/>
      <c r="E251" s="2527"/>
      <c r="F251" s="2527"/>
      <c r="G251" s="2527"/>
      <c r="H251" s="2527"/>
      <c r="I251" s="2527"/>
      <c r="J251" s="2528"/>
      <c r="K251" s="188"/>
    </row>
    <row r="252" spans="1:11" ht="12.75" customHeight="1">
      <c r="A252" s="2525" t="s">
        <v>213</v>
      </c>
      <c r="B252" s="2525"/>
      <c r="C252" s="2525"/>
      <c r="D252" s="2525"/>
      <c r="E252" s="2525"/>
      <c r="F252" s="2525"/>
      <c r="G252" s="2525"/>
      <c r="H252" s="2525"/>
      <c r="I252" s="2525"/>
      <c r="J252" s="2526"/>
      <c r="K252" s="190"/>
    </row>
    <row r="253" spans="1:11">
      <c r="A253" s="11" t="s">
        <v>7</v>
      </c>
      <c r="B253" s="11"/>
      <c r="C253" s="15" t="s">
        <v>8</v>
      </c>
      <c r="D253" s="151"/>
      <c r="E253" s="34" t="s">
        <v>283</v>
      </c>
      <c r="F253" s="4">
        <v>21</v>
      </c>
      <c r="G253" s="4">
        <v>12</v>
      </c>
      <c r="H253" s="4">
        <v>11</v>
      </c>
      <c r="I253" s="4">
        <v>11</v>
      </c>
      <c r="J253" s="167">
        <v>11</v>
      </c>
      <c r="K253" s="156">
        <v>11</v>
      </c>
    </row>
    <row r="254" spans="1:11">
      <c r="A254" s="11" t="s">
        <v>454</v>
      </c>
      <c r="B254" s="11"/>
      <c r="C254" s="15" t="s">
        <v>14</v>
      </c>
      <c r="D254" s="151"/>
      <c r="E254" s="34" t="s">
        <v>283</v>
      </c>
      <c r="F254" s="4">
        <v>70</v>
      </c>
      <c r="G254" s="4">
        <v>140</v>
      </c>
      <c r="H254" s="4">
        <v>220</v>
      </c>
      <c r="I254" s="4">
        <v>150</v>
      </c>
      <c r="J254" s="167">
        <v>160</v>
      </c>
      <c r="K254" s="156">
        <v>170</v>
      </c>
    </row>
    <row r="255" spans="1:11">
      <c r="A255" s="11" t="s">
        <v>323</v>
      </c>
      <c r="B255" s="11"/>
      <c r="C255" s="15" t="s">
        <v>15</v>
      </c>
      <c r="D255" s="151"/>
      <c r="E255" s="34" t="s">
        <v>283</v>
      </c>
      <c r="F255" s="4"/>
      <c r="G255" s="4"/>
      <c r="H255" s="4">
        <v>3000</v>
      </c>
      <c r="I255" s="4">
        <v>4000</v>
      </c>
      <c r="J255" s="167">
        <v>4500</v>
      </c>
      <c r="K255" s="156">
        <v>4500</v>
      </c>
    </row>
    <row r="256" spans="1:11">
      <c r="A256" s="11" t="s">
        <v>304</v>
      </c>
      <c r="B256" s="11"/>
      <c r="C256" s="15" t="s">
        <v>267</v>
      </c>
      <c r="D256" s="151"/>
      <c r="E256" s="34" t="s">
        <v>283</v>
      </c>
      <c r="F256" s="4"/>
      <c r="G256" s="4"/>
      <c r="H256" s="4">
        <v>700</v>
      </c>
      <c r="I256" s="4">
        <v>700</v>
      </c>
      <c r="J256" s="167">
        <v>700</v>
      </c>
      <c r="K256" s="156">
        <v>700</v>
      </c>
    </row>
    <row r="257" spans="1:11" ht="26.4">
      <c r="A257" s="12" t="s">
        <v>532</v>
      </c>
      <c r="B257" s="11"/>
      <c r="C257" s="15" t="s">
        <v>17</v>
      </c>
      <c r="D257" s="151"/>
      <c r="E257" s="34" t="s">
        <v>283</v>
      </c>
      <c r="F257" s="4"/>
      <c r="G257" s="4"/>
      <c r="H257" s="4">
        <v>30</v>
      </c>
      <c r="I257" s="4">
        <v>25</v>
      </c>
      <c r="J257" s="167">
        <v>30</v>
      </c>
      <c r="K257" s="156">
        <v>30</v>
      </c>
    </row>
    <row r="258" spans="1:11">
      <c r="A258" s="12" t="s">
        <v>19</v>
      </c>
      <c r="B258" s="11"/>
      <c r="C258" s="15" t="s">
        <v>18</v>
      </c>
      <c r="D258" s="151"/>
      <c r="E258" s="34" t="s">
        <v>283</v>
      </c>
      <c r="F258" s="4"/>
      <c r="G258" s="4"/>
      <c r="H258" s="4">
        <v>1</v>
      </c>
      <c r="I258" s="4">
        <v>0</v>
      </c>
      <c r="J258" s="167">
        <v>1</v>
      </c>
      <c r="K258" s="156">
        <v>1</v>
      </c>
    </row>
    <row r="259" spans="1:11" ht="26.4">
      <c r="A259" s="12" t="s">
        <v>533</v>
      </c>
      <c r="B259" s="11"/>
      <c r="C259" s="15" t="s">
        <v>20</v>
      </c>
      <c r="D259" s="151"/>
      <c r="E259" s="34" t="s">
        <v>283</v>
      </c>
      <c r="F259" s="4"/>
      <c r="G259" s="4"/>
      <c r="H259" s="4">
        <v>30</v>
      </c>
      <c r="I259" s="4">
        <v>17</v>
      </c>
      <c r="J259" s="167">
        <v>20</v>
      </c>
      <c r="K259" s="156">
        <v>23</v>
      </c>
    </row>
    <row r="260" spans="1:11" ht="12.75" customHeight="1">
      <c r="A260" s="2525" t="s">
        <v>9</v>
      </c>
      <c r="B260" s="2525"/>
      <c r="C260" s="2525"/>
      <c r="D260" s="2525"/>
      <c r="E260" s="2525"/>
      <c r="F260" s="2525"/>
      <c r="G260" s="2525"/>
      <c r="H260" s="2525"/>
      <c r="I260" s="2525"/>
      <c r="J260" s="2526"/>
      <c r="K260" s="190"/>
    </row>
    <row r="261" spans="1:11" ht="15" customHeight="1">
      <c r="A261" s="12" t="s">
        <v>193</v>
      </c>
      <c r="B261" s="12"/>
      <c r="C261" s="15" t="s">
        <v>162</v>
      </c>
      <c r="D261" s="5"/>
      <c r="E261" s="6" t="s">
        <v>456</v>
      </c>
      <c r="F261" s="7">
        <v>3500</v>
      </c>
      <c r="G261" s="7">
        <v>2400</v>
      </c>
      <c r="H261" s="7">
        <v>100</v>
      </c>
      <c r="I261" s="7">
        <v>100</v>
      </c>
      <c r="J261" s="142">
        <v>100</v>
      </c>
      <c r="K261" s="143">
        <v>100</v>
      </c>
    </row>
    <row r="262" spans="1:11" ht="15" customHeight="1">
      <c r="A262" s="12" t="s">
        <v>194</v>
      </c>
      <c r="B262" s="12"/>
      <c r="C262" s="15" t="s">
        <v>351</v>
      </c>
      <c r="D262" s="5"/>
      <c r="E262" s="6" t="s">
        <v>283</v>
      </c>
      <c r="F262" s="7"/>
      <c r="G262" s="7"/>
      <c r="H262" s="7">
        <v>3800</v>
      </c>
      <c r="I262" s="7">
        <v>3800</v>
      </c>
      <c r="J262" s="142">
        <v>3800</v>
      </c>
      <c r="K262" s="143">
        <v>3800</v>
      </c>
    </row>
    <row r="263" spans="1:11" ht="15" customHeight="1">
      <c r="A263" s="12" t="s">
        <v>195</v>
      </c>
      <c r="B263" s="12"/>
      <c r="C263" s="15" t="s">
        <v>196</v>
      </c>
      <c r="D263" s="5"/>
      <c r="E263" s="6" t="s">
        <v>283</v>
      </c>
      <c r="F263" s="7"/>
      <c r="G263" s="7"/>
      <c r="H263" s="7">
        <v>350</v>
      </c>
      <c r="I263" s="7">
        <v>250</v>
      </c>
      <c r="J263" s="142">
        <v>300</v>
      </c>
      <c r="K263" s="143">
        <v>350</v>
      </c>
    </row>
    <row r="264" spans="1:11" ht="27" customHeight="1">
      <c r="A264" s="12" t="s">
        <v>268</v>
      </c>
      <c r="B264" s="12"/>
      <c r="C264" s="15" t="s">
        <v>197</v>
      </c>
      <c r="D264" s="5"/>
      <c r="E264" s="34" t="s">
        <v>283</v>
      </c>
      <c r="F264" s="4"/>
      <c r="G264" s="4"/>
      <c r="H264" s="4">
        <v>5500</v>
      </c>
      <c r="I264" s="4">
        <v>6000</v>
      </c>
      <c r="J264" s="167">
        <v>6000</v>
      </c>
      <c r="K264" s="156">
        <v>6000</v>
      </c>
    </row>
    <row r="265" spans="1:11" ht="15" customHeight="1">
      <c r="A265" s="12" t="s">
        <v>481</v>
      </c>
      <c r="B265" s="12"/>
      <c r="C265" s="15" t="s">
        <v>198</v>
      </c>
      <c r="D265" s="5"/>
      <c r="E265" s="6" t="s">
        <v>456</v>
      </c>
      <c r="F265" s="7"/>
      <c r="G265" s="7">
        <v>80</v>
      </c>
      <c r="H265" s="7">
        <v>90</v>
      </c>
      <c r="I265" s="7">
        <v>90</v>
      </c>
      <c r="J265" s="142">
        <v>90</v>
      </c>
      <c r="K265" s="143">
        <v>90</v>
      </c>
    </row>
    <row r="266" spans="1:11" ht="12.75" customHeight="1">
      <c r="A266" s="2525" t="s">
        <v>660</v>
      </c>
      <c r="B266" s="2525"/>
      <c r="C266" s="2525"/>
      <c r="D266" s="2525"/>
      <c r="E266" s="2525"/>
      <c r="F266" s="2525"/>
      <c r="G266" s="2525"/>
      <c r="H266" s="2525"/>
      <c r="I266" s="2525"/>
      <c r="J266" s="2526"/>
      <c r="K266" s="190"/>
    </row>
    <row r="267" spans="1:11" s="21" customFormat="1" ht="13.5" customHeight="1">
      <c r="A267" s="12" t="s">
        <v>25</v>
      </c>
      <c r="B267" s="12"/>
      <c r="C267" s="15" t="s">
        <v>630</v>
      </c>
      <c r="D267" s="5"/>
      <c r="E267" s="6" t="s">
        <v>283</v>
      </c>
      <c r="F267" s="7">
        <v>0</v>
      </c>
      <c r="G267" s="7">
        <v>0</v>
      </c>
      <c r="H267" s="7">
        <v>15</v>
      </c>
      <c r="I267" s="7">
        <v>15</v>
      </c>
      <c r="J267" s="142">
        <v>15</v>
      </c>
      <c r="K267" s="143">
        <v>15</v>
      </c>
    </row>
    <row r="268" spans="1:11" s="21" customFormat="1" ht="25.5" customHeight="1">
      <c r="A268" s="12" t="s">
        <v>345</v>
      </c>
      <c r="B268" s="12"/>
      <c r="C268" s="15" t="s">
        <v>26</v>
      </c>
      <c r="D268" s="5"/>
      <c r="E268" s="6" t="s">
        <v>283</v>
      </c>
      <c r="F268" s="7"/>
      <c r="G268" s="7"/>
      <c r="H268" s="7">
        <v>100</v>
      </c>
      <c r="I268" s="7">
        <v>100</v>
      </c>
      <c r="J268" s="142">
        <v>100</v>
      </c>
      <c r="K268" s="143">
        <v>100</v>
      </c>
    </row>
    <row r="269" spans="1:11" s="21" customFormat="1" ht="15" customHeight="1">
      <c r="A269" s="12" t="s">
        <v>634</v>
      </c>
      <c r="B269" s="12"/>
      <c r="C269" s="15" t="s">
        <v>27</v>
      </c>
      <c r="D269" s="5"/>
      <c r="E269" s="6" t="s">
        <v>283</v>
      </c>
      <c r="F269" s="7"/>
      <c r="G269" s="7"/>
      <c r="H269" s="7">
        <v>8</v>
      </c>
      <c r="I269" s="7">
        <v>0</v>
      </c>
      <c r="J269" s="142">
        <v>0</v>
      </c>
      <c r="K269" s="143">
        <v>0</v>
      </c>
    </row>
    <row r="270" spans="1:11" ht="12.75" customHeight="1">
      <c r="A270" s="2519" t="s">
        <v>535</v>
      </c>
      <c r="B270" s="2519"/>
      <c r="C270" s="2519"/>
      <c r="D270" s="2519"/>
      <c r="E270" s="2519"/>
      <c r="F270" s="2519"/>
      <c r="G270" s="2519"/>
      <c r="H270" s="2519"/>
      <c r="I270" s="2519"/>
      <c r="J270" s="2520"/>
      <c r="K270" s="191"/>
    </row>
    <row r="271" spans="1:11" ht="12.75" customHeight="1">
      <c r="A271" s="2519" t="s">
        <v>698</v>
      </c>
      <c r="B271" s="2519"/>
      <c r="C271" s="2519"/>
      <c r="D271" s="2519"/>
      <c r="E271" s="2519"/>
      <c r="F271" s="2519"/>
      <c r="G271" s="2519"/>
      <c r="H271" s="2519"/>
      <c r="I271" s="2519"/>
      <c r="J271" s="2520"/>
      <c r="K271" s="191"/>
    </row>
    <row r="272" spans="1:11" ht="32.25" customHeight="1">
      <c r="A272" s="14" t="s">
        <v>536</v>
      </c>
      <c r="B272" s="14"/>
      <c r="C272" s="4" t="s">
        <v>670</v>
      </c>
      <c r="D272" s="5"/>
      <c r="E272" s="34" t="s">
        <v>671</v>
      </c>
      <c r="F272" s="32" t="s">
        <v>824</v>
      </c>
      <c r="G272" s="32" t="s">
        <v>744</v>
      </c>
      <c r="H272" s="32" t="s">
        <v>554</v>
      </c>
      <c r="I272" s="32" t="s">
        <v>555</v>
      </c>
      <c r="J272" s="176" t="s">
        <v>555</v>
      </c>
      <c r="K272" s="275" t="s">
        <v>555</v>
      </c>
    </row>
    <row r="273" spans="1:11">
      <c r="A273" s="14" t="s">
        <v>158</v>
      </c>
      <c r="B273" s="14"/>
      <c r="C273" s="4" t="s">
        <v>159</v>
      </c>
      <c r="D273" s="5"/>
      <c r="E273" s="6" t="s">
        <v>456</v>
      </c>
      <c r="F273" s="7">
        <v>85</v>
      </c>
      <c r="G273" s="24">
        <v>85</v>
      </c>
      <c r="H273" s="24">
        <v>90</v>
      </c>
      <c r="I273" s="24">
        <v>90</v>
      </c>
      <c r="J273" s="177">
        <v>90</v>
      </c>
      <c r="K273" s="53">
        <v>90</v>
      </c>
    </row>
    <row r="274" spans="1:11" ht="18" customHeight="1">
      <c r="A274" s="14" t="s">
        <v>841</v>
      </c>
      <c r="B274" s="14"/>
      <c r="C274" s="4" t="s">
        <v>238</v>
      </c>
      <c r="D274" s="5"/>
      <c r="E274" s="6" t="s">
        <v>456</v>
      </c>
      <c r="F274" s="7">
        <v>15</v>
      </c>
      <c r="G274" s="24">
        <v>5</v>
      </c>
      <c r="H274" s="24">
        <v>5</v>
      </c>
      <c r="I274" s="24">
        <v>5</v>
      </c>
      <c r="J274" s="177">
        <v>5</v>
      </c>
      <c r="K274" s="53">
        <v>5</v>
      </c>
    </row>
    <row r="275" spans="1:11" ht="15.75" customHeight="1">
      <c r="A275" s="14" t="s">
        <v>473</v>
      </c>
      <c r="B275" s="14"/>
      <c r="C275" s="4" t="s">
        <v>239</v>
      </c>
      <c r="D275" s="5"/>
      <c r="E275" s="6" t="s">
        <v>283</v>
      </c>
      <c r="F275" s="7">
        <v>17</v>
      </c>
      <c r="G275" s="24">
        <v>14</v>
      </c>
      <c r="H275" s="24">
        <v>13</v>
      </c>
      <c r="I275" s="24">
        <v>12</v>
      </c>
      <c r="J275" s="177">
        <v>14</v>
      </c>
      <c r="K275" s="53">
        <v>14</v>
      </c>
    </row>
    <row r="276" spans="1:11" ht="18.899999999999999" customHeight="1">
      <c r="A276" s="2521" t="s">
        <v>720</v>
      </c>
      <c r="B276" s="2521"/>
      <c r="C276" s="2521"/>
      <c r="D276" s="2521"/>
      <c r="E276" s="2521"/>
      <c r="F276" s="2521"/>
      <c r="G276" s="2521"/>
      <c r="H276" s="2521"/>
      <c r="I276" s="2521"/>
      <c r="J276" s="2522"/>
      <c r="K276" s="186"/>
    </row>
    <row r="277" spans="1:11" ht="12.75" customHeight="1">
      <c r="A277" s="2523" t="s">
        <v>476</v>
      </c>
      <c r="B277" s="2523"/>
      <c r="C277" s="2523"/>
      <c r="D277" s="2523"/>
      <c r="E277" s="2523"/>
      <c r="F277" s="2523"/>
      <c r="G277" s="2523"/>
      <c r="H277" s="2523"/>
      <c r="I277" s="2523"/>
      <c r="J277" s="2524"/>
      <c r="K277" s="187"/>
    </row>
    <row r="278" spans="1:11" ht="12.75" customHeight="1">
      <c r="A278" s="2523" t="s">
        <v>281</v>
      </c>
      <c r="B278" s="2523"/>
      <c r="C278" s="2523"/>
      <c r="D278" s="2523"/>
      <c r="E278" s="2523"/>
      <c r="F278" s="2523"/>
      <c r="G278" s="2523"/>
      <c r="H278" s="2523"/>
      <c r="I278" s="2523"/>
      <c r="J278" s="2524"/>
      <c r="K278" s="187"/>
    </row>
    <row r="279" spans="1:11" ht="18.75" customHeight="1">
      <c r="A279" s="8" t="s">
        <v>657</v>
      </c>
      <c r="B279" s="8"/>
      <c r="C279" s="15" t="s">
        <v>36</v>
      </c>
      <c r="D279" s="5"/>
      <c r="E279" s="6" t="s">
        <v>456</v>
      </c>
      <c r="F279" s="7">
        <v>13</v>
      </c>
      <c r="G279" s="24">
        <v>100</v>
      </c>
      <c r="H279" s="24">
        <v>100</v>
      </c>
      <c r="I279" s="24">
        <v>100</v>
      </c>
      <c r="J279" s="177">
        <v>100</v>
      </c>
      <c r="K279" s="53">
        <v>100</v>
      </c>
    </row>
    <row r="280" spans="1:11">
      <c r="A280" s="8" t="s">
        <v>457</v>
      </c>
      <c r="B280" s="8"/>
      <c r="C280" s="15" t="s">
        <v>458</v>
      </c>
      <c r="D280" s="5"/>
      <c r="E280" s="6" t="s">
        <v>283</v>
      </c>
      <c r="F280" s="7">
        <v>4</v>
      </c>
      <c r="G280" s="24">
        <v>2</v>
      </c>
      <c r="H280" s="24">
        <v>2</v>
      </c>
      <c r="I280" s="24">
        <v>2</v>
      </c>
      <c r="J280" s="177">
        <v>2</v>
      </c>
      <c r="K280" s="53">
        <v>2</v>
      </c>
    </row>
    <row r="281" spans="1:11">
      <c r="A281" s="8" t="s">
        <v>543</v>
      </c>
      <c r="B281" s="8"/>
      <c r="C281" s="15" t="s">
        <v>573</v>
      </c>
      <c r="D281" s="5"/>
      <c r="E281" s="6" t="s">
        <v>283</v>
      </c>
      <c r="F281" s="7"/>
      <c r="G281" s="24"/>
      <c r="H281" s="24">
        <v>1</v>
      </c>
      <c r="I281" s="24">
        <v>5</v>
      </c>
      <c r="J281" s="177">
        <v>5</v>
      </c>
      <c r="K281" s="53">
        <v>5</v>
      </c>
    </row>
    <row r="282" spans="1:11">
      <c r="A282" s="2527" t="s">
        <v>113</v>
      </c>
      <c r="B282" s="2527"/>
      <c r="C282" s="2527"/>
      <c r="D282" s="2527"/>
      <c r="E282" s="2527"/>
      <c r="F282" s="2527"/>
      <c r="G282" s="2527"/>
      <c r="H282" s="2527"/>
      <c r="I282" s="2527"/>
      <c r="J282" s="2528"/>
      <c r="K282" s="188"/>
    </row>
    <row r="283" spans="1:11" ht="12.75" customHeight="1">
      <c r="A283" s="2525" t="s">
        <v>259</v>
      </c>
      <c r="B283" s="2525"/>
      <c r="C283" s="2525"/>
      <c r="D283" s="2525"/>
      <c r="E283" s="2525"/>
      <c r="F283" s="2525"/>
      <c r="G283" s="2525"/>
      <c r="H283" s="2525"/>
      <c r="I283" s="2525"/>
      <c r="J283" s="2526"/>
      <c r="K283" s="190"/>
    </row>
    <row r="284" spans="1:11">
      <c r="A284" s="11" t="s">
        <v>666</v>
      </c>
      <c r="B284" s="11"/>
      <c r="C284" s="15" t="s">
        <v>731</v>
      </c>
      <c r="D284" s="5"/>
      <c r="E284" s="6" t="s">
        <v>456</v>
      </c>
      <c r="F284" s="7">
        <v>95</v>
      </c>
      <c r="G284" s="7">
        <v>99</v>
      </c>
      <c r="H284" s="24">
        <v>99</v>
      </c>
      <c r="I284" s="24">
        <v>99</v>
      </c>
      <c r="J284" s="177">
        <v>99</v>
      </c>
      <c r="K284" s="53">
        <v>99</v>
      </c>
    </row>
    <row r="285" spans="1:11">
      <c r="A285" s="11" t="s">
        <v>732</v>
      </c>
      <c r="B285" s="11"/>
      <c r="C285" s="15" t="s">
        <v>733</v>
      </c>
      <c r="D285" s="5"/>
      <c r="E285" s="6" t="s">
        <v>734</v>
      </c>
      <c r="F285" s="7">
        <v>70</v>
      </c>
      <c r="G285" s="7">
        <v>70</v>
      </c>
      <c r="H285" s="24">
        <v>350</v>
      </c>
      <c r="I285" s="24">
        <v>350</v>
      </c>
      <c r="J285" s="177">
        <v>350</v>
      </c>
      <c r="K285" s="53">
        <v>350</v>
      </c>
    </row>
    <row r="286" spans="1:11" ht="26.4">
      <c r="A286" s="22" t="s">
        <v>172</v>
      </c>
      <c r="B286" s="22"/>
      <c r="C286" s="15" t="s">
        <v>488</v>
      </c>
      <c r="D286" s="5"/>
      <c r="E286" s="6" t="s">
        <v>456</v>
      </c>
      <c r="F286" s="7">
        <v>80</v>
      </c>
      <c r="G286" s="7">
        <v>85</v>
      </c>
      <c r="H286" s="24">
        <v>85</v>
      </c>
      <c r="I286" s="24">
        <v>85</v>
      </c>
      <c r="J286" s="177">
        <v>85</v>
      </c>
      <c r="K286" s="53">
        <v>85</v>
      </c>
    </row>
    <row r="287" spans="1:11">
      <c r="A287" s="22" t="s">
        <v>101</v>
      </c>
      <c r="B287" s="22"/>
      <c r="C287" s="15" t="s">
        <v>489</v>
      </c>
      <c r="D287" s="5"/>
      <c r="E287" s="6" t="s">
        <v>490</v>
      </c>
      <c r="F287" s="7">
        <v>1</v>
      </c>
      <c r="G287" s="7">
        <v>1</v>
      </c>
      <c r="H287" s="24">
        <v>1</v>
      </c>
      <c r="I287" s="24">
        <v>1</v>
      </c>
      <c r="J287" s="177">
        <v>1</v>
      </c>
      <c r="K287" s="53">
        <v>1</v>
      </c>
    </row>
    <row r="288" spans="1:11">
      <c r="A288" s="22" t="s">
        <v>553</v>
      </c>
      <c r="B288" s="22"/>
      <c r="C288" s="15" t="s">
        <v>589</v>
      </c>
      <c r="D288" s="5"/>
      <c r="E288" s="6" t="s">
        <v>490</v>
      </c>
      <c r="F288" s="7"/>
      <c r="G288" s="7"/>
      <c r="H288" s="24">
        <v>2</v>
      </c>
      <c r="I288" s="24">
        <v>2</v>
      </c>
      <c r="J288" s="177">
        <v>2</v>
      </c>
      <c r="K288" s="53">
        <v>2</v>
      </c>
    </row>
    <row r="289" spans="1:11">
      <c r="A289" s="11" t="s">
        <v>277</v>
      </c>
      <c r="B289" s="11"/>
      <c r="C289" s="15" t="s">
        <v>46</v>
      </c>
      <c r="D289" s="5"/>
      <c r="E289" s="6" t="s">
        <v>283</v>
      </c>
      <c r="F289" s="7">
        <v>75</v>
      </c>
      <c r="G289" s="7">
        <v>80</v>
      </c>
      <c r="H289" s="24">
        <v>80</v>
      </c>
      <c r="I289" s="24">
        <v>80</v>
      </c>
      <c r="J289" s="177">
        <v>80</v>
      </c>
      <c r="K289" s="53">
        <v>80</v>
      </c>
    </row>
    <row r="290" spans="1:11" ht="26.4">
      <c r="A290" s="12" t="s">
        <v>588</v>
      </c>
      <c r="B290" s="11"/>
      <c r="C290" s="15" t="s">
        <v>102</v>
      </c>
      <c r="D290" s="5"/>
      <c r="E290" s="6" t="s">
        <v>490</v>
      </c>
      <c r="F290" s="7"/>
      <c r="G290" s="7"/>
      <c r="H290" s="24">
        <v>1</v>
      </c>
      <c r="I290" s="24">
        <v>0</v>
      </c>
      <c r="J290" s="177">
        <v>0</v>
      </c>
      <c r="K290" s="53">
        <v>0</v>
      </c>
    </row>
    <row r="291" spans="1:11">
      <c r="A291" s="11" t="s">
        <v>597</v>
      </c>
      <c r="B291" s="11"/>
      <c r="C291" s="15" t="s">
        <v>103</v>
      </c>
      <c r="D291" s="5"/>
      <c r="E291" s="6" t="s">
        <v>490</v>
      </c>
      <c r="F291" s="7"/>
      <c r="G291" s="7"/>
      <c r="H291" s="24">
        <v>60</v>
      </c>
      <c r="I291" s="24">
        <v>130</v>
      </c>
      <c r="J291" s="177">
        <v>0</v>
      </c>
      <c r="K291" s="53">
        <v>0</v>
      </c>
    </row>
    <row r="292" spans="1:11">
      <c r="A292" s="11" t="s">
        <v>598</v>
      </c>
      <c r="B292" s="11"/>
      <c r="C292" s="15" t="s">
        <v>526</v>
      </c>
      <c r="D292" s="5"/>
      <c r="E292" s="6" t="s">
        <v>490</v>
      </c>
      <c r="F292" s="7">
        <v>16</v>
      </c>
      <c r="G292" s="7">
        <v>47</v>
      </c>
      <c r="H292" s="24">
        <v>0</v>
      </c>
      <c r="I292" s="24">
        <v>40</v>
      </c>
      <c r="J292" s="177">
        <v>0</v>
      </c>
      <c r="K292" s="53">
        <v>0</v>
      </c>
    </row>
    <row r="293" spans="1:11" ht="12.75" customHeight="1">
      <c r="A293" s="2525" t="s">
        <v>47</v>
      </c>
      <c r="B293" s="2525"/>
      <c r="C293" s="2525"/>
      <c r="D293" s="2525"/>
      <c r="E293" s="2525"/>
      <c r="F293" s="2525"/>
      <c r="G293" s="2525"/>
      <c r="H293" s="2525"/>
      <c r="I293" s="2525"/>
      <c r="J293" s="2526"/>
      <c r="K293" s="190"/>
    </row>
    <row r="294" spans="1:11">
      <c r="A294" s="11" t="s">
        <v>69</v>
      </c>
      <c r="B294" s="11"/>
      <c r="C294" s="15" t="s">
        <v>48</v>
      </c>
      <c r="D294" s="5"/>
      <c r="E294" s="6" t="s">
        <v>49</v>
      </c>
      <c r="F294" s="7">
        <v>53</v>
      </c>
      <c r="G294" s="7">
        <v>53</v>
      </c>
      <c r="H294" s="7">
        <v>53</v>
      </c>
      <c r="I294" s="7">
        <v>53</v>
      </c>
      <c r="J294" s="142">
        <v>53</v>
      </c>
      <c r="K294" s="143">
        <v>53</v>
      </c>
    </row>
    <row r="295" spans="1:11">
      <c r="A295" s="22" t="s">
        <v>70</v>
      </c>
      <c r="B295" s="11"/>
      <c r="C295" s="15" t="s">
        <v>353</v>
      </c>
      <c r="D295" s="5"/>
      <c r="E295" s="6" t="s">
        <v>283</v>
      </c>
      <c r="F295" s="7"/>
      <c r="G295" s="7"/>
      <c r="H295" s="7">
        <v>1</v>
      </c>
      <c r="I295" s="7">
        <v>0</v>
      </c>
      <c r="J295" s="142">
        <v>0</v>
      </c>
      <c r="K295" s="143">
        <v>0</v>
      </c>
    </row>
    <row r="296" spans="1:11">
      <c r="A296" s="22" t="s">
        <v>100</v>
      </c>
      <c r="B296" s="22"/>
      <c r="C296" s="15" t="s">
        <v>104</v>
      </c>
      <c r="D296" s="5"/>
      <c r="E296" s="6" t="s">
        <v>283</v>
      </c>
      <c r="F296" s="7">
        <v>0</v>
      </c>
      <c r="G296" s="7">
        <v>0</v>
      </c>
      <c r="H296" s="7">
        <v>0</v>
      </c>
      <c r="I296" s="7">
        <v>1</v>
      </c>
      <c r="J296" s="142">
        <v>1</v>
      </c>
      <c r="K296" s="143">
        <v>1</v>
      </c>
    </row>
    <row r="297" spans="1:11">
      <c r="A297" s="22" t="s">
        <v>45</v>
      </c>
      <c r="B297" s="22"/>
      <c r="C297" s="15" t="s">
        <v>332</v>
      </c>
      <c r="D297" s="5"/>
      <c r="E297" s="6" t="s">
        <v>283</v>
      </c>
      <c r="F297" s="7">
        <v>0</v>
      </c>
      <c r="G297" s="7">
        <v>0</v>
      </c>
      <c r="H297" s="7">
        <v>0</v>
      </c>
      <c r="I297" s="7">
        <v>1</v>
      </c>
      <c r="J297" s="142">
        <v>1</v>
      </c>
      <c r="K297" s="143">
        <v>1</v>
      </c>
    </row>
    <row r="298" spans="1:11">
      <c r="A298" s="22" t="s">
        <v>91</v>
      </c>
      <c r="B298" s="22"/>
      <c r="C298" s="15" t="s">
        <v>569</v>
      </c>
      <c r="D298" s="5"/>
      <c r="E298" s="6" t="s">
        <v>665</v>
      </c>
      <c r="F298" s="7"/>
      <c r="G298" s="7">
        <v>0</v>
      </c>
      <c r="H298" s="7">
        <v>180</v>
      </c>
      <c r="I298" s="7">
        <v>100</v>
      </c>
      <c r="J298" s="142">
        <v>0</v>
      </c>
      <c r="K298" s="143">
        <v>0</v>
      </c>
    </row>
    <row r="299" spans="1:11">
      <c r="A299" s="22" t="s">
        <v>29</v>
      </c>
      <c r="B299" s="22"/>
      <c r="C299" s="15" t="s">
        <v>570</v>
      </c>
      <c r="D299" s="5"/>
      <c r="E299" s="6" t="s">
        <v>665</v>
      </c>
      <c r="F299" s="7"/>
      <c r="G299" s="7">
        <v>0</v>
      </c>
      <c r="H299" s="7">
        <v>300</v>
      </c>
      <c r="I299" s="7">
        <v>0</v>
      </c>
      <c r="J299" s="142">
        <v>0</v>
      </c>
      <c r="K299" s="143">
        <v>0</v>
      </c>
    </row>
    <row r="300" spans="1:11">
      <c r="A300" s="22" t="s">
        <v>338</v>
      </c>
      <c r="B300" s="22"/>
      <c r="C300" s="15" t="s">
        <v>339</v>
      </c>
      <c r="D300" s="5"/>
      <c r="E300" s="6" t="s">
        <v>665</v>
      </c>
      <c r="F300" s="7"/>
      <c r="G300" s="7">
        <v>0</v>
      </c>
      <c r="H300" s="7">
        <v>140</v>
      </c>
      <c r="I300" s="7">
        <v>0</v>
      </c>
      <c r="J300" s="142">
        <v>0</v>
      </c>
      <c r="K300" s="143">
        <v>0</v>
      </c>
    </row>
    <row r="301" spans="1:11">
      <c r="A301" s="22" t="s">
        <v>669</v>
      </c>
      <c r="B301" s="22"/>
      <c r="C301" s="15" t="s">
        <v>226</v>
      </c>
      <c r="D301" s="5"/>
      <c r="E301" s="6" t="s">
        <v>283</v>
      </c>
      <c r="F301" s="7"/>
      <c r="G301" s="7"/>
      <c r="H301" s="7">
        <v>0</v>
      </c>
      <c r="I301" s="7">
        <v>0</v>
      </c>
      <c r="J301" s="142">
        <v>1</v>
      </c>
      <c r="K301" s="143">
        <v>1</v>
      </c>
    </row>
    <row r="302" spans="1:11" ht="13.8">
      <c r="A302" s="2525" t="s">
        <v>63</v>
      </c>
      <c r="B302" s="2525"/>
      <c r="C302" s="2525"/>
      <c r="D302" s="2525"/>
      <c r="E302" s="2525"/>
      <c r="F302" s="2525"/>
      <c r="G302" s="2525"/>
      <c r="H302" s="2525"/>
      <c r="I302" s="2525"/>
      <c r="J302" s="2526"/>
      <c r="K302" s="190"/>
    </row>
    <row r="303" spans="1:11" ht="12.75" customHeight="1">
      <c r="A303" s="11" t="s">
        <v>399</v>
      </c>
      <c r="B303" s="11"/>
      <c r="C303" s="15" t="s">
        <v>64</v>
      </c>
      <c r="D303" s="5"/>
      <c r="E303" s="6" t="s">
        <v>283</v>
      </c>
      <c r="F303" s="7" t="s">
        <v>65</v>
      </c>
      <c r="G303" s="7">
        <v>0</v>
      </c>
      <c r="H303" s="7">
        <v>0</v>
      </c>
      <c r="I303" s="7">
        <v>0</v>
      </c>
      <c r="J303" s="142">
        <v>1</v>
      </c>
      <c r="K303" s="143">
        <v>1</v>
      </c>
    </row>
    <row r="304" spans="1:11" ht="13.8">
      <c r="A304" s="2525" t="s">
        <v>184</v>
      </c>
      <c r="B304" s="2525"/>
      <c r="C304" s="2525"/>
      <c r="D304" s="2525"/>
      <c r="E304" s="2525"/>
      <c r="F304" s="2525"/>
      <c r="G304" s="2525"/>
      <c r="H304" s="2525"/>
      <c r="I304" s="2525"/>
      <c r="J304" s="2526"/>
      <c r="K304" s="190"/>
    </row>
    <row r="305" spans="1:12" ht="12.75" customHeight="1">
      <c r="A305" s="11" t="s">
        <v>186</v>
      </c>
      <c r="B305" s="11"/>
      <c r="C305" s="15" t="s">
        <v>185</v>
      </c>
      <c r="D305" s="5"/>
      <c r="E305" s="6" t="s">
        <v>283</v>
      </c>
      <c r="F305" s="7">
        <v>40</v>
      </c>
      <c r="G305" s="7">
        <v>90</v>
      </c>
      <c r="H305" s="7">
        <v>120</v>
      </c>
      <c r="I305" s="7">
        <v>140</v>
      </c>
      <c r="J305" s="142">
        <v>140</v>
      </c>
      <c r="K305" s="143">
        <v>140</v>
      </c>
    </row>
    <row r="306" spans="1:12" ht="15.6">
      <c r="A306" s="2537" t="s">
        <v>284</v>
      </c>
      <c r="B306" s="2537"/>
      <c r="C306" s="2537"/>
      <c r="D306" s="2537"/>
      <c r="E306" s="2537"/>
      <c r="F306" s="2537"/>
      <c r="G306" s="2537"/>
      <c r="H306" s="2537"/>
      <c r="I306" s="2537"/>
      <c r="J306" s="2538"/>
      <c r="K306" s="196"/>
    </row>
    <row r="307" spans="1:12" ht="20.399999999999999" customHeight="1">
      <c r="A307" s="2523" t="s">
        <v>310</v>
      </c>
      <c r="B307" s="2523"/>
      <c r="C307" s="2523"/>
      <c r="D307" s="2523"/>
      <c r="E307" s="2523"/>
      <c r="F307" s="2523"/>
      <c r="G307" s="2523"/>
      <c r="H307" s="2523"/>
      <c r="I307" s="2523"/>
      <c r="J307" s="2524"/>
      <c r="K307" s="187"/>
    </row>
    <row r="308" spans="1:12" ht="12.75" customHeight="1">
      <c r="A308" s="2523" t="s">
        <v>281</v>
      </c>
      <c r="B308" s="2523"/>
      <c r="C308" s="2523"/>
      <c r="D308" s="2523"/>
      <c r="E308" s="2523"/>
      <c r="F308" s="2523"/>
      <c r="G308" s="2523"/>
      <c r="H308" s="2523"/>
      <c r="I308" s="2523"/>
      <c r="J308" s="2524"/>
      <c r="K308" s="187"/>
    </row>
    <row r="309" spans="1:12" ht="12.75" customHeight="1">
      <c r="A309" s="8" t="s">
        <v>818</v>
      </c>
      <c r="B309" s="8"/>
      <c r="C309" s="15" t="s">
        <v>311</v>
      </c>
      <c r="D309" s="5"/>
      <c r="E309" s="6" t="s">
        <v>283</v>
      </c>
      <c r="F309" s="7">
        <v>3</v>
      </c>
      <c r="G309" s="7">
        <v>2</v>
      </c>
      <c r="H309" s="7">
        <v>2</v>
      </c>
      <c r="I309" s="7">
        <v>1</v>
      </c>
      <c r="J309" s="142">
        <v>1</v>
      </c>
      <c r="K309" s="143">
        <v>1</v>
      </c>
    </row>
    <row r="310" spans="1:12">
      <c r="A310" s="8" t="s">
        <v>75</v>
      </c>
      <c r="B310" s="8"/>
      <c r="C310" s="15" t="s">
        <v>747</v>
      </c>
      <c r="D310" s="5"/>
      <c r="E310" s="6" t="s">
        <v>456</v>
      </c>
      <c r="F310" s="7" t="s">
        <v>449</v>
      </c>
      <c r="G310" s="7" t="s">
        <v>449</v>
      </c>
      <c r="H310" s="7" t="s">
        <v>449</v>
      </c>
      <c r="I310" s="7" t="s">
        <v>449</v>
      </c>
      <c r="J310" s="142" t="s">
        <v>449</v>
      </c>
      <c r="K310" s="143" t="s">
        <v>449</v>
      </c>
    </row>
    <row r="311" spans="1:12">
      <c r="A311" s="2527" t="s">
        <v>113</v>
      </c>
      <c r="B311" s="2527"/>
      <c r="C311" s="2527"/>
      <c r="D311" s="2527"/>
      <c r="E311" s="2527"/>
      <c r="F311" s="2527"/>
      <c r="G311" s="2527"/>
      <c r="H311" s="2527"/>
      <c r="I311" s="2527"/>
      <c r="J311" s="2528"/>
      <c r="K311" s="188"/>
    </row>
    <row r="312" spans="1:12" ht="13.8">
      <c r="A312" s="2525" t="s">
        <v>312</v>
      </c>
      <c r="B312" s="2525"/>
      <c r="C312" s="2525"/>
      <c r="D312" s="2525"/>
      <c r="E312" s="2525"/>
      <c r="F312" s="2525"/>
      <c r="G312" s="2525"/>
      <c r="H312" s="2525"/>
      <c r="I312" s="2525"/>
      <c r="J312" s="2526"/>
      <c r="K312" s="190"/>
    </row>
    <row r="313" spans="1:12" ht="12.75" customHeight="1">
      <c r="A313" s="11" t="s">
        <v>2</v>
      </c>
      <c r="B313" s="11"/>
      <c r="C313" s="15" t="s">
        <v>3</v>
      </c>
      <c r="D313" s="5"/>
      <c r="E313" s="6" t="s">
        <v>4</v>
      </c>
      <c r="F313" s="7" t="s">
        <v>5</v>
      </c>
      <c r="G313" s="7" t="s">
        <v>5</v>
      </c>
      <c r="H313" s="7" t="s">
        <v>5</v>
      </c>
      <c r="I313" s="7" t="s">
        <v>632</v>
      </c>
      <c r="J313" s="142" t="s">
        <v>319</v>
      </c>
      <c r="K313" s="143" t="s">
        <v>319</v>
      </c>
    </row>
    <row r="314" spans="1:12">
      <c r="A314" s="11" t="s">
        <v>123</v>
      </c>
      <c r="B314" s="11"/>
      <c r="C314" s="15" t="s">
        <v>124</v>
      </c>
      <c r="D314" s="5"/>
      <c r="E314" s="6" t="s">
        <v>49</v>
      </c>
      <c r="F314" s="7" t="s">
        <v>518</v>
      </c>
      <c r="G314" s="7" t="s">
        <v>518</v>
      </c>
      <c r="H314" s="7" t="s">
        <v>518</v>
      </c>
      <c r="I314" s="7" t="s">
        <v>633</v>
      </c>
      <c r="J314" s="142" t="s">
        <v>633</v>
      </c>
      <c r="K314" s="143" t="s">
        <v>633</v>
      </c>
    </row>
    <row r="315" spans="1:12">
      <c r="A315" s="11" t="s">
        <v>717</v>
      </c>
      <c r="B315" s="11"/>
      <c r="C315" s="15" t="s">
        <v>447</v>
      </c>
      <c r="D315" s="5"/>
      <c r="E315" s="6" t="s">
        <v>4</v>
      </c>
      <c r="F315" s="7">
        <v>44</v>
      </c>
      <c r="G315" s="7">
        <v>53</v>
      </c>
      <c r="H315" s="7">
        <v>41</v>
      </c>
      <c r="I315" s="7">
        <v>41</v>
      </c>
      <c r="J315" s="142">
        <v>41</v>
      </c>
      <c r="K315" s="143">
        <v>41</v>
      </c>
    </row>
    <row r="316" spans="1:12" ht="15" customHeight="1">
      <c r="A316" s="11" t="s">
        <v>817</v>
      </c>
      <c r="B316" s="11"/>
      <c r="C316" s="15" t="s">
        <v>605</v>
      </c>
      <c r="D316" s="5"/>
      <c r="E316" s="6" t="s">
        <v>4</v>
      </c>
      <c r="F316" s="7"/>
      <c r="G316" s="7">
        <v>70</v>
      </c>
      <c r="H316" s="7">
        <v>87</v>
      </c>
      <c r="I316" s="7">
        <v>90</v>
      </c>
      <c r="J316" s="142">
        <v>90</v>
      </c>
      <c r="K316" s="143">
        <v>90</v>
      </c>
    </row>
    <row r="317" spans="1:12" ht="13.8">
      <c r="A317" s="2525" t="s">
        <v>448</v>
      </c>
      <c r="B317" s="2525"/>
      <c r="C317" s="2525"/>
      <c r="D317" s="2525"/>
      <c r="E317" s="2525"/>
      <c r="F317" s="2525"/>
      <c r="G317" s="2525"/>
      <c r="H317" s="2525"/>
      <c r="I317" s="2525"/>
      <c r="J317" s="2526"/>
      <c r="K317" s="190"/>
    </row>
    <row r="318" spans="1:12" ht="28.5" customHeight="1">
      <c r="A318" s="12" t="s">
        <v>505</v>
      </c>
      <c r="B318" s="12"/>
      <c r="C318" s="15" t="s">
        <v>3</v>
      </c>
      <c r="D318" s="17"/>
      <c r="E318" s="34" t="s">
        <v>283</v>
      </c>
      <c r="F318" s="4">
        <v>3</v>
      </c>
      <c r="G318" s="4">
        <v>0</v>
      </c>
      <c r="H318" s="4">
        <v>0</v>
      </c>
      <c r="I318" s="4">
        <v>0</v>
      </c>
      <c r="J318" s="167">
        <v>1</v>
      </c>
      <c r="K318" s="156">
        <v>1</v>
      </c>
    </row>
    <row r="319" spans="1:12" ht="14.25" customHeight="1">
      <c r="A319" s="11" t="s">
        <v>67</v>
      </c>
      <c r="B319" s="11"/>
      <c r="C319" s="15" t="s">
        <v>124</v>
      </c>
      <c r="D319" s="17"/>
      <c r="E319" s="34" t="s">
        <v>664</v>
      </c>
      <c r="F319" s="4">
        <v>1100</v>
      </c>
      <c r="G319" s="4">
        <f>1050+907</f>
        <v>1957</v>
      </c>
      <c r="H319" s="4">
        <v>2100</v>
      </c>
      <c r="I319" s="4">
        <v>2100</v>
      </c>
      <c r="J319" s="167">
        <f>H319</f>
        <v>2100</v>
      </c>
      <c r="K319" s="156">
        <f>I319</f>
        <v>2100</v>
      </c>
      <c r="L319" s="31"/>
    </row>
    <row r="320" spans="1:12" ht="12.75" customHeight="1">
      <c r="A320" s="11" t="s">
        <v>68</v>
      </c>
      <c r="B320" s="11"/>
      <c r="C320" s="15" t="s">
        <v>447</v>
      </c>
      <c r="D320" s="17"/>
      <c r="E320" s="34" t="s">
        <v>664</v>
      </c>
      <c r="F320" s="4">
        <v>762</v>
      </c>
      <c r="G320" s="4">
        <v>784</v>
      </c>
      <c r="H320" s="4">
        <v>920</v>
      </c>
      <c r="I320" s="4">
        <v>920</v>
      </c>
      <c r="J320" s="167">
        <v>920</v>
      </c>
      <c r="K320" s="156">
        <v>920</v>
      </c>
    </row>
    <row r="321" spans="1:12" ht="12.75" customHeight="1">
      <c r="A321" s="11" t="s">
        <v>269</v>
      </c>
      <c r="B321" s="11"/>
      <c r="C321" s="15" t="s">
        <v>605</v>
      </c>
      <c r="D321" s="17"/>
      <c r="E321" s="34" t="s">
        <v>270</v>
      </c>
      <c r="F321" s="4">
        <v>500</v>
      </c>
      <c r="G321" s="4">
        <v>3150</v>
      </c>
      <c r="H321" s="4">
        <v>2900</v>
      </c>
      <c r="I321" s="4">
        <v>2900</v>
      </c>
      <c r="J321" s="167">
        <v>2900</v>
      </c>
      <c r="K321" s="156">
        <v>2900</v>
      </c>
    </row>
    <row r="322" spans="1:12" ht="12.75" customHeight="1">
      <c r="A322" s="11" t="s">
        <v>752</v>
      </c>
      <c r="B322" s="11"/>
      <c r="C322" s="15" t="s">
        <v>297</v>
      </c>
      <c r="D322" s="17"/>
      <c r="E322" s="34" t="s">
        <v>270</v>
      </c>
      <c r="F322" s="4"/>
      <c r="G322" s="4"/>
      <c r="H322" s="4">
        <f>1850+2500+1780</f>
        <v>6130</v>
      </c>
      <c r="I322" s="4">
        <v>6000</v>
      </c>
      <c r="J322" s="167">
        <v>6000</v>
      </c>
      <c r="K322" s="156">
        <v>6000</v>
      </c>
    </row>
    <row r="323" spans="1:12" ht="24" customHeight="1">
      <c r="A323" s="22" t="s">
        <v>296</v>
      </c>
      <c r="B323" s="22"/>
      <c r="C323" s="15" t="s">
        <v>753</v>
      </c>
      <c r="D323" s="5"/>
      <c r="E323" s="34" t="s">
        <v>665</v>
      </c>
      <c r="F323" s="4"/>
      <c r="G323" s="4"/>
      <c r="H323" s="4">
        <v>0</v>
      </c>
      <c r="I323" s="4">
        <v>670</v>
      </c>
      <c r="J323" s="167">
        <v>0</v>
      </c>
      <c r="K323" s="156">
        <v>0</v>
      </c>
    </row>
    <row r="324" spans="1:12" ht="12.75" customHeight="1">
      <c r="A324" s="22" t="s">
        <v>661</v>
      </c>
      <c r="B324" s="22"/>
      <c r="C324" s="15" t="s">
        <v>85</v>
      </c>
      <c r="D324" s="5"/>
      <c r="E324" s="34" t="s">
        <v>283</v>
      </c>
      <c r="F324" s="4"/>
      <c r="G324" s="4"/>
      <c r="H324" s="4">
        <v>0</v>
      </c>
      <c r="I324" s="4">
        <v>0</v>
      </c>
      <c r="J324" s="167">
        <v>2</v>
      </c>
      <c r="K324" s="156">
        <v>2</v>
      </c>
    </row>
    <row r="325" spans="1:12" ht="12.75" customHeight="1">
      <c r="A325" s="22" t="s">
        <v>709</v>
      </c>
      <c r="B325" s="22"/>
      <c r="C325" s="15" t="s">
        <v>710</v>
      </c>
      <c r="D325" s="5"/>
      <c r="E325" s="34" t="s">
        <v>283</v>
      </c>
      <c r="F325" s="4"/>
      <c r="G325" s="4"/>
      <c r="H325" s="4">
        <v>0</v>
      </c>
      <c r="I325" s="4">
        <v>0</v>
      </c>
      <c r="J325" s="167">
        <v>1</v>
      </c>
      <c r="K325" s="156">
        <v>0</v>
      </c>
    </row>
    <row r="326" spans="1:12" ht="12.75" customHeight="1">
      <c r="A326" s="2523" t="s">
        <v>450</v>
      </c>
      <c r="B326" s="2523"/>
      <c r="C326" s="2523"/>
      <c r="D326" s="2523"/>
      <c r="E326" s="2523"/>
      <c r="F326" s="2523"/>
      <c r="G326" s="2523"/>
      <c r="H326" s="2523"/>
      <c r="I326" s="2523"/>
      <c r="J326" s="2524"/>
      <c r="K326" s="187"/>
    </row>
    <row r="327" spans="1:12" ht="12.75" customHeight="1">
      <c r="A327" s="2523" t="s">
        <v>281</v>
      </c>
      <c r="B327" s="2523"/>
      <c r="C327" s="2523"/>
      <c r="D327" s="2523"/>
      <c r="E327" s="2523"/>
      <c r="F327" s="2523"/>
      <c r="G327" s="2523"/>
      <c r="H327" s="2523"/>
      <c r="I327" s="2523"/>
      <c r="J327" s="2524"/>
      <c r="K327" s="187"/>
    </row>
    <row r="328" spans="1:12" ht="27" customHeight="1">
      <c r="A328" s="23" t="s">
        <v>507</v>
      </c>
      <c r="B328" s="23"/>
      <c r="C328" s="15" t="s">
        <v>435</v>
      </c>
      <c r="D328" s="18"/>
      <c r="E328" s="34" t="s">
        <v>283</v>
      </c>
      <c r="F328" s="35">
        <v>12</v>
      </c>
      <c r="G328" s="4">
        <v>11</v>
      </c>
      <c r="H328" s="4">
        <v>8</v>
      </c>
      <c r="I328" s="4">
        <v>7</v>
      </c>
      <c r="J328" s="167">
        <v>9</v>
      </c>
      <c r="K328" s="156">
        <v>9</v>
      </c>
    </row>
    <row r="329" spans="1:12" ht="15.75" customHeight="1">
      <c r="A329" s="23" t="s">
        <v>705</v>
      </c>
      <c r="B329" s="23"/>
      <c r="C329" s="15" t="s">
        <v>436</v>
      </c>
      <c r="D329" s="18"/>
      <c r="E329" s="34" t="s">
        <v>456</v>
      </c>
      <c r="F329" s="130">
        <f>F350/21*100</f>
        <v>47.619047619047613</v>
      </c>
      <c r="G329" s="130">
        <f>G350/21*100</f>
        <v>42.857142857142854</v>
      </c>
      <c r="H329" s="130">
        <f>H350/20*100</f>
        <v>40</v>
      </c>
      <c r="I329" s="130">
        <v>40</v>
      </c>
      <c r="J329" s="178">
        <f>J350/20*100</f>
        <v>40</v>
      </c>
      <c r="K329" s="273">
        <f>K350/20*100</f>
        <v>40</v>
      </c>
    </row>
    <row r="330" spans="1:12" ht="16.5" customHeight="1">
      <c r="A330" s="8" t="s">
        <v>166</v>
      </c>
      <c r="B330" s="8"/>
      <c r="C330" s="15" t="s">
        <v>167</v>
      </c>
      <c r="D330" s="18"/>
      <c r="E330" s="34" t="s">
        <v>456</v>
      </c>
      <c r="F330" s="130">
        <f>F353*100/254</f>
        <v>0</v>
      </c>
      <c r="G330" s="130">
        <f>G353*100/254</f>
        <v>1.9685039370078741</v>
      </c>
      <c r="H330" s="131">
        <f>H353*100/254</f>
        <v>1.9685039370078741</v>
      </c>
      <c r="I330" s="131" t="s">
        <v>711</v>
      </c>
      <c r="J330" s="179" t="s">
        <v>712</v>
      </c>
      <c r="K330" s="274" t="s">
        <v>712</v>
      </c>
      <c r="L330" s="38"/>
    </row>
    <row r="331" spans="1:12" ht="16.5" customHeight="1">
      <c r="A331" s="8" t="s">
        <v>59</v>
      </c>
      <c r="B331" s="8"/>
      <c r="C331" s="15" t="s">
        <v>748</v>
      </c>
      <c r="D331" s="18"/>
      <c r="E331" s="34" t="s">
        <v>249</v>
      </c>
      <c r="F331" s="130"/>
      <c r="G331" s="130" t="s">
        <v>65</v>
      </c>
      <c r="H331" s="131" t="s">
        <v>173</v>
      </c>
      <c r="I331" s="131" t="s">
        <v>173</v>
      </c>
      <c r="J331" s="179" t="s">
        <v>845</v>
      </c>
      <c r="K331" s="274" t="s">
        <v>845</v>
      </c>
      <c r="L331" s="38"/>
    </row>
    <row r="332" spans="1:12" ht="16.5" customHeight="1">
      <c r="A332" s="51" t="s">
        <v>71</v>
      </c>
      <c r="B332" s="8"/>
      <c r="C332" s="15" t="s">
        <v>60</v>
      </c>
      <c r="D332" s="18"/>
      <c r="E332" s="34" t="s">
        <v>456</v>
      </c>
      <c r="F332" s="130"/>
      <c r="G332" s="130"/>
      <c r="H332" s="131">
        <v>100</v>
      </c>
      <c r="I332" s="131">
        <v>100</v>
      </c>
      <c r="J332" s="179">
        <v>100</v>
      </c>
      <c r="K332" s="274">
        <v>100</v>
      </c>
      <c r="L332" s="38"/>
    </row>
    <row r="333" spans="1:12" ht="16.5" customHeight="1">
      <c r="A333" s="8" t="s">
        <v>713</v>
      </c>
      <c r="B333" s="8"/>
      <c r="C333" s="15" t="s">
        <v>714</v>
      </c>
      <c r="D333" s="18"/>
      <c r="E333" s="34" t="s">
        <v>283</v>
      </c>
      <c r="F333" s="130"/>
      <c r="G333" s="130"/>
      <c r="H333" s="131"/>
      <c r="I333" s="131">
        <v>2</v>
      </c>
      <c r="J333" s="179">
        <v>2</v>
      </c>
      <c r="K333" s="274">
        <v>2</v>
      </c>
      <c r="L333" s="38"/>
    </row>
    <row r="334" spans="1:12" ht="16.5" customHeight="1">
      <c r="A334" s="51" t="s">
        <v>140</v>
      </c>
      <c r="B334" s="8"/>
      <c r="C334" s="15" t="s">
        <v>141</v>
      </c>
      <c r="D334" s="18"/>
      <c r="E334" s="34" t="s">
        <v>283</v>
      </c>
      <c r="F334" s="130"/>
      <c r="G334" s="130"/>
      <c r="H334" s="131"/>
      <c r="I334" s="131">
        <v>1</v>
      </c>
      <c r="J334" s="179">
        <v>0</v>
      </c>
      <c r="K334" s="274">
        <v>0</v>
      </c>
      <c r="L334" s="38"/>
    </row>
    <row r="335" spans="1:12">
      <c r="A335" s="2527" t="s">
        <v>113</v>
      </c>
      <c r="B335" s="2527"/>
      <c r="C335" s="2527"/>
      <c r="D335" s="2527"/>
      <c r="E335" s="2527"/>
      <c r="F335" s="2527"/>
      <c r="G335" s="2527"/>
      <c r="H335" s="2527"/>
      <c r="I335" s="2527"/>
      <c r="J335" s="2528"/>
      <c r="K335" s="188"/>
    </row>
    <row r="336" spans="1:12" ht="12.75" hidden="1" customHeight="1">
      <c r="A336" s="2530" t="s">
        <v>168</v>
      </c>
      <c r="B336" s="2530"/>
      <c r="C336" s="2530"/>
      <c r="D336" s="2530"/>
      <c r="E336" s="2530"/>
      <c r="F336" s="2530"/>
      <c r="G336" s="2530"/>
      <c r="H336" s="2530"/>
      <c r="I336" s="2530"/>
      <c r="J336" s="2531"/>
      <c r="K336" s="197"/>
    </row>
    <row r="337" spans="1:12" hidden="1">
      <c r="A337" s="49" t="s">
        <v>160</v>
      </c>
      <c r="B337" s="49"/>
      <c r="C337" s="45" t="s">
        <v>527</v>
      </c>
      <c r="D337" s="50"/>
      <c r="E337" s="47" t="s">
        <v>283</v>
      </c>
      <c r="F337" s="40">
        <v>2</v>
      </c>
      <c r="G337" s="40">
        <v>1</v>
      </c>
      <c r="H337" s="40">
        <v>0</v>
      </c>
      <c r="I337" s="40">
        <v>0</v>
      </c>
      <c r="J337" s="170">
        <v>0</v>
      </c>
      <c r="K337" s="192"/>
    </row>
    <row r="338" spans="1:12" hidden="1">
      <c r="A338" s="49" t="s">
        <v>690</v>
      </c>
      <c r="B338" s="49"/>
      <c r="C338" s="45" t="s">
        <v>161</v>
      </c>
      <c r="D338" s="50"/>
      <c r="E338" s="47" t="s">
        <v>283</v>
      </c>
      <c r="F338" s="40">
        <v>0</v>
      </c>
      <c r="G338" s="40">
        <v>1</v>
      </c>
      <c r="H338" s="40">
        <v>0</v>
      </c>
      <c r="I338" s="40">
        <v>0</v>
      </c>
      <c r="J338" s="170">
        <v>0</v>
      </c>
      <c r="K338" s="192"/>
    </row>
    <row r="339" spans="1:12" hidden="1">
      <c r="A339" s="49" t="s">
        <v>603</v>
      </c>
      <c r="B339" s="49"/>
      <c r="C339" s="45" t="s">
        <v>50</v>
      </c>
      <c r="D339" s="50"/>
      <c r="E339" s="47" t="s">
        <v>283</v>
      </c>
      <c r="F339" s="40">
        <v>0</v>
      </c>
      <c r="G339" s="40">
        <v>1</v>
      </c>
      <c r="H339" s="40">
        <v>0</v>
      </c>
      <c r="I339" s="40">
        <v>0</v>
      </c>
      <c r="J339" s="170">
        <v>0</v>
      </c>
      <c r="K339" s="192"/>
    </row>
    <row r="340" spans="1:12" ht="12.75" customHeight="1">
      <c r="A340" s="2525" t="s">
        <v>240</v>
      </c>
      <c r="B340" s="2525"/>
      <c r="C340" s="2525"/>
      <c r="D340" s="2525"/>
      <c r="E340" s="2525"/>
      <c r="F340" s="2525"/>
      <c r="G340" s="2525"/>
      <c r="H340" s="2525"/>
      <c r="I340" s="2525"/>
      <c r="J340" s="2526"/>
      <c r="K340" s="190"/>
    </row>
    <row r="341" spans="1:12">
      <c r="A341" s="12" t="s">
        <v>212</v>
      </c>
      <c r="B341" s="12"/>
      <c r="C341" s="15" t="s">
        <v>241</v>
      </c>
      <c r="D341" s="5"/>
      <c r="E341" s="6" t="s">
        <v>456</v>
      </c>
      <c r="F341" s="7">
        <v>0</v>
      </c>
      <c r="G341" s="7">
        <v>192</v>
      </c>
      <c r="H341" s="7">
        <v>10</v>
      </c>
      <c r="I341" s="7">
        <v>20</v>
      </c>
      <c r="J341" s="142">
        <v>90</v>
      </c>
      <c r="K341" s="143">
        <v>100</v>
      </c>
      <c r="L341" s="38"/>
    </row>
    <row r="342" spans="1:12" ht="12.75" customHeight="1">
      <c r="A342" s="2525" t="s">
        <v>798</v>
      </c>
      <c r="B342" s="2525"/>
      <c r="C342" s="2525"/>
      <c r="D342" s="2525"/>
      <c r="E342" s="2525"/>
      <c r="F342" s="2525"/>
      <c r="G342" s="2525"/>
      <c r="H342" s="2525"/>
      <c r="I342" s="2525"/>
      <c r="J342" s="2526"/>
      <c r="K342" s="190"/>
    </row>
    <row r="343" spans="1:12">
      <c r="A343" s="12" t="s">
        <v>492</v>
      </c>
      <c r="B343" s="12"/>
      <c r="C343" s="15" t="s">
        <v>652</v>
      </c>
      <c r="D343" s="5"/>
      <c r="E343" s="6" t="s">
        <v>283</v>
      </c>
      <c r="F343" s="7">
        <v>6</v>
      </c>
      <c r="G343" s="7">
        <v>8</v>
      </c>
      <c r="H343" s="7">
        <v>6</v>
      </c>
      <c r="I343" s="7">
        <v>1</v>
      </c>
      <c r="J343" s="142">
        <v>3</v>
      </c>
      <c r="K343" s="143">
        <v>3</v>
      </c>
    </row>
    <row r="344" spans="1:12">
      <c r="A344" s="12" t="s">
        <v>659</v>
      </c>
      <c r="B344" s="12"/>
      <c r="C344" s="15" t="s">
        <v>40</v>
      </c>
      <c r="D344" s="5"/>
      <c r="E344" s="34" t="s">
        <v>283</v>
      </c>
      <c r="F344" s="4">
        <v>1</v>
      </c>
      <c r="G344" s="4">
        <v>3</v>
      </c>
      <c r="H344" s="4">
        <v>5</v>
      </c>
      <c r="I344" s="4">
        <v>1</v>
      </c>
      <c r="J344" s="167">
        <v>2</v>
      </c>
      <c r="K344" s="156">
        <v>2</v>
      </c>
    </row>
    <row r="345" spans="1:12" ht="12.75" customHeight="1">
      <c r="A345" s="2525" t="s">
        <v>391</v>
      </c>
      <c r="B345" s="2525"/>
      <c r="C345" s="2525"/>
      <c r="D345" s="2525"/>
      <c r="E345" s="2525"/>
      <c r="F345" s="2525"/>
      <c r="G345" s="2525"/>
      <c r="H345" s="2525"/>
      <c r="I345" s="2525"/>
      <c r="J345" s="2526"/>
      <c r="K345" s="190"/>
    </row>
    <row r="346" spans="1:12" ht="12.75" customHeight="1">
      <c r="A346" s="12" t="s">
        <v>754</v>
      </c>
      <c r="B346" s="12"/>
      <c r="C346" s="15" t="s">
        <v>392</v>
      </c>
      <c r="D346" s="17"/>
      <c r="E346" s="6" t="s">
        <v>665</v>
      </c>
      <c r="F346" s="7">
        <v>5000</v>
      </c>
      <c r="G346" s="7">
        <v>470</v>
      </c>
      <c r="H346" s="7">
        <v>1100</v>
      </c>
      <c r="I346" s="7">
        <v>1100</v>
      </c>
      <c r="J346" s="142">
        <v>1100</v>
      </c>
      <c r="K346" s="143">
        <v>1100</v>
      </c>
    </row>
    <row r="347" spans="1:12" ht="12.75" customHeight="1">
      <c r="A347" s="12" t="s">
        <v>397</v>
      </c>
      <c r="B347" s="12"/>
      <c r="C347" s="15" t="s">
        <v>201</v>
      </c>
      <c r="D347" s="17"/>
      <c r="E347" s="6" t="s">
        <v>283</v>
      </c>
      <c r="F347" s="7">
        <v>1</v>
      </c>
      <c r="G347" s="7">
        <v>0</v>
      </c>
      <c r="H347" s="7">
        <v>0</v>
      </c>
      <c r="I347" s="7">
        <v>0</v>
      </c>
      <c r="J347" s="142">
        <v>1</v>
      </c>
      <c r="K347" s="143">
        <v>1</v>
      </c>
      <c r="L347" s="31"/>
    </row>
    <row r="348" spans="1:12" ht="12.75" customHeight="1">
      <c r="A348" s="12" t="s">
        <v>42</v>
      </c>
      <c r="B348" s="12"/>
      <c r="C348" s="15" t="s">
        <v>41</v>
      </c>
      <c r="D348" s="17"/>
      <c r="E348" s="6" t="s">
        <v>283</v>
      </c>
      <c r="F348" s="7">
        <v>0</v>
      </c>
      <c r="G348" s="7">
        <v>0</v>
      </c>
      <c r="H348" s="7">
        <v>0</v>
      </c>
      <c r="I348" s="7">
        <v>0</v>
      </c>
      <c r="J348" s="142">
        <v>1</v>
      </c>
      <c r="K348" s="143">
        <v>1</v>
      </c>
      <c r="L348" s="31"/>
    </row>
    <row r="349" spans="1:12" ht="12.75" customHeight="1">
      <c r="A349" s="2532" t="s">
        <v>398</v>
      </c>
      <c r="B349" s="2533"/>
      <c r="C349" s="2533"/>
      <c r="D349" s="2533"/>
      <c r="E349" s="2533"/>
      <c r="F349" s="2533"/>
      <c r="G349" s="2533"/>
      <c r="H349" s="2533"/>
      <c r="I349" s="2533"/>
      <c r="J349" s="2533"/>
      <c r="K349" s="2534"/>
    </row>
    <row r="350" spans="1:12">
      <c r="A350" s="12" t="s">
        <v>420</v>
      </c>
      <c r="B350" s="12"/>
      <c r="C350" s="15" t="s">
        <v>823</v>
      </c>
      <c r="D350" s="5"/>
      <c r="E350" s="6" t="s">
        <v>283</v>
      </c>
      <c r="F350" s="7">
        <v>10</v>
      </c>
      <c r="G350" s="7">
        <v>9</v>
      </c>
      <c r="H350" s="7">
        <v>8</v>
      </c>
      <c r="I350" s="7">
        <v>14</v>
      </c>
      <c r="J350" s="142">
        <v>8</v>
      </c>
      <c r="K350" s="143">
        <v>8</v>
      </c>
      <c r="L350" s="1"/>
    </row>
    <row r="351" spans="1:12">
      <c r="A351" s="12" t="s">
        <v>37</v>
      </c>
      <c r="B351" s="12"/>
      <c r="C351" s="15" t="s">
        <v>651</v>
      </c>
      <c r="D351" s="5"/>
      <c r="E351" s="6" t="s">
        <v>283</v>
      </c>
      <c r="F351" s="7"/>
      <c r="G351" s="7">
        <v>1</v>
      </c>
      <c r="H351" s="7">
        <v>1</v>
      </c>
      <c r="I351" s="7">
        <v>2</v>
      </c>
      <c r="J351" s="142">
        <v>1</v>
      </c>
      <c r="K351" s="143">
        <v>1</v>
      </c>
      <c r="L351" s="1"/>
    </row>
    <row r="352" spans="1:12" ht="12.75" customHeight="1">
      <c r="A352" s="2525" t="s">
        <v>463</v>
      </c>
      <c r="B352" s="2525"/>
      <c r="C352" s="2525"/>
      <c r="D352" s="2525"/>
      <c r="E352" s="2525"/>
      <c r="F352" s="2525"/>
      <c r="G352" s="2525"/>
      <c r="H352" s="2525"/>
      <c r="I352" s="2525"/>
      <c r="J352" s="2526"/>
      <c r="K352" s="190"/>
    </row>
    <row r="353" spans="1:12" ht="14.85" customHeight="1">
      <c r="A353" s="12" t="s">
        <v>704</v>
      </c>
      <c r="B353" s="12"/>
      <c r="C353" s="15" t="s">
        <v>464</v>
      </c>
      <c r="D353" s="17"/>
      <c r="E353" s="6" t="s">
        <v>283</v>
      </c>
      <c r="F353" s="25">
        <v>0</v>
      </c>
      <c r="G353" s="25">
        <v>5</v>
      </c>
      <c r="H353" s="25">
        <v>5</v>
      </c>
      <c r="I353" s="25">
        <v>1</v>
      </c>
      <c r="J353" s="180">
        <v>1</v>
      </c>
      <c r="K353" s="198">
        <v>3</v>
      </c>
      <c r="L353" s="38"/>
    </row>
    <row r="354" spans="1:12" ht="26.25" hidden="1" customHeight="1">
      <c r="A354" s="2535"/>
      <c r="B354" s="2536"/>
      <c r="C354" s="2536"/>
      <c r="D354" s="2536"/>
      <c r="E354" s="2536"/>
      <c r="F354" s="2536"/>
      <c r="G354" s="2536"/>
      <c r="H354" s="2536"/>
      <c r="I354" s="2536"/>
      <c r="J354" s="2536"/>
      <c r="K354" s="199"/>
      <c r="L354" s="38"/>
    </row>
    <row r="355" spans="1:12" ht="14.85" hidden="1" customHeight="1">
      <c r="A355" s="12"/>
      <c r="B355" s="12"/>
      <c r="C355" s="15"/>
      <c r="D355" s="17"/>
      <c r="E355" s="6"/>
      <c r="F355" s="25"/>
      <c r="G355" s="25"/>
      <c r="H355" s="46"/>
      <c r="I355" s="46"/>
      <c r="J355" s="181"/>
      <c r="K355" s="200"/>
    </row>
    <row r="356" spans="1:12" ht="12.75" customHeight="1">
      <c r="A356" s="2523" t="s">
        <v>702</v>
      </c>
      <c r="B356" s="2523"/>
      <c r="C356" s="2523"/>
      <c r="D356" s="2523"/>
      <c r="E356" s="2523"/>
      <c r="F356" s="2523"/>
      <c r="G356" s="2523"/>
      <c r="H356" s="2523"/>
      <c r="I356" s="2523"/>
      <c r="J356" s="2524"/>
      <c r="K356" s="187"/>
    </row>
    <row r="357" spans="1:12" ht="12.75" customHeight="1">
      <c r="A357" s="2523" t="s">
        <v>281</v>
      </c>
      <c r="B357" s="2523"/>
      <c r="C357" s="2523"/>
      <c r="D357" s="2523"/>
      <c r="E357" s="2523"/>
      <c r="F357" s="2523"/>
      <c r="G357" s="2523"/>
      <c r="H357" s="2523"/>
      <c r="I357" s="2523"/>
      <c r="J357" s="2524"/>
      <c r="K357" s="187"/>
    </row>
    <row r="358" spans="1:12" ht="14.25" customHeight="1">
      <c r="A358" s="14" t="s">
        <v>279</v>
      </c>
      <c r="B358" s="14"/>
      <c r="C358" s="4" t="s">
        <v>703</v>
      </c>
      <c r="D358" s="33"/>
      <c r="E358" s="6" t="s">
        <v>456</v>
      </c>
      <c r="F358" s="25">
        <v>99</v>
      </c>
      <c r="G358" s="25">
        <v>99</v>
      </c>
      <c r="H358" s="25">
        <v>99</v>
      </c>
      <c r="I358" s="25">
        <v>99</v>
      </c>
      <c r="J358" s="180">
        <v>99</v>
      </c>
      <c r="K358" s="198">
        <v>99</v>
      </c>
    </row>
    <row r="359" spans="1:12">
      <c r="A359" s="2527" t="s">
        <v>113</v>
      </c>
      <c r="B359" s="2527"/>
      <c r="C359" s="2527"/>
      <c r="D359" s="2527"/>
      <c r="E359" s="2527"/>
      <c r="F359" s="2527"/>
      <c r="G359" s="2527"/>
      <c r="H359" s="2527"/>
      <c r="I359" s="2527"/>
      <c r="J359" s="2528"/>
      <c r="K359" s="188"/>
    </row>
    <row r="360" spans="1:12" ht="12.75" customHeight="1">
      <c r="A360" s="2525" t="s">
        <v>147</v>
      </c>
      <c r="B360" s="2525"/>
      <c r="C360" s="2525"/>
      <c r="D360" s="2525"/>
      <c r="E360" s="2525"/>
      <c r="F360" s="2525"/>
      <c r="G360" s="2525"/>
      <c r="H360" s="2525"/>
      <c r="I360" s="2525"/>
      <c r="J360" s="2526"/>
      <c r="K360" s="190"/>
    </row>
    <row r="361" spans="1:12" ht="12.75" customHeight="1">
      <c r="A361" s="11" t="s">
        <v>725</v>
      </c>
      <c r="B361" s="27"/>
      <c r="C361" s="15" t="s">
        <v>410</v>
      </c>
      <c r="D361" s="27"/>
      <c r="E361" s="6" t="s">
        <v>283</v>
      </c>
      <c r="F361" s="17"/>
      <c r="G361" s="17"/>
      <c r="H361" s="25" t="s">
        <v>612</v>
      </c>
      <c r="I361" s="25" t="s">
        <v>613</v>
      </c>
      <c r="J361" s="180" t="s">
        <v>613</v>
      </c>
      <c r="K361" s="198" t="s">
        <v>613</v>
      </c>
    </row>
    <row r="362" spans="1:12">
      <c r="A362" s="11" t="s">
        <v>736</v>
      </c>
      <c r="B362" s="11"/>
      <c r="C362" s="15" t="s">
        <v>237</v>
      </c>
      <c r="D362" s="5"/>
      <c r="E362" s="6" t="s">
        <v>229</v>
      </c>
      <c r="F362" s="7">
        <v>1000000</v>
      </c>
      <c r="G362" s="7">
        <v>1000000</v>
      </c>
      <c r="H362" s="7">
        <v>1000000</v>
      </c>
      <c r="I362" s="7">
        <v>1000000</v>
      </c>
      <c r="J362" s="142">
        <v>1000000</v>
      </c>
      <c r="K362" s="143">
        <v>1000000</v>
      </c>
    </row>
    <row r="363" spans="1:12" ht="26.4">
      <c r="A363" s="11" t="s">
        <v>174</v>
      </c>
      <c r="B363" s="11"/>
      <c r="C363" s="4" t="s">
        <v>726</v>
      </c>
      <c r="D363" s="4" t="s">
        <v>402</v>
      </c>
      <c r="E363" s="6" t="s">
        <v>665</v>
      </c>
      <c r="F363" s="7"/>
      <c r="G363" s="7"/>
      <c r="H363" s="7">
        <v>3000</v>
      </c>
      <c r="I363" s="7">
        <v>3000</v>
      </c>
      <c r="J363" s="142">
        <v>3000</v>
      </c>
      <c r="K363" s="143">
        <v>3000</v>
      </c>
    </row>
    <row r="364" spans="1:12">
      <c r="A364" s="11" t="s">
        <v>206</v>
      </c>
      <c r="B364" s="11"/>
      <c r="C364" s="4" t="s">
        <v>402</v>
      </c>
      <c r="D364" s="5"/>
      <c r="E364" s="6" t="s">
        <v>283</v>
      </c>
      <c r="F364" s="7">
        <v>0</v>
      </c>
      <c r="G364" s="7">
        <v>0</v>
      </c>
      <c r="H364" s="7">
        <v>0</v>
      </c>
      <c r="I364" s="7">
        <v>5</v>
      </c>
      <c r="J364" s="142">
        <v>30</v>
      </c>
      <c r="K364" s="143">
        <v>30</v>
      </c>
    </row>
    <row r="365" spans="1:12" ht="12.75" customHeight="1">
      <c r="A365" s="2525" t="s">
        <v>78</v>
      </c>
      <c r="B365" s="2525"/>
      <c r="C365" s="2525"/>
      <c r="D365" s="2525"/>
      <c r="E365" s="2525"/>
      <c r="F365" s="2525"/>
      <c r="G365" s="2525"/>
      <c r="H365" s="2525"/>
      <c r="I365" s="2525"/>
      <c r="J365" s="2526"/>
      <c r="K365" s="190"/>
    </row>
    <row r="366" spans="1:12">
      <c r="A366" s="12" t="s">
        <v>230</v>
      </c>
      <c r="B366" s="12"/>
      <c r="C366" s="15" t="s">
        <v>231</v>
      </c>
      <c r="D366" s="5"/>
      <c r="E366" s="6" t="s">
        <v>283</v>
      </c>
      <c r="F366" s="7">
        <v>2</v>
      </c>
      <c r="G366" s="7">
        <v>2</v>
      </c>
      <c r="H366" s="7">
        <v>2</v>
      </c>
      <c r="I366" s="7">
        <v>2</v>
      </c>
      <c r="J366" s="142">
        <v>2</v>
      </c>
      <c r="K366" s="143">
        <v>2</v>
      </c>
    </row>
    <row r="367" spans="1:12">
      <c r="A367" s="12" t="s">
        <v>474</v>
      </c>
      <c r="B367" s="12"/>
      <c r="C367" s="15" t="s">
        <v>1</v>
      </c>
      <c r="D367" s="5"/>
      <c r="E367" s="6" t="s">
        <v>283</v>
      </c>
      <c r="F367" s="7">
        <v>1</v>
      </c>
      <c r="G367" s="7">
        <v>0</v>
      </c>
      <c r="H367" s="7">
        <v>0</v>
      </c>
      <c r="I367" s="7">
        <v>1</v>
      </c>
      <c r="J367" s="142">
        <v>0</v>
      </c>
      <c r="K367" s="143">
        <v>0</v>
      </c>
    </row>
    <row r="368" spans="1:12">
      <c r="A368" s="12" t="s">
        <v>89</v>
      </c>
      <c r="B368" s="12"/>
      <c r="C368" s="15" t="s">
        <v>278</v>
      </c>
      <c r="D368" s="5"/>
      <c r="E368" s="6" t="s">
        <v>283</v>
      </c>
      <c r="F368" s="7">
        <v>1</v>
      </c>
      <c r="G368" s="7">
        <v>1</v>
      </c>
      <c r="H368" s="7">
        <v>1</v>
      </c>
      <c r="I368" s="7">
        <v>1</v>
      </c>
      <c r="J368" s="142">
        <v>1</v>
      </c>
      <c r="K368" s="143">
        <v>0</v>
      </c>
    </row>
    <row r="369" spans="1:12">
      <c r="A369" s="12" t="s">
        <v>88</v>
      </c>
      <c r="B369" s="12"/>
      <c r="C369" s="15" t="s">
        <v>90</v>
      </c>
      <c r="D369" s="5"/>
      <c r="E369" s="6" t="s">
        <v>456</v>
      </c>
      <c r="F369" s="7">
        <v>0</v>
      </c>
      <c r="G369" s="7">
        <v>0</v>
      </c>
      <c r="H369" s="7">
        <v>1</v>
      </c>
      <c r="I369" s="7" t="s">
        <v>142</v>
      </c>
      <c r="J369" s="142" t="s">
        <v>142</v>
      </c>
      <c r="K369" s="143">
        <v>0</v>
      </c>
    </row>
    <row r="370" spans="1:12" ht="12.75" hidden="1" customHeight="1">
      <c r="A370" s="2525" t="s">
        <v>203</v>
      </c>
      <c r="B370" s="2525"/>
      <c r="C370" s="2525"/>
      <c r="D370" s="2525"/>
      <c r="E370" s="2525"/>
      <c r="F370" s="2525"/>
      <c r="G370" s="2525"/>
      <c r="H370" s="2525"/>
      <c r="I370" s="2525"/>
      <c r="J370" s="2526"/>
      <c r="K370" s="190"/>
    </row>
    <row r="371" spans="1:12" hidden="1">
      <c r="A371" s="12" t="s">
        <v>509</v>
      </c>
      <c r="B371" s="12"/>
      <c r="C371" s="15" t="s">
        <v>164</v>
      </c>
      <c r="D371" s="5"/>
      <c r="E371" s="6" t="s">
        <v>283</v>
      </c>
      <c r="F371" s="7">
        <v>0</v>
      </c>
      <c r="G371" s="40"/>
      <c r="H371" s="40"/>
      <c r="I371" s="40"/>
      <c r="J371" s="170"/>
      <c r="K371" s="192"/>
    </row>
    <row r="372" spans="1:12" ht="13.8" hidden="1">
      <c r="A372" s="2525" t="s">
        <v>163</v>
      </c>
      <c r="B372" s="2525"/>
      <c r="C372" s="2525"/>
      <c r="D372" s="2525"/>
      <c r="E372" s="2525"/>
      <c r="F372" s="2525"/>
      <c r="G372" s="2525"/>
      <c r="H372" s="2525"/>
      <c r="I372" s="2525"/>
      <c r="J372" s="2526"/>
      <c r="K372" s="190"/>
    </row>
    <row r="373" spans="1:12" hidden="1">
      <c r="A373" s="12" t="s">
        <v>509</v>
      </c>
      <c r="B373" s="12"/>
      <c r="C373" s="15" t="s">
        <v>165</v>
      </c>
      <c r="D373" s="5"/>
      <c r="E373" s="6" t="s">
        <v>283</v>
      </c>
      <c r="F373" s="7">
        <v>0</v>
      </c>
      <c r="G373" s="40"/>
      <c r="H373" s="40"/>
      <c r="I373" s="40"/>
      <c r="J373" s="170"/>
      <c r="K373" s="192"/>
    </row>
    <row r="374" spans="1:12" ht="12.75" customHeight="1">
      <c r="A374" s="2519" t="s">
        <v>701</v>
      </c>
      <c r="B374" s="2519"/>
      <c r="C374" s="2519"/>
      <c r="D374" s="2519"/>
      <c r="E374" s="2519"/>
      <c r="F374" s="2519"/>
      <c r="G374" s="2519"/>
      <c r="H374" s="2519"/>
      <c r="I374" s="2519"/>
      <c r="J374" s="2520"/>
      <c r="K374" s="191"/>
    </row>
    <row r="375" spans="1:12" ht="12.75" customHeight="1">
      <c r="A375" s="2519" t="s">
        <v>698</v>
      </c>
      <c r="B375" s="2519"/>
      <c r="C375" s="2519"/>
      <c r="D375" s="2519"/>
      <c r="E375" s="2519"/>
      <c r="F375" s="2519"/>
      <c r="G375" s="2519"/>
      <c r="H375" s="2519"/>
      <c r="I375" s="2519"/>
      <c r="J375" s="2520"/>
      <c r="K375" s="191"/>
    </row>
    <row r="376" spans="1:12">
      <c r="A376" s="14" t="s">
        <v>374</v>
      </c>
      <c r="B376" s="14"/>
      <c r="C376" s="4" t="s">
        <v>375</v>
      </c>
      <c r="D376" s="5"/>
      <c r="E376" s="6" t="s">
        <v>534</v>
      </c>
      <c r="F376" s="25">
        <v>15</v>
      </c>
      <c r="G376" s="25">
        <v>14</v>
      </c>
      <c r="H376" s="25">
        <v>15</v>
      </c>
      <c r="I376" s="25">
        <v>16</v>
      </c>
      <c r="J376" s="180">
        <v>16</v>
      </c>
      <c r="K376" s="198">
        <v>16</v>
      </c>
      <c r="L376" s="184"/>
    </row>
    <row r="377" spans="1:12">
      <c r="A377" s="14" t="s">
        <v>376</v>
      </c>
      <c r="B377" s="14"/>
      <c r="C377" s="4" t="s">
        <v>377</v>
      </c>
      <c r="D377" s="5"/>
      <c r="E377" s="6" t="s">
        <v>534</v>
      </c>
      <c r="F377" s="7">
        <v>15</v>
      </c>
      <c r="G377" s="7">
        <v>20</v>
      </c>
      <c r="H377" s="7">
        <v>30</v>
      </c>
      <c r="I377" s="7">
        <v>35</v>
      </c>
      <c r="J377" s="142">
        <v>40</v>
      </c>
      <c r="K377" s="143">
        <v>40</v>
      </c>
    </row>
    <row r="378" spans="1:12" ht="13.5" customHeight="1">
      <c r="A378" s="14" t="s">
        <v>301</v>
      </c>
      <c r="B378" s="14"/>
      <c r="C378" s="4" t="s">
        <v>302</v>
      </c>
      <c r="D378" s="5"/>
      <c r="E378" s="6" t="s">
        <v>456</v>
      </c>
      <c r="F378" s="6" t="s">
        <v>150</v>
      </c>
      <c r="G378" s="6" t="s">
        <v>502</v>
      </c>
      <c r="H378" s="6" t="s">
        <v>852</v>
      </c>
      <c r="I378" s="6" t="s">
        <v>853</v>
      </c>
      <c r="J378" s="182" t="s">
        <v>346</v>
      </c>
      <c r="K378" s="272" t="s">
        <v>346</v>
      </c>
      <c r="L378" s="185"/>
    </row>
    <row r="379" spans="1:12" ht="19.649999999999999" customHeight="1">
      <c r="A379" s="2521" t="s">
        <v>214</v>
      </c>
      <c r="B379" s="2521"/>
      <c r="C379" s="2521"/>
      <c r="D379" s="2521"/>
      <c r="E379" s="2521"/>
      <c r="F379" s="2521"/>
      <c r="G379" s="2521"/>
      <c r="H379" s="2521"/>
      <c r="I379" s="2521"/>
      <c r="J379" s="2522"/>
      <c r="K379" s="186"/>
    </row>
    <row r="380" spans="1:12" ht="12.75" customHeight="1">
      <c r="A380" s="2523" t="s">
        <v>272</v>
      </c>
      <c r="B380" s="2523"/>
      <c r="C380" s="2523"/>
      <c r="D380" s="2523"/>
      <c r="E380" s="2523"/>
      <c r="F380" s="2523"/>
      <c r="G380" s="2523"/>
      <c r="H380" s="2523"/>
      <c r="I380" s="2523"/>
      <c r="J380" s="2524"/>
      <c r="K380" s="187"/>
    </row>
    <row r="381" spans="1:12" ht="12.75" customHeight="1">
      <c r="A381" s="2523" t="s">
        <v>281</v>
      </c>
      <c r="B381" s="2523"/>
      <c r="C381" s="2523"/>
      <c r="D381" s="2523"/>
      <c r="E381" s="2523"/>
      <c r="F381" s="2523"/>
      <c r="G381" s="2523"/>
      <c r="H381" s="2523"/>
      <c r="I381" s="2523"/>
      <c r="J381" s="2524"/>
      <c r="K381" s="187"/>
    </row>
    <row r="382" spans="1:12" ht="26.4">
      <c r="A382" s="14" t="s">
        <v>501</v>
      </c>
      <c r="B382" s="14"/>
      <c r="C382" s="4" t="s">
        <v>273</v>
      </c>
      <c r="D382" s="5"/>
      <c r="E382" s="9" t="s">
        <v>456</v>
      </c>
      <c r="F382" s="7">
        <v>90</v>
      </c>
      <c r="G382" s="7">
        <v>90</v>
      </c>
      <c r="H382" s="7">
        <v>85</v>
      </c>
      <c r="I382" s="7">
        <v>85</v>
      </c>
      <c r="J382" s="142">
        <v>85</v>
      </c>
      <c r="K382" s="143">
        <v>85</v>
      </c>
    </row>
    <row r="383" spans="1:12">
      <c r="A383" s="14" t="s">
        <v>227</v>
      </c>
      <c r="B383" s="14"/>
      <c r="C383" s="4" t="s">
        <v>808</v>
      </c>
      <c r="D383" s="5"/>
      <c r="E383" s="6" t="s">
        <v>283</v>
      </c>
      <c r="F383" s="7">
        <v>5</v>
      </c>
      <c r="G383" s="7" t="e">
        <f>#REF!+G391</f>
        <v>#REF!</v>
      </c>
      <c r="H383" s="7">
        <f>H391</f>
        <v>8</v>
      </c>
      <c r="I383" s="7">
        <f>I391</f>
        <v>5</v>
      </c>
      <c r="J383" s="142">
        <f>J391</f>
        <v>5</v>
      </c>
      <c r="K383" s="143">
        <f>K391</f>
        <v>10</v>
      </c>
    </row>
    <row r="384" spans="1:12" ht="26.4">
      <c r="A384" s="14" t="s">
        <v>500</v>
      </c>
      <c r="B384" s="14"/>
      <c r="C384" s="4" t="s">
        <v>855</v>
      </c>
      <c r="D384" s="5"/>
      <c r="E384" s="6" t="s">
        <v>283</v>
      </c>
      <c r="F384" s="7"/>
      <c r="G384" s="7">
        <v>5</v>
      </c>
      <c r="H384" s="7">
        <v>8</v>
      </c>
      <c r="I384" s="7">
        <v>3</v>
      </c>
      <c r="J384" s="142">
        <v>3</v>
      </c>
      <c r="K384" s="143">
        <v>10</v>
      </c>
    </row>
    <row r="385" spans="1:11">
      <c r="A385" s="14" t="s">
        <v>342</v>
      </c>
      <c r="B385" s="14"/>
      <c r="C385" s="4" t="s">
        <v>228</v>
      </c>
      <c r="D385" s="5"/>
      <c r="E385" s="6" t="s">
        <v>456</v>
      </c>
      <c r="F385" s="7"/>
      <c r="G385" s="7">
        <v>100</v>
      </c>
      <c r="H385" s="7">
        <v>100</v>
      </c>
      <c r="I385" s="7">
        <v>100</v>
      </c>
      <c r="J385" s="142">
        <v>100</v>
      </c>
      <c r="K385" s="143">
        <v>100</v>
      </c>
    </row>
    <row r="386" spans="1:11">
      <c r="A386" s="10" t="s">
        <v>807</v>
      </c>
      <c r="B386" s="10"/>
      <c r="C386" s="4" t="s">
        <v>606</v>
      </c>
      <c r="D386" s="5"/>
      <c r="E386" s="6" t="s">
        <v>283</v>
      </c>
      <c r="F386" s="7">
        <v>3</v>
      </c>
      <c r="G386" s="7">
        <v>3</v>
      </c>
      <c r="H386" s="7">
        <v>3</v>
      </c>
      <c r="I386" s="7">
        <v>3</v>
      </c>
      <c r="J386" s="142">
        <v>3</v>
      </c>
      <c r="K386" s="143">
        <v>3</v>
      </c>
    </row>
    <row r="387" spans="1:11">
      <c r="A387" s="10" t="s">
        <v>718</v>
      </c>
      <c r="B387" s="10"/>
      <c r="C387" s="4" t="s">
        <v>607</v>
      </c>
      <c r="D387" s="5"/>
      <c r="E387" s="6" t="s">
        <v>283</v>
      </c>
      <c r="F387" s="7">
        <v>5</v>
      </c>
      <c r="G387" s="7">
        <v>5</v>
      </c>
      <c r="H387" s="7">
        <v>5</v>
      </c>
      <c r="I387" s="7">
        <v>5</v>
      </c>
      <c r="J387" s="142">
        <v>5</v>
      </c>
      <c r="K387" s="143">
        <v>5</v>
      </c>
    </row>
    <row r="388" spans="1:11">
      <c r="A388" s="2527" t="s">
        <v>113</v>
      </c>
      <c r="B388" s="2527"/>
      <c r="C388" s="2527"/>
      <c r="D388" s="2527"/>
      <c r="E388" s="2527"/>
      <c r="F388" s="2527"/>
      <c r="G388" s="2527"/>
      <c r="H388" s="2527"/>
      <c r="I388" s="2527"/>
      <c r="J388" s="2528"/>
      <c r="K388" s="188"/>
    </row>
    <row r="389" spans="1:11" ht="12.75" customHeight="1">
      <c r="A389" s="2525" t="s">
        <v>252</v>
      </c>
      <c r="B389" s="2525"/>
      <c r="C389" s="2525"/>
      <c r="D389" s="2525"/>
      <c r="E389" s="2525"/>
      <c r="F389" s="2525"/>
      <c r="G389" s="2525"/>
      <c r="H389" s="2525"/>
      <c r="I389" s="2525"/>
      <c r="J389" s="2526"/>
      <c r="K389" s="190"/>
    </row>
    <row r="390" spans="1:11" ht="12.75" customHeight="1">
      <c r="A390" s="11" t="s">
        <v>146</v>
      </c>
      <c r="B390" s="27"/>
      <c r="C390" s="4" t="s">
        <v>253</v>
      </c>
      <c r="D390" s="17"/>
      <c r="E390" s="6" t="s">
        <v>283</v>
      </c>
      <c r="F390" s="7" t="s">
        <v>469</v>
      </c>
      <c r="G390" s="7">
        <v>3</v>
      </c>
      <c r="H390" s="7">
        <v>2</v>
      </c>
      <c r="I390" s="7">
        <v>2</v>
      </c>
      <c r="J390" s="142">
        <v>2</v>
      </c>
      <c r="K390" s="143">
        <v>2</v>
      </c>
    </row>
    <row r="391" spans="1:11">
      <c r="A391" s="11" t="s">
        <v>608</v>
      </c>
      <c r="B391" s="11"/>
      <c r="C391" s="4" t="s">
        <v>255</v>
      </c>
      <c r="D391" s="5"/>
      <c r="E391" s="6" t="s">
        <v>568</v>
      </c>
      <c r="F391" s="7"/>
      <c r="G391" s="7">
        <v>8</v>
      </c>
      <c r="H391" s="7">
        <v>8</v>
      </c>
      <c r="I391" s="7">
        <v>5</v>
      </c>
      <c r="J391" s="142">
        <v>5</v>
      </c>
      <c r="K391" s="143">
        <v>10</v>
      </c>
    </row>
    <row r="392" spans="1:11">
      <c r="A392" s="11" t="s">
        <v>254</v>
      </c>
      <c r="B392" s="11"/>
      <c r="C392" s="4" t="s">
        <v>256</v>
      </c>
      <c r="D392" s="5"/>
      <c r="E392" s="6" t="s">
        <v>283</v>
      </c>
      <c r="F392" s="7">
        <v>1</v>
      </c>
      <c r="G392" s="7">
        <v>2</v>
      </c>
      <c r="H392" s="7">
        <v>2</v>
      </c>
      <c r="I392" s="7">
        <v>2</v>
      </c>
      <c r="J392" s="142">
        <v>2</v>
      </c>
      <c r="K392" s="143">
        <v>2</v>
      </c>
    </row>
    <row r="393" spans="1:11">
      <c r="A393" s="11" t="s">
        <v>343</v>
      </c>
      <c r="B393" s="11"/>
      <c r="C393" s="4" t="s">
        <v>115</v>
      </c>
      <c r="D393" s="5"/>
      <c r="E393" s="6" t="s">
        <v>283</v>
      </c>
      <c r="F393" s="7">
        <v>1</v>
      </c>
      <c r="G393" s="7">
        <v>1</v>
      </c>
      <c r="H393" s="7">
        <v>1</v>
      </c>
      <c r="I393" s="7">
        <v>1</v>
      </c>
      <c r="J393" s="142">
        <v>0</v>
      </c>
      <c r="K393" s="143">
        <v>0</v>
      </c>
    </row>
    <row r="394" spans="1:11" ht="26.4">
      <c r="A394" s="12" t="s">
        <v>854</v>
      </c>
      <c r="B394" s="11"/>
      <c r="C394" s="4" t="s">
        <v>116</v>
      </c>
      <c r="D394" s="5"/>
      <c r="E394" s="6" t="s">
        <v>117</v>
      </c>
      <c r="F394" s="7">
        <v>1400</v>
      </c>
      <c r="G394" s="7">
        <v>700</v>
      </c>
      <c r="H394" s="7">
        <v>600</v>
      </c>
      <c r="I394" s="7">
        <v>650</v>
      </c>
      <c r="J394" s="142">
        <v>700</v>
      </c>
      <c r="K394" s="143">
        <v>700</v>
      </c>
    </row>
    <row r="395" spans="1:11">
      <c r="A395" s="12" t="s">
        <v>672</v>
      </c>
      <c r="B395" s="11"/>
      <c r="C395" s="4" t="s">
        <v>673</v>
      </c>
      <c r="D395" s="5"/>
      <c r="E395" s="6" t="s">
        <v>117</v>
      </c>
      <c r="F395" s="7">
        <v>80</v>
      </c>
      <c r="G395" s="7">
        <v>50</v>
      </c>
      <c r="H395" s="7">
        <v>40</v>
      </c>
      <c r="I395" s="7">
        <v>40</v>
      </c>
      <c r="J395" s="142">
        <v>50</v>
      </c>
      <c r="K395" s="143">
        <v>50</v>
      </c>
    </row>
    <row r="396" spans="1:11">
      <c r="A396" s="12" t="s">
        <v>219</v>
      </c>
      <c r="B396" s="11"/>
      <c r="C396" s="4" t="s">
        <v>567</v>
      </c>
      <c r="D396" s="5"/>
      <c r="E396" s="6" t="s">
        <v>283</v>
      </c>
      <c r="F396" s="7"/>
      <c r="G396" s="7"/>
      <c r="H396" s="7">
        <v>1</v>
      </c>
      <c r="I396" s="7">
        <v>1</v>
      </c>
      <c r="J396" s="142">
        <v>1</v>
      </c>
      <c r="K396" s="143">
        <v>1</v>
      </c>
    </row>
    <row r="397" spans="1:11">
      <c r="A397" s="12" t="s">
        <v>571</v>
      </c>
      <c r="B397" s="11"/>
      <c r="C397" s="4" t="s">
        <v>322</v>
      </c>
      <c r="D397" s="5"/>
      <c r="E397" s="6" t="s">
        <v>283</v>
      </c>
      <c r="F397" s="7"/>
      <c r="G397" s="7"/>
      <c r="H397" s="7">
        <v>1</v>
      </c>
      <c r="I397" s="7">
        <v>1</v>
      </c>
      <c r="J397" s="142">
        <v>1</v>
      </c>
      <c r="K397" s="143">
        <v>1</v>
      </c>
    </row>
    <row r="398" spans="1:11">
      <c r="A398" s="12" t="s">
        <v>563</v>
      </c>
      <c r="B398" s="11"/>
      <c r="C398" s="4" t="s">
        <v>564</v>
      </c>
      <c r="D398" s="5"/>
      <c r="E398" s="6" t="s">
        <v>283</v>
      </c>
      <c r="F398" s="7"/>
      <c r="G398" s="7"/>
      <c r="H398" s="7">
        <v>1</v>
      </c>
      <c r="I398" s="7">
        <v>0</v>
      </c>
      <c r="J398" s="142">
        <v>0</v>
      </c>
      <c r="K398" s="143">
        <v>0</v>
      </c>
    </row>
    <row r="399" spans="1:11" ht="12.75" customHeight="1">
      <c r="A399" s="2523" t="s">
        <v>257</v>
      </c>
      <c r="B399" s="2523"/>
      <c r="C399" s="2523"/>
      <c r="D399" s="2523"/>
      <c r="E399" s="2523"/>
      <c r="F399" s="2523"/>
      <c r="G399" s="2523"/>
      <c r="H399" s="2523"/>
      <c r="I399" s="2523"/>
      <c r="J399" s="2524"/>
      <c r="K399" s="187"/>
    </row>
    <row r="400" spans="1:11" ht="12.75" customHeight="1">
      <c r="A400" s="2523" t="s">
        <v>281</v>
      </c>
      <c r="B400" s="2523"/>
      <c r="C400" s="2523"/>
      <c r="D400" s="2523"/>
      <c r="E400" s="2523"/>
      <c r="F400" s="2523"/>
      <c r="G400" s="2523"/>
      <c r="H400" s="2523"/>
      <c r="I400" s="2523"/>
      <c r="J400" s="2524"/>
      <c r="K400" s="187"/>
    </row>
    <row r="401" spans="1:11">
      <c r="A401" s="8" t="s">
        <v>298</v>
      </c>
      <c r="B401" s="8"/>
      <c r="C401" s="4" t="s">
        <v>299</v>
      </c>
      <c r="D401" s="5"/>
      <c r="E401" s="9" t="s">
        <v>317</v>
      </c>
      <c r="F401" s="7" t="s">
        <v>300</v>
      </c>
      <c r="G401" s="7" t="s">
        <v>318</v>
      </c>
      <c r="H401" s="7" t="s">
        <v>518</v>
      </c>
      <c r="I401" s="7" t="s">
        <v>320</v>
      </c>
      <c r="J401" s="142" t="s">
        <v>572</v>
      </c>
      <c r="K401" s="143" t="s">
        <v>572</v>
      </c>
    </row>
    <row r="402" spans="1:11" ht="16.5" customHeight="1">
      <c r="A402" s="14" t="s">
        <v>336</v>
      </c>
      <c r="B402" s="8"/>
      <c r="C402" s="4" t="s">
        <v>740</v>
      </c>
      <c r="D402" s="5"/>
      <c r="E402" s="9" t="s">
        <v>270</v>
      </c>
      <c r="F402" s="7"/>
      <c r="G402" s="7"/>
      <c r="H402" s="7">
        <v>0</v>
      </c>
      <c r="I402" s="183" t="s">
        <v>337</v>
      </c>
      <c r="J402" s="183" t="s">
        <v>337</v>
      </c>
      <c r="K402" s="157" t="s">
        <v>337</v>
      </c>
    </row>
    <row r="403" spans="1:11">
      <c r="A403" s="2527" t="s">
        <v>113</v>
      </c>
      <c r="B403" s="2527"/>
      <c r="C403" s="2527"/>
      <c r="D403" s="2527"/>
      <c r="E403" s="2527"/>
      <c r="F403" s="2527"/>
      <c r="G403" s="2527"/>
      <c r="H403" s="2527"/>
      <c r="I403" s="2527"/>
      <c r="J403" s="2528"/>
      <c r="K403" s="188"/>
    </row>
    <row r="404" spans="1:11" ht="12.75" customHeight="1">
      <c r="A404" s="2525" t="s">
        <v>459</v>
      </c>
      <c r="B404" s="2525"/>
      <c r="C404" s="2525"/>
      <c r="D404" s="2525"/>
      <c r="E404" s="2525"/>
      <c r="F404" s="2525"/>
      <c r="G404" s="2525"/>
      <c r="H404" s="2525"/>
      <c r="I404" s="2525"/>
      <c r="J404" s="2526"/>
      <c r="K404" s="190"/>
    </row>
    <row r="405" spans="1:11">
      <c r="A405" s="11" t="s">
        <v>96</v>
      </c>
      <c r="B405" s="11"/>
      <c r="C405" s="15" t="s">
        <v>460</v>
      </c>
      <c r="D405" s="5"/>
      <c r="E405" s="6" t="s">
        <v>283</v>
      </c>
      <c r="F405" s="7">
        <v>6</v>
      </c>
      <c r="G405" s="7">
        <v>2</v>
      </c>
      <c r="H405" s="7">
        <v>8</v>
      </c>
      <c r="I405" s="7">
        <v>3</v>
      </c>
      <c r="J405" s="142">
        <v>3</v>
      </c>
      <c r="K405" s="143">
        <v>3</v>
      </c>
    </row>
    <row r="406" spans="1:11">
      <c r="A406" s="11" t="s">
        <v>614</v>
      </c>
      <c r="B406" s="12"/>
      <c r="C406" s="15" t="s">
        <v>61</v>
      </c>
      <c r="D406" s="5"/>
      <c r="E406" s="6" t="s">
        <v>283</v>
      </c>
      <c r="F406" s="7"/>
      <c r="G406" s="7">
        <v>2</v>
      </c>
      <c r="H406" s="7">
        <v>6</v>
      </c>
      <c r="I406" s="7">
        <v>5</v>
      </c>
      <c r="J406" s="142">
        <v>3</v>
      </c>
      <c r="K406" s="143">
        <v>3</v>
      </c>
    </row>
    <row r="407" spans="1:11" ht="12.75" customHeight="1">
      <c r="A407" s="2529" t="s">
        <v>461</v>
      </c>
      <c r="B407" s="2529"/>
      <c r="C407" s="2529"/>
      <c r="D407" s="2529"/>
      <c r="E407" s="2529"/>
      <c r="F407" s="2529"/>
      <c r="G407" s="2529"/>
      <c r="H407" s="2529"/>
      <c r="I407" s="2525"/>
      <c r="J407" s="2526"/>
      <c r="K407" s="190"/>
    </row>
    <row r="408" spans="1:11" ht="26.4">
      <c r="A408" s="52" t="s">
        <v>850</v>
      </c>
      <c r="B408" s="53" t="s">
        <v>653</v>
      </c>
      <c r="C408" s="53" t="s">
        <v>653</v>
      </c>
      <c r="D408" s="53">
        <v>1</v>
      </c>
      <c r="E408" s="54" t="s">
        <v>283</v>
      </c>
      <c r="F408" s="53">
        <v>6</v>
      </c>
      <c r="G408" s="53">
        <v>4</v>
      </c>
      <c r="H408" s="53">
        <v>1</v>
      </c>
      <c r="I408" s="73">
        <v>1</v>
      </c>
      <c r="J408" s="142">
        <v>1</v>
      </c>
      <c r="K408" s="143">
        <v>1</v>
      </c>
    </row>
    <row r="409" spans="1:11" ht="26.4">
      <c r="A409" s="52" t="s">
        <v>827</v>
      </c>
      <c r="B409" s="53" t="s">
        <v>828</v>
      </c>
      <c r="C409" s="53" t="s">
        <v>851</v>
      </c>
      <c r="D409" s="53">
        <v>2</v>
      </c>
      <c r="E409" s="54" t="s">
        <v>283</v>
      </c>
      <c r="F409" s="53">
        <v>4</v>
      </c>
      <c r="G409" s="53">
        <v>4</v>
      </c>
      <c r="H409" s="53">
        <v>1</v>
      </c>
      <c r="I409" s="73">
        <v>0</v>
      </c>
      <c r="J409" s="142">
        <v>0</v>
      </c>
      <c r="K409" s="143">
        <v>0</v>
      </c>
    </row>
    <row r="410" spans="1:11" ht="26.4">
      <c r="A410" s="207" t="s">
        <v>236</v>
      </c>
      <c r="B410" s="208" t="s">
        <v>285</v>
      </c>
      <c r="C410" s="208" t="s">
        <v>285</v>
      </c>
      <c r="D410" s="208">
        <v>5</v>
      </c>
      <c r="E410" s="209" t="s">
        <v>283</v>
      </c>
      <c r="F410" s="208">
        <v>5</v>
      </c>
      <c r="G410" s="208">
        <v>4</v>
      </c>
      <c r="H410" s="208">
        <v>7</v>
      </c>
      <c r="I410" s="210">
        <v>5</v>
      </c>
      <c r="J410" s="149">
        <v>5</v>
      </c>
      <c r="K410" s="143">
        <v>5</v>
      </c>
    </row>
    <row r="411" spans="1:11" ht="25.5" customHeight="1">
      <c r="A411" s="213" t="s">
        <v>497</v>
      </c>
      <c r="B411" s="214"/>
      <c r="C411" s="214"/>
      <c r="D411" s="214"/>
      <c r="E411" s="214"/>
      <c r="F411" s="214"/>
      <c r="G411" s="214"/>
      <c r="H411" s="214"/>
      <c r="I411" s="214"/>
      <c r="J411" s="214"/>
      <c r="K411" s="215"/>
    </row>
    <row r="412" spans="1:11" ht="27.75" customHeight="1">
      <c r="A412" s="211" t="s">
        <v>144</v>
      </c>
      <c r="B412" s="68"/>
      <c r="C412" s="203" t="s">
        <v>498</v>
      </c>
      <c r="D412" s="70"/>
      <c r="E412" s="163" t="s">
        <v>143</v>
      </c>
      <c r="F412" s="71"/>
      <c r="G412" s="71"/>
      <c r="H412" s="162" t="s">
        <v>612</v>
      </c>
      <c r="I412" s="162">
        <v>9</v>
      </c>
      <c r="J412" s="212" t="s">
        <v>613</v>
      </c>
      <c r="K412" s="156" t="s">
        <v>613</v>
      </c>
    </row>
    <row r="413" spans="1:11">
      <c r="A413" s="12" t="s">
        <v>576</v>
      </c>
      <c r="B413" s="12"/>
      <c r="C413" s="15" t="s">
        <v>611</v>
      </c>
      <c r="D413" s="5"/>
      <c r="E413" s="6" t="s">
        <v>283</v>
      </c>
      <c r="F413" s="7"/>
      <c r="G413" s="7">
        <v>0</v>
      </c>
      <c r="H413" s="4">
        <v>1</v>
      </c>
      <c r="I413" s="4">
        <v>2</v>
      </c>
      <c r="J413" s="167">
        <v>0</v>
      </c>
      <c r="K413" s="156">
        <v>0</v>
      </c>
    </row>
    <row r="414" spans="1:11" ht="27.75" customHeight="1">
      <c r="A414" s="43" t="s">
        <v>335</v>
      </c>
      <c r="B414" s="43"/>
      <c r="C414" s="201" t="s">
        <v>334</v>
      </c>
      <c r="D414" s="133"/>
      <c r="E414" s="153" t="s">
        <v>283</v>
      </c>
      <c r="F414" s="154"/>
      <c r="G414" s="154"/>
      <c r="H414" s="152">
        <v>0</v>
      </c>
      <c r="I414" s="152">
        <v>1</v>
      </c>
      <c r="J414" s="202">
        <v>0</v>
      </c>
      <c r="K414" s="156">
        <v>0</v>
      </c>
    </row>
    <row r="415" spans="1:11" ht="12.75" customHeight="1">
      <c r="A415" s="216" t="s">
        <v>329</v>
      </c>
      <c r="B415" s="217"/>
      <c r="C415" s="217"/>
      <c r="D415" s="217"/>
      <c r="E415" s="217"/>
      <c r="F415" s="217"/>
      <c r="G415" s="217"/>
      <c r="H415" s="217"/>
      <c r="I415" s="217"/>
      <c r="J415" s="217"/>
      <c r="K415" s="205"/>
    </row>
    <row r="416" spans="1:11" ht="12.75" customHeight="1">
      <c r="A416" s="218" t="s">
        <v>281</v>
      </c>
      <c r="B416" s="219"/>
      <c r="C416" s="219"/>
      <c r="D416" s="219"/>
      <c r="E416" s="219"/>
      <c r="F416" s="219"/>
      <c r="G416" s="219"/>
      <c r="H416" s="219"/>
      <c r="I416" s="219"/>
      <c r="J416" s="219"/>
      <c r="K416" s="206"/>
    </row>
    <row r="417" spans="1:11" ht="15" customHeight="1">
      <c r="A417" s="134" t="s">
        <v>615</v>
      </c>
      <c r="B417" s="134"/>
      <c r="C417" s="203" t="s">
        <v>330</v>
      </c>
      <c r="D417" s="135"/>
      <c r="E417" s="136" t="s">
        <v>283</v>
      </c>
      <c r="F417" s="137">
        <v>2</v>
      </c>
      <c r="G417" s="137">
        <v>1</v>
      </c>
      <c r="H417" s="137">
        <v>1</v>
      </c>
      <c r="I417" s="137">
        <v>1</v>
      </c>
      <c r="J417" s="165">
        <v>1</v>
      </c>
      <c r="K417" s="143">
        <v>1</v>
      </c>
    </row>
    <row r="418" spans="1:11" ht="15" customHeight="1">
      <c r="A418" s="8" t="s">
        <v>616</v>
      </c>
      <c r="B418" s="8"/>
      <c r="C418" s="15" t="s">
        <v>617</v>
      </c>
      <c r="D418" s="5"/>
      <c r="E418" s="6" t="s">
        <v>283</v>
      </c>
      <c r="F418" s="7"/>
      <c r="G418" s="7"/>
      <c r="H418" s="7">
        <v>1</v>
      </c>
      <c r="I418" s="7">
        <v>0</v>
      </c>
      <c r="J418" s="142">
        <v>0</v>
      </c>
      <c r="K418" s="143">
        <v>0</v>
      </c>
    </row>
    <row r="419" spans="1:11">
      <c r="A419" s="166" t="s">
        <v>113</v>
      </c>
      <c r="B419" s="220"/>
      <c r="C419" s="220"/>
      <c r="D419" s="220"/>
      <c r="E419" s="220"/>
      <c r="F419" s="220"/>
      <c r="G419" s="220"/>
      <c r="H419" s="220"/>
      <c r="I419" s="220"/>
      <c r="J419" s="2517"/>
      <c r="K419" s="2518"/>
    </row>
    <row r="420" spans="1:11" ht="12.75" customHeight="1">
      <c r="A420" s="160" t="s">
        <v>331</v>
      </c>
      <c r="B420" s="161"/>
      <c r="C420" s="161"/>
      <c r="D420" s="161"/>
      <c r="E420" s="161"/>
      <c r="F420" s="161"/>
      <c r="G420" s="161"/>
      <c r="H420" s="161"/>
      <c r="I420" s="161"/>
      <c r="J420" s="161"/>
      <c r="K420" s="215"/>
    </row>
    <row r="421" spans="1:11" ht="12.75" customHeight="1">
      <c r="A421" s="11" t="s">
        <v>10</v>
      </c>
      <c r="B421" s="27"/>
      <c r="C421" s="4" t="s">
        <v>619</v>
      </c>
      <c r="D421" s="27"/>
      <c r="E421" s="6" t="s">
        <v>456</v>
      </c>
      <c r="F421" s="17"/>
      <c r="G421" s="17"/>
      <c r="H421" s="7" t="s">
        <v>11</v>
      </c>
      <c r="I421" s="7">
        <v>30</v>
      </c>
      <c r="J421" s="142">
        <v>50</v>
      </c>
      <c r="K421" s="143">
        <v>30</v>
      </c>
    </row>
    <row r="422" spans="1:11">
      <c r="A422" s="11" t="s">
        <v>618</v>
      </c>
      <c r="B422" s="11"/>
      <c r="C422" s="4" t="s">
        <v>379</v>
      </c>
      <c r="D422" s="5"/>
      <c r="E422" s="6" t="s">
        <v>283</v>
      </c>
      <c r="F422" s="7">
        <v>0</v>
      </c>
      <c r="G422" s="7">
        <v>0</v>
      </c>
      <c r="H422" s="7">
        <v>0</v>
      </c>
      <c r="I422" s="7">
        <v>0</v>
      </c>
      <c r="J422" s="142">
        <v>1</v>
      </c>
      <c r="K422" s="143">
        <v>0</v>
      </c>
    </row>
    <row r="423" spans="1:11">
      <c r="A423" s="11" t="s">
        <v>482</v>
      </c>
      <c r="B423" s="11"/>
      <c r="C423" s="4" t="s">
        <v>483</v>
      </c>
      <c r="D423" s="5"/>
      <c r="E423" s="6" t="s">
        <v>283</v>
      </c>
      <c r="F423" s="7">
        <v>0</v>
      </c>
      <c r="G423" s="7">
        <v>0</v>
      </c>
      <c r="H423" s="7">
        <v>0</v>
      </c>
      <c r="I423" s="7">
        <v>0</v>
      </c>
      <c r="J423" s="142">
        <v>1</v>
      </c>
      <c r="K423" s="143">
        <v>1</v>
      </c>
    </row>
    <row r="424" spans="1:11">
      <c r="A424" s="11" t="s">
        <v>403</v>
      </c>
      <c r="B424" s="11"/>
      <c r="C424" s="4" t="s">
        <v>404</v>
      </c>
      <c r="D424" s="33"/>
      <c r="E424" s="6" t="s">
        <v>283</v>
      </c>
      <c r="F424" s="7"/>
      <c r="G424" s="7">
        <v>1</v>
      </c>
      <c r="H424" s="7">
        <v>1</v>
      </c>
      <c r="I424" s="7">
        <v>1</v>
      </c>
      <c r="J424" s="142">
        <v>1</v>
      </c>
      <c r="K424" s="143">
        <v>1</v>
      </c>
    </row>
    <row r="425" spans="1:11" ht="12.75" customHeight="1">
      <c r="A425" s="160" t="s">
        <v>560</v>
      </c>
      <c r="B425" s="161"/>
      <c r="C425" s="161"/>
      <c r="D425" s="161"/>
      <c r="E425" s="161"/>
      <c r="F425" s="161"/>
      <c r="G425" s="161"/>
      <c r="H425" s="161"/>
      <c r="I425" s="161"/>
      <c r="J425" s="221"/>
      <c r="K425" s="190"/>
    </row>
    <row r="426" spans="1:11">
      <c r="A426" s="12" t="s">
        <v>466</v>
      </c>
      <c r="B426" s="12"/>
      <c r="C426" s="4" t="s">
        <v>467</v>
      </c>
      <c r="D426" s="5"/>
      <c r="E426" s="6" t="s">
        <v>283</v>
      </c>
      <c r="F426" s="7">
        <v>1</v>
      </c>
      <c r="G426" s="7">
        <v>1</v>
      </c>
      <c r="H426" s="7">
        <v>1</v>
      </c>
      <c r="I426" s="7">
        <v>1</v>
      </c>
      <c r="J426" s="142">
        <v>1</v>
      </c>
      <c r="K426" s="143">
        <v>1</v>
      </c>
    </row>
    <row r="427" spans="1:11" ht="14.25" customHeight="1">
      <c r="A427" s="43" t="s">
        <v>378</v>
      </c>
      <c r="B427" s="43"/>
      <c r="C427" s="152" t="s">
        <v>468</v>
      </c>
      <c r="D427" s="133"/>
      <c r="E427" s="153" t="s">
        <v>283</v>
      </c>
      <c r="F427" s="154">
        <v>1</v>
      </c>
      <c r="G427" s="154">
        <v>1</v>
      </c>
      <c r="H427" s="154">
        <v>1</v>
      </c>
      <c r="I427" s="154">
        <v>1</v>
      </c>
      <c r="J427" s="149">
        <v>1</v>
      </c>
      <c r="K427" s="143">
        <v>1</v>
      </c>
    </row>
    <row r="428" spans="1:11" ht="14.25" customHeight="1">
      <c r="A428" s="155" t="s">
        <v>562</v>
      </c>
      <c r="B428" s="155"/>
      <c r="C428" s="156" t="s">
        <v>561</v>
      </c>
      <c r="D428" s="139"/>
      <c r="E428" s="157" t="s">
        <v>456</v>
      </c>
      <c r="F428" s="143"/>
      <c r="G428" s="143"/>
      <c r="H428" s="143">
        <v>100</v>
      </c>
      <c r="I428" s="143">
        <v>100</v>
      </c>
      <c r="J428" s="171">
        <v>100</v>
      </c>
      <c r="K428" s="143">
        <v>100</v>
      </c>
    </row>
    <row r="429" spans="1:11">
      <c r="A429" s="155" t="s">
        <v>80</v>
      </c>
      <c r="B429" s="155"/>
      <c r="C429" s="156" t="s">
        <v>79</v>
      </c>
      <c r="D429" s="139"/>
      <c r="E429" s="157" t="s">
        <v>283</v>
      </c>
      <c r="F429" s="143">
        <v>1</v>
      </c>
      <c r="G429" s="143">
        <v>1</v>
      </c>
      <c r="H429" s="143">
        <v>1</v>
      </c>
      <c r="I429" s="143">
        <v>7</v>
      </c>
      <c r="J429" s="143">
        <v>0</v>
      </c>
      <c r="K429" s="143">
        <v>0</v>
      </c>
    </row>
    <row r="431" spans="1:11">
      <c r="A431" s="26"/>
      <c r="C431" s="3"/>
      <c r="D431" s="3"/>
      <c r="E431" s="3"/>
    </row>
  </sheetData>
  <sheetProtection selectLockedCells="1" selectUnlockedCells="1"/>
  <mergeCells count="131">
    <mergeCell ref="A1:J1"/>
    <mergeCell ref="A9:J9"/>
    <mergeCell ref="A31:J31"/>
    <mergeCell ref="A35:J35"/>
    <mergeCell ref="E55:E58"/>
    <mergeCell ref="A52:J52"/>
    <mergeCell ref="A45:J45"/>
    <mergeCell ref="A49:J49"/>
    <mergeCell ref="A43:J43"/>
    <mergeCell ref="A21:J21"/>
    <mergeCell ref="A28:J28"/>
    <mergeCell ref="A39:J39"/>
    <mergeCell ref="A10:J10"/>
    <mergeCell ref="A11:J11"/>
    <mergeCell ref="A16:J16"/>
    <mergeCell ref="A38:J38"/>
    <mergeCell ref="A17:J17"/>
    <mergeCell ref="A42:J42"/>
    <mergeCell ref="C55:C58"/>
    <mergeCell ref="A60:J60"/>
    <mergeCell ref="A82:J82"/>
    <mergeCell ref="C77:C78"/>
    <mergeCell ref="A80:J80"/>
    <mergeCell ref="A59:J59"/>
    <mergeCell ref="A153:J153"/>
    <mergeCell ref="A164:J164"/>
    <mergeCell ref="A130:J130"/>
    <mergeCell ref="A129:J129"/>
    <mergeCell ref="A125:J125"/>
    <mergeCell ref="A73:J73"/>
    <mergeCell ref="A124:J124"/>
    <mergeCell ref="A126:J126"/>
    <mergeCell ref="A132:J132"/>
    <mergeCell ref="A120:J120"/>
    <mergeCell ref="A122:J122"/>
    <mergeCell ref="A102:A103"/>
    <mergeCell ref="C102:C103"/>
    <mergeCell ref="A119:J119"/>
    <mergeCell ref="C107:C110"/>
    <mergeCell ref="C111:C115"/>
    <mergeCell ref="A101:J101"/>
    <mergeCell ref="A71:J71"/>
    <mergeCell ref="A157:J157"/>
    <mergeCell ref="A158:J158"/>
    <mergeCell ref="A147:J147"/>
    <mergeCell ref="A148:J148"/>
    <mergeCell ref="A142:J142"/>
    <mergeCell ref="A141:J141"/>
    <mergeCell ref="A154:J154"/>
    <mergeCell ref="A140:J140"/>
    <mergeCell ref="A72:J72"/>
    <mergeCell ref="A81:J81"/>
    <mergeCell ref="A179:J179"/>
    <mergeCell ref="A183:J183"/>
    <mergeCell ref="A184:J184"/>
    <mergeCell ref="A170:J170"/>
    <mergeCell ref="A171:J171"/>
    <mergeCell ref="A172:J172"/>
    <mergeCell ref="A180:J180"/>
    <mergeCell ref="A174:J174"/>
    <mergeCell ref="A181:A182"/>
    <mergeCell ref="A175:J175"/>
    <mergeCell ref="A188:J188"/>
    <mergeCell ref="A189:J189"/>
    <mergeCell ref="A198:J198"/>
    <mergeCell ref="A213:J213"/>
    <mergeCell ref="A205:J205"/>
    <mergeCell ref="A204:J204"/>
    <mergeCell ref="A194:J194"/>
    <mergeCell ref="A195:J195"/>
    <mergeCell ref="A247:J247"/>
    <mergeCell ref="A246:J246"/>
    <mergeCell ref="A203:J203"/>
    <mergeCell ref="A237:J237"/>
    <mergeCell ref="A233:J233"/>
    <mergeCell ref="A238:J238"/>
    <mergeCell ref="A245:J245"/>
    <mergeCell ref="A232:J232"/>
    <mergeCell ref="A215:J215"/>
    <mergeCell ref="A212:J212"/>
    <mergeCell ref="A223:J223"/>
    <mergeCell ref="A266:J266"/>
    <mergeCell ref="A270:J270"/>
    <mergeCell ref="A252:J252"/>
    <mergeCell ref="A260:J260"/>
    <mergeCell ref="A251:J251"/>
    <mergeCell ref="A271:J271"/>
    <mergeCell ref="A276:J276"/>
    <mergeCell ref="A277:J277"/>
    <mergeCell ref="A304:J304"/>
    <mergeCell ref="A278:J278"/>
    <mergeCell ref="A282:J282"/>
    <mergeCell ref="A283:J283"/>
    <mergeCell ref="A293:J293"/>
    <mergeCell ref="A306:J306"/>
    <mergeCell ref="A327:J327"/>
    <mergeCell ref="A317:J317"/>
    <mergeCell ref="A302:J302"/>
    <mergeCell ref="A312:J312"/>
    <mergeCell ref="A307:J307"/>
    <mergeCell ref="A308:J308"/>
    <mergeCell ref="A311:J311"/>
    <mergeCell ref="A326:J326"/>
    <mergeCell ref="A370:J370"/>
    <mergeCell ref="A374:J374"/>
    <mergeCell ref="A403:J403"/>
    <mergeCell ref="A336:J336"/>
    <mergeCell ref="A340:J340"/>
    <mergeCell ref="A359:J359"/>
    <mergeCell ref="A349:K349"/>
    <mergeCell ref="A360:J360"/>
    <mergeCell ref="A335:J335"/>
    <mergeCell ref="A342:J342"/>
    <mergeCell ref="A372:J372"/>
    <mergeCell ref="A345:J345"/>
    <mergeCell ref="A356:J356"/>
    <mergeCell ref="A357:J357"/>
    <mergeCell ref="A365:J365"/>
    <mergeCell ref="A352:J352"/>
    <mergeCell ref="A354:J354"/>
    <mergeCell ref="J419:K419"/>
    <mergeCell ref="A375:J375"/>
    <mergeCell ref="A379:J379"/>
    <mergeCell ref="A381:J381"/>
    <mergeCell ref="A400:J400"/>
    <mergeCell ref="A380:J380"/>
    <mergeCell ref="A389:J389"/>
    <mergeCell ref="A399:J399"/>
    <mergeCell ref="A388:J388"/>
    <mergeCell ref="A404:J404"/>
    <mergeCell ref="A407:J407"/>
  </mergeCells>
  <phoneticPr fontId="17" type="noConversion"/>
  <pageMargins left="0.32" right="0.22" top="1.0527777777777778" bottom="0.36" header="0.78749999999999998" footer="0.24"/>
  <pageSetup paperSize="9" firstPageNumber="0" orientation="landscape" r:id="rId1"/>
  <headerFooter alignWithMargins="0"/>
  <ignoredErrors>
    <ignoredError sqref="F165 J232:J233 F159 I239 H165:H168 G232:H233 A232:A233 G310:J310 D226:F229 J412 A224:F224 G237:H238 G241:J241 F242:G242 J237:J239 A237:F241 H361:J361 B232:F234 A242:D242 H421 J167:J168 A226:B229 H412 G165:G168" numberStoredAsText="1"/>
  </ignoredErrors>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H104"/>
  <sheetViews>
    <sheetView zoomScale="130" workbookViewId="0">
      <selection activeCell="D7" sqref="D7"/>
    </sheetView>
  </sheetViews>
  <sheetFormatPr defaultColWidth="9.109375" defaultRowHeight="15.6"/>
  <cols>
    <col min="1" max="1" width="35.88671875" style="56" customWidth="1"/>
    <col min="2" max="2" width="10.44140625" style="56" customWidth="1"/>
    <col min="3" max="5" width="13.109375" style="56" customWidth="1"/>
    <col min="6" max="7" width="12.44140625" style="56" customWidth="1"/>
    <col min="8" max="8" width="10.5546875" style="56" customWidth="1"/>
    <col min="9" max="16384" width="9.109375" style="56"/>
  </cols>
  <sheetData>
    <row r="1" spans="1:6" ht="18" customHeight="1">
      <c r="A1" s="2601" t="s">
        <v>92</v>
      </c>
      <c r="B1" s="2601"/>
      <c r="C1" s="2601"/>
      <c r="D1" s="2601"/>
      <c r="E1" s="2601"/>
      <c r="F1" s="2601"/>
    </row>
    <row r="2" spans="1:6">
      <c r="A2" s="55" t="s">
        <v>645</v>
      </c>
    </row>
    <row r="3" spans="1:6" ht="4.5" customHeight="1">
      <c r="A3" s="57"/>
    </row>
    <row r="4" spans="1:6" ht="31.2">
      <c r="A4" s="74" t="s">
        <v>623</v>
      </c>
      <c r="B4" s="74" t="s">
        <v>631</v>
      </c>
      <c r="C4" s="75" t="s">
        <v>581</v>
      </c>
      <c r="D4" s="75" t="s">
        <v>599</v>
      </c>
      <c r="E4" s="75" t="s">
        <v>582</v>
      </c>
      <c r="F4" s="75" t="s">
        <v>583</v>
      </c>
    </row>
    <row r="5" spans="1:6" ht="15.75" customHeight="1">
      <c r="A5" s="2605" t="s">
        <v>667</v>
      </c>
      <c r="B5" s="58"/>
      <c r="C5" s="61" t="e">
        <f>C6+C7+C11+C12+C13</f>
        <v>#REF!</v>
      </c>
      <c r="D5" s="76" t="e">
        <f>C5*100/11376.608</f>
        <v>#REF!</v>
      </c>
      <c r="E5" s="61" t="e">
        <f>E6+E7+E11+E12+E13+E14</f>
        <v>#REF!</v>
      </c>
      <c r="F5" s="76" t="e">
        <f>E5*100/E37</f>
        <v>#REF!</v>
      </c>
    </row>
    <row r="6" spans="1:6">
      <c r="A6" s="2606"/>
      <c r="B6" s="62">
        <v>1</v>
      </c>
      <c r="C6" s="59" t="e">
        <f>#REF!</f>
        <v>#REF!</v>
      </c>
      <c r="D6" s="77" t="e">
        <f t="shared" ref="D6:D35" si="0">C6*100/11376.608</f>
        <v>#REF!</v>
      </c>
      <c r="E6" s="59" t="e">
        <f>#REF!</f>
        <v>#REF!</v>
      </c>
      <c r="F6" s="77" t="e">
        <f>E6*100/E37</f>
        <v>#REF!</v>
      </c>
    </row>
    <row r="7" spans="1:6">
      <c r="A7" s="2606"/>
      <c r="B7" s="62">
        <v>2</v>
      </c>
      <c r="C7" s="59" t="e">
        <f>C8+C9+C10</f>
        <v>#REF!</v>
      </c>
      <c r="D7" s="77" t="e">
        <f t="shared" si="0"/>
        <v>#REF!</v>
      </c>
      <c r="E7" s="59" t="e">
        <f>E8+E9+E10</f>
        <v>#REF!</v>
      </c>
      <c r="F7" s="77" t="e">
        <f>E7*100/E37</f>
        <v>#REF!</v>
      </c>
    </row>
    <row r="8" spans="1:6">
      <c r="A8" s="2606"/>
      <c r="B8" s="79" t="s">
        <v>107</v>
      </c>
      <c r="C8" s="60" t="e">
        <f>#REF!+#REF!+#REF!+#REF!+#REF!</f>
        <v>#REF!</v>
      </c>
      <c r="D8" s="66" t="e">
        <f t="shared" si="0"/>
        <v>#REF!</v>
      </c>
      <c r="E8" s="60" t="e">
        <f>#REF!+#REF!+#REF!+#REF!+#REF!</f>
        <v>#REF!</v>
      </c>
      <c r="F8" s="159" t="e">
        <f>E8*100/E37</f>
        <v>#REF!</v>
      </c>
    </row>
    <row r="9" spans="1:6">
      <c r="A9" s="2606"/>
      <c r="B9" s="79" t="s">
        <v>108</v>
      </c>
      <c r="C9" s="60" t="e">
        <f>#REF!+#REF!+#REF!+#REF!+#REF!</f>
        <v>#REF!</v>
      </c>
      <c r="D9" s="66" t="e">
        <f t="shared" si="0"/>
        <v>#REF!</v>
      </c>
      <c r="E9" s="60" t="e">
        <f>#REF!+#REF!+#REF!+#REF!+#REF!</f>
        <v>#REF!</v>
      </c>
      <c r="F9" s="159" t="e">
        <f>E9*100/E37</f>
        <v>#REF!</v>
      </c>
    </row>
    <row r="10" spans="1:6">
      <c r="A10" s="2606"/>
      <c r="B10" s="79" t="s">
        <v>109</v>
      </c>
      <c r="C10" s="60" t="e">
        <f>#REF!+#REF!+#REF!+#REF!+#REF!</f>
        <v>#REF!</v>
      </c>
      <c r="D10" s="66" t="e">
        <f t="shared" si="0"/>
        <v>#REF!</v>
      </c>
      <c r="E10" s="60" t="e">
        <f>#REF!+#REF!+#REF!+#REF!+#REF!</f>
        <v>#REF!</v>
      </c>
      <c r="F10" s="159" t="e">
        <f>E10*100/E37</f>
        <v>#REF!</v>
      </c>
    </row>
    <row r="11" spans="1:6">
      <c r="A11" s="2606"/>
      <c r="B11" s="62">
        <v>3</v>
      </c>
      <c r="C11" s="59" t="e">
        <f>#REF!</f>
        <v>#REF!</v>
      </c>
      <c r="D11" s="77" t="e">
        <f t="shared" si="0"/>
        <v>#REF!</v>
      </c>
      <c r="E11" s="59" t="e">
        <f>#REF!</f>
        <v>#REF!</v>
      </c>
      <c r="F11" s="77" t="e">
        <f>E11*100/E37</f>
        <v>#REF!</v>
      </c>
    </row>
    <row r="12" spans="1:6">
      <c r="A12" s="2606"/>
      <c r="B12" s="62">
        <v>4</v>
      </c>
      <c r="C12" s="59" t="e">
        <f>#REF!</f>
        <v>#REF!</v>
      </c>
      <c r="D12" s="77" t="e">
        <f t="shared" si="0"/>
        <v>#REF!</v>
      </c>
      <c r="E12" s="59" t="e">
        <f>#REF!+#REF!</f>
        <v>#REF!</v>
      </c>
      <c r="F12" s="77" t="e">
        <f>E12*100/E37</f>
        <v>#REF!</v>
      </c>
    </row>
    <row r="13" spans="1:6">
      <c r="A13" s="2606"/>
      <c r="B13" s="62">
        <v>6</v>
      </c>
      <c r="C13" s="59" t="e">
        <f>#REF!</f>
        <v>#REF!</v>
      </c>
      <c r="D13" s="77" t="e">
        <f t="shared" si="0"/>
        <v>#REF!</v>
      </c>
      <c r="E13" s="59" t="e">
        <f>#REF!</f>
        <v>#REF!</v>
      </c>
      <c r="F13" s="77" t="e">
        <f>E13*100/E37</f>
        <v>#REF!</v>
      </c>
    </row>
    <row r="14" spans="1:6">
      <c r="A14" s="2607"/>
      <c r="B14" s="62">
        <v>9</v>
      </c>
      <c r="C14" s="59"/>
      <c r="D14" s="77"/>
      <c r="E14" s="59" t="e">
        <f>#REF!</f>
        <v>#REF!</v>
      </c>
      <c r="F14" s="77" t="e">
        <f>E14*100/E37</f>
        <v>#REF!</v>
      </c>
    </row>
    <row r="15" spans="1:6" ht="16.2">
      <c r="A15" s="2602" t="s">
        <v>110</v>
      </c>
      <c r="B15" s="62"/>
      <c r="C15" s="61" t="e">
        <f>C16+C19</f>
        <v>#REF!</v>
      </c>
      <c r="D15" s="76" t="e">
        <f>C15*100/11376.608</f>
        <v>#REF!</v>
      </c>
      <c r="E15" s="61" t="e">
        <f>E16+E19</f>
        <v>#REF!</v>
      </c>
      <c r="F15" s="76" t="e">
        <f>E15*100/E37</f>
        <v>#REF!</v>
      </c>
    </row>
    <row r="16" spans="1:6">
      <c r="A16" s="2603"/>
      <c r="B16" s="62">
        <v>2</v>
      </c>
      <c r="C16" s="59" t="e">
        <f>C17+C18</f>
        <v>#REF!</v>
      </c>
      <c r="D16" s="77" t="e">
        <f t="shared" si="0"/>
        <v>#REF!</v>
      </c>
      <c r="E16" s="59" t="e">
        <f>E17+E18</f>
        <v>#REF!</v>
      </c>
      <c r="F16" s="77" t="e">
        <f>E16*100/E37</f>
        <v>#REF!</v>
      </c>
    </row>
    <row r="17" spans="1:6">
      <c r="A17" s="2603"/>
      <c r="B17" s="79" t="s">
        <v>108</v>
      </c>
      <c r="C17" s="60" t="e">
        <f>#REF!+#REF!+#REF!+#REF!+#REF!</f>
        <v>#REF!</v>
      </c>
      <c r="D17" s="66" t="e">
        <f t="shared" si="0"/>
        <v>#REF!</v>
      </c>
      <c r="E17" s="60" t="e">
        <f>#REF!+#REF!+#REF!+#REF!+#REF!</f>
        <v>#REF!</v>
      </c>
      <c r="F17" s="159" t="e">
        <f>E17*100/E37</f>
        <v>#REF!</v>
      </c>
    </row>
    <row r="18" spans="1:6">
      <c r="A18" s="2603"/>
      <c r="B18" s="79" t="s">
        <v>109</v>
      </c>
      <c r="C18" s="60" t="e">
        <f>#REF!+#REF!</f>
        <v>#REF!</v>
      </c>
      <c r="D18" s="66" t="e">
        <f t="shared" si="0"/>
        <v>#REF!</v>
      </c>
      <c r="E18" s="60" t="e">
        <f>#REF!+#REF!+#REF!</f>
        <v>#REF!</v>
      </c>
      <c r="F18" s="159" t="e">
        <f>E18*100/E37</f>
        <v>#REF!</v>
      </c>
    </row>
    <row r="19" spans="1:6">
      <c r="A19" s="2604"/>
      <c r="B19" s="62">
        <v>3</v>
      </c>
      <c r="C19" s="59" t="e">
        <f>#REF!</f>
        <v>#REF!</v>
      </c>
      <c r="D19" s="77" t="e">
        <f>C19*100/11376.608</f>
        <v>#REF!</v>
      </c>
      <c r="E19" s="59" t="e">
        <f>#REF!</f>
        <v>#REF!</v>
      </c>
      <c r="F19" s="77" t="e">
        <f>E19*100/E37</f>
        <v>#REF!</v>
      </c>
    </row>
    <row r="20" spans="1:6" ht="31.2">
      <c r="A20" s="63" t="s">
        <v>585</v>
      </c>
      <c r="B20" s="62">
        <v>1</v>
      </c>
      <c r="C20" s="61" t="e">
        <f>#REF!</f>
        <v>#REF!</v>
      </c>
      <c r="D20" s="77" t="e">
        <f t="shared" si="0"/>
        <v>#REF!</v>
      </c>
      <c r="E20" s="61" t="e">
        <f>#REF!</f>
        <v>#REF!</v>
      </c>
      <c r="F20" s="77" t="e">
        <f>E20*100/E37</f>
        <v>#REF!</v>
      </c>
    </row>
    <row r="21" spans="1:6" ht="31.2">
      <c r="A21" s="63" t="s">
        <v>584</v>
      </c>
      <c r="B21" s="62">
        <v>6</v>
      </c>
      <c r="C21" s="61" t="e">
        <f>#REF!</f>
        <v>#REF!</v>
      </c>
      <c r="D21" s="77" t="e">
        <f t="shared" si="0"/>
        <v>#REF!</v>
      </c>
      <c r="E21" s="61" t="e">
        <f>#REF!</f>
        <v>#REF!</v>
      </c>
      <c r="F21" s="77" t="e">
        <f>E21*100/E37</f>
        <v>#REF!</v>
      </c>
    </row>
    <row r="22" spans="1:6" ht="31.2">
      <c r="A22" s="63" t="s">
        <v>94</v>
      </c>
      <c r="B22" s="62">
        <v>4</v>
      </c>
      <c r="C22" s="61" t="e">
        <f>#REF!+#REF!</f>
        <v>#REF!</v>
      </c>
      <c r="D22" s="77" t="e">
        <f t="shared" si="0"/>
        <v>#REF!</v>
      </c>
      <c r="E22" s="61" t="e">
        <f>#REF!+#REF!</f>
        <v>#REF!</v>
      </c>
      <c r="F22" s="77" t="e">
        <f>E22*100/E37</f>
        <v>#REF!</v>
      </c>
    </row>
    <row r="23" spans="1:6" ht="31.2">
      <c r="A23" s="63" t="s">
        <v>106</v>
      </c>
      <c r="B23" s="62">
        <v>1</v>
      </c>
      <c r="C23" s="61" t="e">
        <f>#REF!</f>
        <v>#REF!</v>
      </c>
      <c r="D23" s="77" t="e">
        <f t="shared" si="0"/>
        <v>#REF!</v>
      </c>
      <c r="E23" s="61" t="e">
        <f>#REF!</f>
        <v>#REF!</v>
      </c>
      <c r="F23" s="77" t="e">
        <f>E23*100/E37</f>
        <v>#REF!</v>
      </c>
    </row>
    <row r="24" spans="1:6" ht="31.2">
      <c r="A24" s="63" t="s">
        <v>125</v>
      </c>
      <c r="B24" s="62">
        <v>1</v>
      </c>
      <c r="C24" s="61" t="e">
        <f>#REF!</f>
        <v>#REF!</v>
      </c>
      <c r="D24" s="77" t="e">
        <f t="shared" si="0"/>
        <v>#REF!</v>
      </c>
      <c r="E24" s="61" t="e">
        <f>#REF!</f>
        <v>#REF!</v>
      </c>
      <c r="F24" s="77" t="e">
        <f>E24*100/E37</f>
        <v>#REF!</v>
      </c>
    </row>
    <row r="25" spans="1:6" ht="46.5" customHeight="1">
      <c r="A25" s="63" t="s">
        <v>683</v>
      </c>
      <c r="B25" s="62">
        <v>5</v>
      </c>
      <c r="C25" s="61" t="e">
        <f>#REF!</f>
        <v>#REF!</v>
      </c>
      <c r="D25" s="77" t="e">
        <f t="shared" si="0"/>
        <v>#REF!</v>
      </c>
      <c r="E25" s="61" t="e">
        <f>#REF!</f>
        <v>#REF!</v>
      </c>
      <c r="F25" s="77" t="e">
        <f>E25*100/E37</f>
        <v>#REF!</v>
      </c>
    </row>
    <row r="26" spans="1:6" ht="32.25" customHeight="1">
      <c r="A26" s="63" t="s">
        <v>248</v>
      </c>
      <c r="B26" s="62">
        <v>8</v>
      </c>
      <c r="C26" s="58" t="e">
        <f>#REF!</f>
        <v>#REF!</v>
      </c>
      <c r="D26" s="77" t="e">
        <f t="shared" si="0"/>
        <v>#REF!</v>
      </c>
      <c r="E26" s="61" t="e">
        <f>#REF!</f>
        <v>#REF!</v>
      </c>
      <c r="F26" s="77" t="e">
        <f>E26*100/E37</f>
        <v>#REF!</v>
      </c>
    </row>
    <row r="27" spans="1:6" ht="32.25" customHeight="1">
      <c r="A27" s="63" t="s">
        <v>95</v>
      </c>
      <c r="B27" s="62">
        <v>8</v>
      </c>
      <c r="C27" s="61" t="e">
        <f>#REF!</f>
        <v>#REF!</v>
      </c>
      <c r="D27" s="77" t="e">
        <f t="shared" si="0"/>
        <v>#REF!</v>
      </c>
      <c r="E27" s="61" t="e">
        <f>#REF!+#REF!+#REF!+#REF!</f>
        <v>#REF!</v>
      </c>
      <c r="F27" s="77" t="e">
        <f>E27*100/E37</f>
        <v>#REF!</v>
      </c>
    </row>
    <row r="28" spans="1:6" ht="31.2">
      <c r="A28" s="63" t="s">
        <v>644</v>
      </c>
      <c r="B28" s="62">
        <v>9</v>
      </c>
      <c r="C28" s="61">
        <v>40</v>
      </c>
      <c r="D28" s="77">
        <f t="shared" si="0"/>
        <v>0.35159864873607316</v>
      </c>
      <c r="E28" s="61" t="e">
        <f>#REF!</f>
        <v>#REF!</v>
      </c>
      <c r="F28" s="77" t="e">
        <f>E28*100/E37</f>
        <v>#REF!</v>
      </c>
    </row>
    <row r="29" spans="1:6" ht="31.2">
      <c r="A29" s="63" t="s">
        <v>629</v>
      </c>
      <c r="B29" s="62">
        <v>10</v>
      </c>
      <c r="C29" s="58" t="e">
        <f>#REF!</f>
        <v>#REF!</v>
      </c>
      <c r="D29" s="77" t="e">
        <f t="shared" si="0"/>
        <v>#REF!</v>
      </c>
      <c r="E29" s="61" t="e">
        <f>#REF!</f>
        <v>#REF!</v>
      </c>
      <c r="F29" s="77" t="e">
        <f>E29*100/E37</f>
        <v>#REF!</v>
      </c>
    </row>
    <row r="30" spans="1:6">
      <c r="A30" s="63" t="s">
        <v>727</v>
      </c>
      <c r="B30" s="62">
        <v>10</v>
      </c>
      <c r="C30" s="58" t="e">
        <f>#REF!+#REF!</f>
        <v>#REF!</v>
      </c>
      <c r="D30" s="77" t="e">
        <f t="shared" si="0"/>
        <v>#REF!</v>
      </c>
      <c r="E30" s="58" t="e">
        <f>#REF!+#REF!+#REF!+'Lesu analize'!BR351</f>
        <v>#REF!</v>
      </c>
      <c r="F30" s="77" t="e">
        <f>E30*100/E37</f>
        <v>#REF!</v>
      </c>
    </row>
    <row r="31" spans="1:6" ht="31.2">
      <c r="A31" s="63" t="s">
        <v>423</v>
      </c>
      <c r="B31" s="62">
        <v>10</v>
      </c>
      <c r="C31" s="61" t="e">
        <f>#REF!</f>
        <v>#REF!</v>
      </c>
      <c r="D31" s="77" t="e">
        <f t="shared" si="0"/>
        <v>#REF!</v>
      </c>
      <c r="E31" s="61" t="e">
        <f>#REF!</f>
        <v>#REF!</v>
      </c>
      <c r="F31" s="77" t="e">
        <f>E31*100/E37</f>
        <v>#REF!</v>
      </c>
    </row>
    <row r="32" spans="1:6">
      <c r="A32" s="63" t="s">
        <v>728</v>
      </c>
      <c r="B32" s="62">
        <v>10</v>
      </c>
      <c r="C32" s="61" t="e">
        <f>#REF!</f>
        <v>#REF!</v>
      </c>
      <c r="D32" s="77" t="e">
        <f t="shared" si="0"/>
        <v>#REF!</v>
      </c>
      <c r="E32" s="61" t="e">
        <f>#REF!</f>
        <v>#REF!</v>
      </c>
      <c r="F32" s="77" t="e">
        <f>E32*100/E37</f>
        <v>#REF!</v>
      </c>
    </row>
    <row r="33" spans="1:6">
      <c r="A33" s="63" t="s">
        <v>424</v>
      </c>
      <c r="B33" s="62">
        <v>10</v>
      </c>
      <c r="C33" s="61" t="e">
        <f>#REF!</f>
        <v>#REF!</v>
      </c>
      <c r="D33" s="77" t="e">
        <f t="shared" si="0"/>
        <v>#REF!</v>
      </c>
      <c r="E33" s="61" t="e">
        <f>#REF!</f>
        <v>#REF!</v>
      </c>
      <c r="F33" s="77" t="e">
        <f>E33*100/E37</f>
        <v>#REF!</v>
      </c>
    </row>
    <row r="34" spans="1:6" ht="27.75" customHeight="1">
      <c r="A34" s="63" t="s">
        <v>513</v>
      </c>
      <c r="B34" s="62">
        <v>10</v>
      </c>
      <c r="C34" s="61" t="e">
        <f>#REF!</f>
        <v>#REF!</v>
      </c>
      <c r="D34" s="77" t="e">
        <f t="shared" si="0"/>
        <v>#REF!</v>
      </c>
      <c r="E34" s="61" t="e">
        <f>#REF!+#REF!</f>
        <v>#REF!</v>
      </c>
      <c r="F34" s="77" t="e">
        <f>E34*100/E37</f>
        <v>#REF!</v>
      </c>
    </row>
    <row r="35" spans="1:6" ht="31.8" thickBot="1">
      <c r="A35" s="63" t="s">
        <v>87</v>
      </c>
      <c r="B35" s="62">
        <v>10</v>
      </c>
      <c r="C35" s="64" t="e">
        <f>#REF!</f>
        <v>#REF!</v>
      </c>
      <c r="D35" s="77" t="e">
        <f t="shared" si="0"/>
        <v>#REF!</v>
      </c>
      <c r="E35" s="64" t="e">
        <f>#REF!</f>
        <v>#REF!</v>
      </c>
      <c r="F35" s="77" t="e">
        <f>E35*100/E37</f>
        <v>#REF!</v>
      </c>
    </row>
    <row r="36" spans="1:6" ht="16.8" thickBot="1">
      <c r="C36" s="65" t="e">
        <f>C5+C15+C20+C21+C22+C23+C24+C25+C26+C27+C28+C29+C30+C31+C32+C33+C34+C35</f>
        <v>#REF!</v>
      </c>
      <c r="D36" s="67" t="e">
        <f>C36*100/11376.608</f>
        <v>#REF!</v>
      </c>
      <c r="E36" s="65" t="e">
        <f>E5+E15+E20+E21+E22+E23+E24+E25+E26+E27+E28+E29+E30+E31+E32+E33+E34+E35</f>
        <v>#REF!</v>
      </c>
      <c r="F36" s="67" t="e">
        <f>E36*100/E37</f>
        <v>#REF!</v>
      </c>
    </row>
    <row r="37" spans="1:6" ht="15.75" customHeight="1">
      <c r="C37" s="158">
        <v>11376.608</v>
      </c>
      <c r="D37" s="158"/>
      <c r="E37" s="158">
        <v>11750.228999999999</v>
      </c>
    </row>
    <row r="38" spans="1:6" s="84" customFormat="1" ht="10.199999999999999">
      <c r="A38" s="80" t="e">
        <f>#REF!</f>
        <v>#REF!</v>
      </c>
      <c r="B38" s="81">
        <v>1</v>
      </c>
      <c r="C38" s="82" t="e">
        <f>#REF!</f>
        <v>#REF!</v>
      </c>
      <c r="D38" s="83" t="e">
        <f>C38*100/11376.608</f>
        <v>#REF!</v>
      </c>
      <c r="E38" s="82" t="e">
        <f>#REF!</f>
        <v>#REF!</v>
      </c>
      <c r="F38" s="83" t="e">
        <f>E38*100/E48</f>
        <v>#REF!</v>
      </c>
    </row>
    <row r="39" spans="1:6" s="84" customFormat="1" ht="10.199999999999999">
      <c r="A39" s="80" t="e">
        <f>#REF!</f>
        <v>#REF!</v>
      </c>
      <c r="B39" s="81">
        <v>2</v>
      </c>
      <c r="C39" s="82" t="e">
        <f>#REF!</f>
        <v>#REF!</v>
      </c>
      <c r="D39" s="83" t="e">
        <f t="shared" ref="D39:D47" si="1">C39*100/11376.608</f>
        <v>#REF!</v>
      </c>
      <c r="E39" s="82" t="e">
        <f>#REF!</f>
        <v>#REF!</v>
      </c>
      <c r="F39" s="83" t="e">
        <f>E39*100/E48</f>
        <v>#REF!</v>
      </c>
    </row>
    <row r="40" spans="1:6" s="84" customFormat="1" ht="10.199999999999999">
      <c r="A40" s="80" t="e">
        <f>#REF!</f>
        <v>#REF!</v>
      </c>
      <c r="B40" s="81">
        <v>3</v>
      </c>
      <c r="C40" s="82" t="e">
        <f>#REF!</f>
        <v>#REF!</v>
      </c>
      <c r="D40" s="83" t="e">
        <f t="shared" si="1"/>
        <v>#REF!</v>
      </c>
      <c r="E40" s="82" t="e">
        <f>#REF!</f>
        <v>#REF!</v>
      </c>
      <c r="F40" s="83" t="e">
        <f>E40*100/E48</f>
        <v>#REF!</v>
      </c>
    </row>
    <row r="41" spans="1:6" s="84" customFormat="1" ht="10.199999999999999">
      <c r="A41" s="80" t="e">
        <f>#REF!</f>
        <v>#REF!</v>
      </c>
      <c r="B41" s="81">
        <v>4</v>
      </c>
      <c r="C41" s="82" t="e">
        <f>#REF!</f>
        <v>#REF!</v>
      </c>
      <c r="D41" s="83" t="e">
        <f t="shared" si="1"/>
        <v>#REF!</v>
      </c>
      <c r="E41" s="82" t="e">
        <f>#REF!</f>
        <v>#REF!</v>
      </c>
      <c r="F41" s="83" t="e">
        <f>E41*100/E48</f>
        <v>#REF!</v>
      </c>
    </row>
    <row r="42" spans="1:6" s="84" customFormat="1" ht="10.199999999999999">
      <c r="A42" s="80" t="e">
        <f>#REF!</f>
        <v>#REF!</v>
      </c>
      <c r="B42" s="81">
        <v>5</v>
      </c>
      <c r="C42" s="82" t="e">
        <f>#REF!</f>
        <v>#REF!</v>
      </c>
      <c r="D42" s="83" t="e">
        <f t="shared" si="1"/>
        <v>#REF!</v>
      </c>
      <c r="E42" s="82" t="e">
        <f>#REF!</f>
        <v>#REF!</v>
      </c>
      <c r="F42" s="83" t="e">
        <f>E42*100/E48</f>
        <v>#REF!</v>
      </c>
    </row>
    <row r="43" spans="1:6" s="84" customFormat="1" ht="16.5" customHeight="1">
      <c r="A43" s="80" t="e">
        <f>#REF!</f>
        <v>#REF!</v>
      </c>
      <c r="B43" s="81">
        <v>6</v>
      </c>
      <c r="C43" s="82" t="e">
        <f>#REF!</f>
        <v>#REF!</v>
      </c>
      <c r="D43" s="83" t="e">
        <f t="shared" si="1"/>
        <v>#REF!</v>
      </c>
      <c r="E43" s="82" t="e">
        <f>#REF!</f>
        <v>#REF!</v>
      </c>
      <c r="F43" s="83" t="e">
        <f>E43*100/E48</f>
        <v>#REF!</v>
      </c>
    </row>
    <row r="44" spans="1:6" s="84" customFormat="1" ht="10.199999999999999">
      <c r="A44" s="80" t="e">
        <f>#REF!</f>
        <v>#REF!</v>
      </c>
      <c r="B44" s="81">
        <v>7</v>
      </c>
      <c r="C44" s="82" t="e">
        <f>#REF!</f>
        <v>#REF!</v>
      </c>
      <c r="D44" s="83" t="e">
        <f t="shared" si="1"/>
        <v>#REF!</v>
      </c>
      <c r="E44" s="82" t="e">
        <f>#REF!</f>
        <v>#REF!</v>
      </c>
      <c r="F44" s="83" t="e">
        <f>E44*100/E48</f>
        <v>#REF!</v>
      </c>
    </row>
    <row r="45" spans="1:6" s="84" customFormat="1" ht="10.199999999999999">
      <c r="A45" s="80" t="e">
        <f>#REF!</f>
        <v>#REF!</v>
      </c>
      <c r="B45" s="81">
        <v>8</v>
      </c>
      <c r="C45" s="82" t="e">
        <f>#REF!</f>
        <v>#REF!</v>
      </c>
      <c r="D45" s="83" t="e">
        <f t="shared" si="1"/>
        <v>#REF!</v>
      </c>
      <c r="E45" s="82" t="e">
        <f>#REF!</f>
        <v>#REF!</v>
      </c>
      <c r="F45" s="83" t="e">
        <f>E45*100/E48</f>
        <v>#REF!</v>
      </c>
    </row>
    <row r="46" spans="1:6" s="84" customFormat="1" ht="10.199999999999999">
      <c r="A46" s="80" t="e">
        <f>#REF!</f>
        <v>#REF!</v>
      </c>
      <c r="B46" s="81">
        <v>9</v>
      </c>
      <c r="C46" s="82" t="e">
        <f>#REF!</f>
        <v>#REF!</v>
      </c>
      <c r="D46" s="83" t="e">
        <f t="shared" si="1"/>
        <v>#REF!</v>
      </c>
      <c r="E46" s="82" t="e">
        <f>#REF!</f>
        <v>#REF!</v>
      </c>
      <c r="F46" s="83" t="e">
        <f>E46*100/E48</f>
        <v>#REF!</v>
      </c>
    </row>
    <row r="47" spans="1:6" s="84" customFormat="1" ht="15" customHeight="1" thickBot="1">
      <c r="A47" s="80" t="e">
        <f>#REF!</f>
        <v>#REF!</v>
      </c>
      <c r="B47" s="81">
        <v>10</v>
      </c>
      <c r="C47" s="85" t="e">
        <f>#REF!</f>
        <v>#REF!</v>
      </c>
      <c r="D47" s="83" t="e">
        <f t="shared" si="1"/>
        <v>#REF!</v>
      </c>
      <c r="E47" s="85" t="e">
        <f>#REF!</f>
        <v>#REF!</v>
      </c>
      <c r="F47" s="83" t="e">
        <f>E47*100/E48</f>
        <v>#REF!</v>
      </c>
    </row>
    <row r="48" spans="1:6" s="84" customFormat="1" ht="11.4" thickBot="1">
      <c r="C48" s="86" t="e">
        <f>SUM(C38:C47)</f>
        <v>#REF!</v>
      </c>
      <c r="D48" s="87" t="e">
        <f>SUM(D38:D47)</f>
        <v>#REF!</v>
      </c>
      <c r="E48" s="86" t="e">
        <f>SUM(E38:E47)</f>
        <v>#REF!</v>
      </c>
      <c r="F48" s="87" t="e">
        <f>SUM(F38:F47)</f>
        <v>#REF!</v>
      </c>
    </row>
    <row r="53" spans="1:8" ht="27.6">
      <c r="A53" s="96" t="s">
        <v>529</v>
      </c>
      <c r="B53" s="100">
        <v>2015</v>
      </c>
      <c r="C53" s="100">
        <v>2016</v>
      </c>
      <c r="D53" s="100" t="s">
        <v>368</v>
      </c>
      <c r="E53" s="100" t="s">
        <v>364</v>
      </c>
      <c r="F53" s="101" t="s">
        <v>365</v>
      </c>
      <c r="G53" s="102" t="s">
        <v>366</v>
      </c>
      <c r="H53" s="102" t="s">
        <v>367</v>
      </c>
    </row>
    <row r="54" spans="1:8">
      <c r="A54" s="97" t="s">
        <v>425</v>
      </c>
      <c r="B54" s="61" t="e">
        <f>#REF!</f>
        <v>#REF!</v>
      </c>
      <c r="C54" s="61" t="e">
        <f>#REF!</f>
        <v>#REF!</v>
      </c>
      <c r="D54" s="91" t="e">
        <f>C54-B54</f>
        <v>#REF!</v>
      </c>
      <c r="E54" s="92" t="e">
        <f>(C54*100/B54-100)/100</f>
        <v>#REF!</v>
      </c>
      <c r="F54" s="93">
        <v>550</v>
      </c>
      <c r="G54" s="77" t="e">
        <f t="shared" ref="G54:G59" si="2">B54/F54</f>
        <v>#REF!</v>
      </c>
      <c r="H54" s="104" t="e">
        <f t="shared" ref="H54:H59" si="3">C54/F54</f>
        <v>#REF!</v>
      </c>
    </row>
    <row r="55" spans="1:8">
      <c r="A55" s="97" t="s">
        <v>580</v>
      </c>
      <c r="B55" s="61" t="e">
        <f>#REF!</f>
        <v>#REF!</v>
      </c>
      <c r="C55" s="61" t="e">
        <f>#REF!</f>
        <v>#REF!</v>
      </c>
      <c r="D55" s="91" t="e">
        <f t="shared" ref="D55:D65" si="4">C55-B55</f>
        <v>#REF!</v>
      </c>
      <c r="E55" s="92" t="e">
        <f t="shared" ref="E55:E72" si="5">(C55*100/B55-100)/100</f>
        <v>#REF!</v>
      </c>
      <c r="F55" s="94">
        <v>327</v>
      </c>
      <c r="G55" s="77" t="e">
        <f t="shared" si="2"/>
        <v>#REF!</v>
      </c>
      <c r="H55" s="103" t="e">
        <f t="shared" si="3"/>
        <v>#REF!</v>
      </c>
    </row>
    <row r="56" spans="1:8">
      <c r="A56" s="97" t="s">
        <v>426</v>
      </c>
      <c r="B56" s="61" t="e">
        <f>#REF!</f>
        <v>#REF!</v>
      </c>
      <c r="C56" s="61" t="e">
        <f>#REF!</f>
        <v>#REF!</v>
      </c>
      <c r="D56" s="91" t="e">
        <f t="shared" si="4"/>
        <v>#REF!</v>
      </c>
      <c r="E56" s="92" t="e">
        <f t="shared" si="5"/>
        <v>#REF!</v>
      </c>
      <c r="F56" s="93">
        <v>394</v>
      </c>
      <c r="G56" s="77" t="e">
        <f t="shared" si="2"/>
        <v>#REF!</v>
      </c>
      <c r="H56" s="77" t="e">
        <f t="shared" si="3"/>
        <v>#REF!</v>
      </c>
    </row>
    <row r="57" spans="1:8">
      <c r="A57" s="97" t="s">
        <v>427</v>
      </c>
      <c r="B57" s="61" t="e">
        <f>#REF!</f>
        <v>#REF!</v>
      </c>
      <c r="C57" s="61" t="e">
        <f>#REF!</f>
        <v>#REF!</v>
      </c>
      <c r="D57" s="91" t="e">
        <f t="shared" si="4"/>
        <v>#REF!</v>
      </c>
      <c r="E57" s="92" t="e">
        <f t="shared" si="5"/>
        <v>#REF!</v>
      </c>
      <c r="F57" s="94">
        <v>421</v>
      </c>
      <c r="G57" s="77" t="e">
        <f t="shared" si="2"/>
        <v>#REF!</v>
      </c>
      <c r="H57" s="77" t="e">
        <f t="shared" si="3"/>
        <v>#REF!</v>
      </c>
    </row>
    <row r="58" spans="1:8" ht="16.2" thickBot="1">
      <c r="A58" s="110" t="s">
        <v>428</v>
      </c>
      <c r="B58" s="64" t="e">
        <f>#REF!</f>
        <v>#REF!</v>
      </c>
      <c r="C58" s="64" t="e">
        <f>#REF!</f>
        <v>#REF!</v>
      </c>
      <c r="D58" s="111" t="e">
        <f t="shared" si="4"/>
        <v>#REF!</v>
      </c>
      <c r="E58" s="107" t="e">
        <f t="shared" si="5"/>
        <v>#REF!</v>
      </c>
      <c r="F58" s="112">
        <v>234</v>
      </c>
      <c r="G58" s="108" t="e">
        <f t="shared" si="2"/>
        <v>#REF!</v>
      </c>
      <c r="H58" s="108" t="e">
        <f t="shared" si="3"/>
        <v>#REF!</v>
      </c>
    </row>
    <row r="59" spans="1:8" ht="16.8" thickBot="1">
      <c r="A59" s="119" t="s">
        <v>371</v>
      </c>
      <c r="B59" s="113" t="e">
        <f>SUM(B54:B58)</f>
        <v>#REF!</v>
      </c>
      <c r="C59" s="113" t="e">
        <f>SUM(C54:C58)</f>
        <v>#REF!</v>
      </c>
      <c r="D59" s="114" t="e">
        <f>SUM(D54:D58)</f>
        <v>#REF!</v>
      </c>
      <c r="E59" s="115" t="e">
        <f>(C59*100/B59-100)/100</f>
        <v>#REF!</v>
      </c>
      <c r="F59" s="116">
        <f>SUM(F54:F58)</f>
        <v>1926</v>
      </c>
      <c r="G59" s="117" t="e">
        <f t="shared" si="2"/>
        <v>#REF!</v>
      </c>
      <c r="H59" s="118" t="e">
        <f t="shared" si="3"/>
        <v>#REF!</v>
      </c>
    </row>
    <row r="60" spans="1:8" ht="16.2">
      <c r="A60" s="98"/>
      <c r="B60" s="89"/>
      <c r="C60" s="89"/>
      <c r="D60" s="105"/>
      <c r="E60" s="90"/>
    </row>
    <row r="61" spans="1:8">
      <c r="A61" s="97" t="s">
        <v>429</v>
      </c>
      <c r="B61" s="61" t="e">
        <f>#REF!+#REF!</f>
        <v>#REF!</v>
      </c>
      <c r="C61" s="61" t="e">
        <f>#REF!+#REF!</f>
        <v>#REF!</v>
      </c>
      <c r="D61" s="91" t="e">
        <f t="shared" si="4"/>
        <v>#REF!</v>
      </c>
      <c r="E61" s="92" t="e">
        <f t="shared" si="5"/>
        <v>#REF!</v>
      </c>
      <c r="F61" s="93">
        <v>161</v>
      </c>
      <c r="G61" s="77" t="e">
        <f t="shared" ref="G61:G66" si="6">B61/F61</f>
        <v>#REF!</v>
      </c>
      <c r="H61" s="103" t="e">
        <f t="shared" ref="H61:H66" si="7">C61/F61</f>
        <v>#REF!</v>
      </c>
    </row>
    <row r="62" spans="1:8">
      <c r="A62" s="97" t="s">
        <v>430</v>
      </c>
      <c r="B62" s="61" t="e">
        <f>#REF!+#REF!</f>
        <v>#REF!</v>
      </c>
      <c r="C62" s="61" t="e">
        <f>#REF!+#REF!</f>
        <v>#REF!</v>
      </c>
      <c r="D62" s="91" t="e">
        <f t="shared" si="4"/>
        <v>#REF!</v>
      </c>
      <c r="E62" s="92" t="e">
        <f t="shared" si="5"/>
        <v>#REF!</v>
      </c>
      <c r="F62" s="93">
        <v>203</v>
      </c>
      <c r="G62" s="77" t="e">
        <f t="shared" si="6"/>
        <v>#REF!</v>
      </c>
      <c r="H62" s="104" t="e">
        <f t="shared" si="7"/>
        <v>#REF!</v>
      </c>
    </row>
    <row r="63" spans="1:8">
      <c r="A63" s="97" t="s">
        <v>431</v>
      </c>
      <c r="B63" s="61" t="e">
        <f>#REF!+#REF!</f>
        <v>#REF!</v>
      </c>
      <c r="C63" s="61" t="e">
        <f>#REF!+#REF!</f>
        <v>#REF!</v>
      </c>
      <c r="D63" s="91" t="e">
        <f t="shared" si="4"/>
        <v>#REF!</v>
      </c>
      <c r="E63" s="92" t="e">
        <f t="shared" si="5"/>
        <v>#REF!</v>
      </c>
      <c r="F63" s="93">
        <v>195</v>
      </c>
      <c r="G63" s="77" t="e">
        <f t="shared" si="6"/>
        <v>#REF!</v>
      </c>
      <c r="H63" s="77" t="e">
        <f t="shared" si="7"/>
        <v>#REF!</v>
      </c>
    </row>
    <row r="64" spans="1:8">
      <c r="A64" s="97" t="s">
        <v>432</v>
      </c>
      <c r="B64" s="61" t="e">
        <f>#REF!+#REF!</f>
        <v>#REF!</v>
      </c>
      <c r="C64" s="61" t="e">
        <f>#REF!+#REF!</f>
        <v>#REF!</v>
      </c>
      <c r="D64" s="91" t="e">
        <f t="shared" si="4"/>
        <v>#REF!</v>
      </c>
      <c r="E64" s="92" t="e">
        <f t="shared" si="5"/>
        <v>#REF!</v>
      </c>
      <c r="F64" s="93">
        <v>183</v>
      </c>
      <c r="G64" s="77" t="e">
        <f t="shared" si="6"/>
        <v>#REF!</v>
      </c>
      <c r="H64" s="77" t="e">
        <f t="shared" si="7"/>
        <v>#REF!</v>
      </c>
    </row>
    <row r="65" spans="1:8" ht="16.2" thickBot="1">
      <c r="A65" s="97" t="s">
        <v>433</v>
      </c>
      <c r="B65" s="61" t="e">
        <f>#REF!+#REF!</f>
        <v>#REF!</v>
      </c>
      <c r="C65" s="61" t="e">
        <f>#REF!+#REF!</f>
        <v>#REF!</v>
      </c>
      <c r="D65" s="91" t="e">
        <f t="shared" si="4"/>
        <v>#REF!</v>
      </c>
      <c r="E65" s="92" t="e">
        <f t="shared" si="5"/>
        <v>#REF!</v>
      </c>
      <c r="F65" s="93">
        <v>181</v>
      </c>
      <c r="G65" s="77" t="e">
        <f t="shared" si="6"/>
        <v>#REF!</v>
      </c>
      <c r="H65" s="77" t="e">
        <f t="shared" si="7"/>
        <v>#REF!</v>
      </c>
    </row>
    <row r="66" spans="1:8" ht="16.8" thickBot="1">
      <c r="A66" s="119" t="s">
        <v>372</v>
      </c>
      <c r="B66" s="113" t="e">
        <f>SUM(B61:B65)</f>
        <v>#REF!</v>
      </c>
      <c r="C66" s="113" t="e">
        <f>SUM(C61:C65)</f>
        <v>#REF!</v>
      </c>
      <c r="D66" s="114" t="e">
        <f>SUM(D61:D65)</f>
        <v>#REF!</v>
      </c>
      <c r="E66" s="115" t="e">
        <f>(C66*100/B66-100)/100</f>
        <v>#REF!</v>
      </c>
      <c r="F66" s="116">
        <f>SUM(F61:F65)</f>
        <v>923</v>
      </c>
      <c r="G66" s="117" t="e">
        <f t="shared" si="6"/>
        <v>#REF!</v>
      </c>
      <c r="H66" s="118" t="e">
        <f t="shared" si="7"/>
        <v>#REF!</v>
      </c>
    </row>
    <row r="67" spans="1:8" ht="16.2">
      <c r="A67" s="99"/>
      <c r="B67" s="89"/>
      <c r="C67" s="89"/>
      <c r="D67" s="105"/>
      <c r="E67" s="90"/>
      <c r="G67" s="109"/>
      <c r="H67" s="109"/>
    </row>
    <row r="68" spans="1:8">
      <c r="A68" s="97" t="s">
        <v>357</v>
      </c>
      <c r="B68" s="61" t="e">
        <f>#REF!</f>
        <v>#REF!</v>
      </c>
      <c r="C68" s="95" t="e">
        <f>#REF!</f>
        <v>#REF!</v>
      </c>
      <c r="D68" s="91" t="e">
        <f>C68-B68</f>
        <v>#REF!</v>
      </c>
      <c r="E68" s="92" t="e">
        <f t="shared" si="5"/>
        <v>#REF!</v>
      </c>
      <c r="F68" s="93"/>
      <c r="G68" s="93"/>
      <c r="H68" s="93"/>
    </row>
    <row r="69" spans="1:8">
      <c r="A69" s="97" t="s">
        <v>358</v>
      </c>
      <c r="B69" s="61" t="e">
        <f>#REF!+#REF!</f>
        <v>#REF!</v>
      </c>
      <c r="C69" s="61" t="e">
        <f>#REF!+#REF!</f>
        <v>#REF!</v>
      </c>
      <c r="D69" s="91" t="e">
        <f>C69-B69</f>
        <v>#REF!</v>
      </c>
      <c r="E69" s="92" t="e">
        <f t="shared" si="5"/>
        <v>#REF!</v>
      </c>
      <c r="F69" s="93">
        <v>469</v>
      </c>
      <c r="G69" s="77" t="e">
        <f>B69/F69</f>
        <v>#REF!</v>
      </c>
      <c r="H69" s="103" t="e">
        <f>C69/F69</f>
        <v>#REF!</v>
      </c>
    </row>
    <row r="70" spans="1:8">
      <c r="A70" s="97" t="s">
        <v>359</v>
      </c>
      <c r="B70" s="61" t="e">
        <f>#REF!+#REF!</f>
        <v>#REF!</v>
      </c>
      <c r="C70" s="61" t="e">
        <f>#REF!+#REF!</f>
        <v>#REF!</v>
      </c>
      <c r="D70" s="91" t="e">
        <f>C70-B70</f>
        <v>#REF!</v>
      </c>
      <c r="E70" s="92" t="e">
        <f t="shared" si="5"/>
        <v>#REF!</v>
      </c>
      <c r="F70" s="93">
        <v>963</v>
      </c>
      <c r="G70" s="77" t="e">
        <f>B70/F70</f>
        <v>#REF!</v>
      </c>
      <c r="H70" s="104" t="e">
        <f>C70/F70</f>
        <v>#REF!</v>
      </c>
    </row>
    <row r="71" spans="1:8">
      <c r="A71" s="97" t="s">
        <v>360</v>
      </c>
      <c r="B71" s="61" t="e">
        <f>#REF!</f>
        <v>#REF!</v>
      </c>
      <c r="C71" s="61" t="e">
        <f>#REF!</f>
        <v>#REF!</v>
      </c>
      <c r="D71" s="91" t="e">
        <f>C71-B71</f>
        <v>#REF!</v>
      </c>
      <c r="E71" s="92" t="e">
        <f t="shared" si="5"/>
        <v>#REF!</v>
      </c>
      <c r="F71" s="93"/>
      <c r="G71" s="93"/>
      <c r="H71" s="93"/>
    </row>
    <row r="72" spans="1:8" ht="16.2" thickBot="1">
      <c r="A72" s="110" t="s">
        <v>369</v>
      </c>
      <c r="B72" s="64" t="e">
        <f>#REF!</f>
        <v>#REF!</v>
      </c>
      <c r="C72" s="64" t="e">
        <f>#REF!</f>
        <v>#REF!</v>
      </c>
      <c r="D72" s="111" t="e">
        <f>C72-B72</f>
        <v>#REF!</v>
      </c>
      <c r="E72" s="107" t="e">
        <f t="shared" si="5"/>
        <v>#REF!</v>
      </c>
      <c r="F72" s="112"/>
      <c r="G72" s="112"/>
      <c r="H72" s="112"/>
    </row>
    <row r="73" spans="1:8" ht="16.8" thickBot="1">
      <c r="A73" s="119" t="s">
        <v>385</v>
      </c>
      <c r="B73" s="113" t="e">
        <f>SUM(B68:B72)</f>
        <v>#REF!</v>
      </c>
      <c r="C73" s="113" t="e">
        <f>SUM(C68:C72)</f>
        <v>#REF!</v>
      </c>
      <c r="D73" s="114" t="e">
        <f>SUM(D68:D72)</f>
        <v>#REF!</v>
      </c>
      <c r="E73" s="115" t="e">
        <f>(C73*100/B73-100)/100</f>
        <v>#REF!</v>
      </c>
      <c r="F73" s="116">
        <f>F69+F70</f>
        <v>1432</v>
      </c>
      <c r="G73" s="116"/>
      <c r="H73" s="123"/>
    </row>
    <row r="74" spans="1:8" ht="16.2">
      <c r="A74" s="98"/>
      <c r="B74" s="88"/>
      <c r="C74" s="88"/>
      <c r="D74" s="105"/>
    </row>
    <row r="75" spans="1:8" ht="16.2" thickBot="1">
      <c r="A75" s="99" t="s">
        <v>530</v>
      </c>
      <c r="B75" s="88"/>
      <c r="C75" s="88"/>
    </row>
    <row r="76" spans="1:8" ht="16.2" thickBot="1">
      <c r="A76" s="121" t="s">
        <v>716</v>
      </c>
      <c r="B76" s="120" t="e">
        <f>#REF!+#REF!</f>
        <v>#REF!</v>
      </c>
      <c r="C76" s="113" t="e">
        <f>#REF!+#REF!</f>
        <v>#REF!</v>
      </c>
      <c r="D76" s="122" t="e">
        <f>C76-B76</f>
        <v>#REF!</v>
      </c>
      <c r="E76" s="115" t="e">
        <f>(C76*100/B76-100)/100</f>
        <v>#REF!</v>
      </c>
      <c r="F76" s="116">
        <v>795</v>
      </c>
      <c r="G76" s="117" t="e">
        <f>B76/F76</f>
        <v>#REF!</v>
      </c>
      <c r="H76" s="118" t="e">
        <f>C76/F76</f>
        <v>#REF!</v>
      </c>
    </row>
    <row r="77" spans="1:8">
      <c r="A77" s="98"/>
      <c r="B77" s="88"/>
      <c r="C77" s="88"/>
    </row>
    <row r="78" spans="1:8">
      <c r="A78" s="99" t="s">
        <v>361</v>
      </c>
      <c r="B78" s="88"/>
      <c r="C78" s="88"/>
    </row>
    <row r="79" spans="1:8">
      <c r="A79" s="97" t="s">
        <v>362</v>
      </c>
      <c r="B79" s="61" t="e">
        <f>#REF!</f>
        <v>#REF!</v>
      </c>
      <c r="C79" s="61" t="e">
        <f>#REF!</f>
        <v>#REF!</v>
      </c>
      <c r="D79" s="91" t="e">
        <f>C79-B79</f>
        <v>#REF!</v>
      </c>
      <c r="E79" s="92" t="e">
        <f>(C79*100/B79-100)/100</f>
        <v>#REF!</v>
      </c>
      <c r="F79" s="93"/>
      <c r="G79" s="93"/>
      <c r="H79" s="93"/>
    </row>
    <row r="80" spans="1:8" ht="16.2" thickBot="1">
      <c r="A80" s="97" t="s">
        <v>622</v>
      </c>
      <c r="B80" s="64" t="e">
        <f>#REF!</f>
        <v>#REF!</v>
      </c>
      <c r="C80" s="64" t="e">
        <f>#REF!</f>
        <v>#REF!</v>
      </c>
      <c r="D80" s="111" t="e">
        <f>C80-B80</f>
        <v>#REF!</v>
      </c>
      <c r="E80" s="107" t="e">
        <f>(C80*100/B80-100)/100</f>
        <v>#REF!</v>
      </c>
      <c r="F80" s="112"/>
      <c r="G80" s="112"/>
      <c r="H80" s="112"/>
    </row>
    <row r="81" spans="1:8" ht="16.8" thickBot="1">
      <c r="A81" s="98"/>
      <c r="B81" s="120" t="e">
        <f>SUM(B79:B80)</f>
        <v>#REF!</v>
      </c>
      <c r="C81" s="113" t="e">
        <f>SUM(C79:C80)</f>
        <v>#REF!</v>
      </c>
      <c r="D81" s="114" t="e">
        <f>D79+D80</f>
        <v>#REF!</v>
      </c>
      <c r="E81" s="115" t="e">
        <f>(C81*100/B81-100)/100</f>
        <v>#REF!</v>
      </c>
      <c r="F81" s="116"/>
      <c r="G81" s="116"/>
      <c r="H81" s="123"/>
    </row>
    <row r="82" spans="1:8" ht="16.2">
      <c r="A82" s="98"/>
      <c r="B82" s="89"/>
      <c r="C82" s="89"/>
      <c r="D82" s="105"/>
    </row>
    <row r="83" spans="1:8">
      <c r="A83" s="99" t="s">
        <v>531</v>
      </c>
      <c r="B83" s="89"/>
      <c r="C83" s="89"/>
    </row>
    <row r="84" spans="1:8">
      <c r="A84" s="97" t="s">
        <v>485</v>
      </c>
      <c r="B84" s="61" t="e">
        <f>#REF!</f>
        <v>#REF!</v>
      </c>
      <c r="C84" s="61" t="e">
        <f>#REF!</f>
        <v>#REF!</v>
      </c>
      <c r="D84" s="91" t="e">
        <f>C84-B84</f>
        <v>#REF!</v>
      </c>
      <c r="E84" s="92" t="e">
        <f>(C84*100/B84-100)/100</f>
        <v>#REF!</v>
      </c>
      <c r="F84" s="93"/>
      <c r="G84" s="93"/>
      <c r="H84" s="93"/>
    </row>
    <row r="85" spans="1:8" ht="16.2" thickBot="1">
      <c r="A85" s="97" t="s">
        <v>363</v>
      </c>
      <c r="B85" s="64" t="e">
        <f>#REF!</f>
        <v>#REF!</v>
      </c>
      <c r="C85" s="64" t="e">
        <f>#REF!</f>
        <v>#REF!</v>
      </c>
      <c r="D85" s="111" t="e">
        <f>C85-B85</f>
        <v>#REF!</v>
      </c>
      <c r="E85" s="107" t="e">
        <f>(C85*100/B85-100)/100</f>
        <v>#REF!</v>
      </c>
      <c r="F85" s="112"/>
      <c r="G85" s="112"/>
      <c r="H85" s="112"/>
    </row>
    <row r="86" spans="1:8" ht="16.8" thickBot="1">
      <c r="B86" s="120" t="e">
        <f>SUM(B84:B85)</f>
        <v>#REF!</v>
      </c>
      <c r="C86" s="113" t="e">
        <f>SUM(C84:C85)</f>
        <v>#REF!</v>
      </c>
      <c r="D86" s="114" t="e">
        <f>D84+D85</f>
        <v>#REF!</v>
      </c>
      <c r="E86" s="115" t="e">
        <f>(C86*100/B86-100)/100</f>
        <v>#REF!</v>
      </c>
      <c r="F86" s="116"/>
      <c r="G86" s="116"/>
      <c r="H86" s="123"/>
    </row>
    <row r="87" spans="1:8" ht="16.2">
      <c r="D87" s="105"/>
    </row>
    <row r="88" spans="1:8">
      <c r="A88" s="106" t="s">
        <v>370</v>
      </c>
      <c r="B88" s="88" t="e">
        <f>B59+B66+B73+B76+B81+B86</f>
        <v>#REF!</v>
      </c>
      <c r="C88" s="88" t="e">
        <f>C59+C66+C73+C76+C81+C86</f>
        <v>#REF!</v>
      </c>
      <c r="D88" s="88" t="e">
        <f>C88-B88</f>
        <v>#REF!</v>
      </c>
      <c r="E88" s="90" t="e">
        <f>(C88*100/B88-100)/100</f>
        <v>#REF!</v>
      </c>
    </row>
    <row r="89" spans="1:8">
      <c r="A89" s="106"/>
      <c r="B89" s="88"/>
      <c r="C89" s="88"/>
      <c r="D89" s="88"/>
      <c r="E89" s="90"/>
    </row>
    <row r="90" spans="1:8">
      <c r="B90" s="124" t="s">
        <v>491</v>
      </c>
    </row>
    <row r="91" spans="1:8">
      <c r="A91" s="97" t="s">
        <v>358</v>
      </c>
      <c r="B91" s="58" t="e">
        <f>#REF!</f>
        <v>#REF!</v>
      </c>
      <c r="C91" s="58" t="e">
        <f>#REF!</f>
        <v>#REF!</v>
      </c>
      <c r="D91" s="125" t="e">
        <f>C91-B91</f>
        <v>#REF!</v>
      </c>
      <c r="E91" s="92" t="e">
        <f>(C91*100/B91-100)/100</f>
        <v>#REF!</v>
      </c>
      <c r="F91" s="93">
        <f>F69</f>
        <v>469</v>
      </c>
      <c r="G91" s="59" t="e">
        <f>B91/F91</f>
        <v>#REF!</v>
      </c>
      <c r="H91" s="59" t="e">
        <f>C91/F91</f>
        <v>#REF!</v>
      </c>
    </row>
    <row r="92" spans="1:8">
      <c r="A92" s="97" t="s">
        <v>359</v>
      </c>
      <c r="B92" s="58" t="e">
        <f>#REF!</f>
        <v>#REF!</v>
      </c>
      <c r="C92" s="61" t="e">
        <f>#REF!</f>
        <v>#REF!</v>
      </c>
      <c r="D92" s="125" t="e">
        <f>C92-B92</f>
        <v>#REF!</v>
      </c>
      <c r="E92" s="92" t="e">
        <f>(C92*100/B92-100)/100</f>
        <v>#REF!</v>
      </c>
      <c r="F92" s="93">
        <f>F70</f>
        <v>963</v>
      </c>
      <c r="G92" s="59" t="e">
        <f>B92/F92</f>
        <v>#REF!</v>
      </c>
      <c r="H92" s="59" t="e">
        <f>C92/F92</f>
        <v>#REF!</v>
      </c>
    </row>
    <row r="93" spans="1:8">
      <c r="A93" s="97" t="s">
        <v>716</v>
      </c>
      <c r="B93" s="61" t="e">
        <f>#REF!</f>
        <v>#REF!</v>
      </c>
      <c r="C93" s="61" t="e">
        <f>#REF!</f>
        <v>#REF!</v>
      </c>
      <c r="D93" s="125" t="e">
        <f>C93-B93</f>
        <v>#REF!</v>
      </c>
      <c r="E93" s="92" t="e">
        <f>(C93*100/B93-100)/100</f>
        <v>#REF!</v>
      </c>
      <c r="F93" s="93">
        <f>F76</f>
        <v>795</v>
      </c>
      <c r="G93" s="59" t="e">
        <f>B93/F93</f>
        <v>#REF!</v>
      </c>
      <c r="H93" s="59" t="e">
        <f>C93/F93</f>
        <v>#REF!</v>
      </c>
    </row>
    <row r="98" spans="1:2">
      <c r="A98" s="56" t="s">
        <v>93</v>
      </c>
    </row>
    <row r="99" spans="1:2" ht="26.4">
      <c r="A99" s="144" t="s">
        <v>729</v>
      </c>
      <c r="B99" s="146">
        <v>33748</v>
      </c>
    </row>
    <row r="100" spans="1:2" ht="39.6">
      <c r="A100" s="144" t="s">
        <v>700</v>
      </c>
      <c r="B100" s="146">
        <v>173300</v>
      </c>
    </row>
    <row r="101" spans="1:2" ht="39.6">
      <c r="A101" s="144" t="s">
        <v>151</v>
      </c>
      <c r="B101" s="146">
        <v>85168</v>
      </c>
    </row>
    <row r="102" spans="1:2" ht="52.8">
      <c r="A102" s="145" t="s">
        <v>152</v>
      </c>
      <c r="B102" s="146">
        <v>46764</v>
      </c>
    </row>
    <row r="103" spans="1:2" ht="39.6">
      <c r="A103" s="145" t="s">
        <v>743</v>
      </c>
      <c r="B103" s="146">
        <v>20000</v>
      </c>
    </row>
    <row r="104" spans="1:2">
      <c r="B104" s="147">
        <f>SUM(B99:B103)</f>
        <v>358980</v>
      </c>
    </row>
  </sheetData>
  <mergeCells count="3">
    <mergeCell ref="A1:F1"/>
    <mergeCell ref="A15:A19"/>
    <mergeCell ref="A5:A14"/>
  </mergeCells>
  <phoneticPr fontId="17" type="noConversion"/>
  <pageMargins left="0.75" right="0.24" top="0.41" bottom="0.41" header="0" footer="0"/>
  <pageSetup paperSize="9" scale="90" orientation="portrait" r:id="rId1"/>
  <headerFooter alignWithMargins="0"/>
  <ignoredErrors>
    <ignoredError sqref="D36 E66 D59:E59 D15:D19 D5:D13"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24</vt:i4>
      </vt:variant>
      <vt:variant>
        <vt:lpstr>Įvardytieji diapazonai</vt:lpstr>
      </vt:variant>
      <vt:variant>
        <vt:i4>8</vt:i4>
      </vt:variant>
    </vt:vector>
  </HeadingPairs>
  <TitlesOfParts>
    <vt:vector size="32" baseType="lpstr">
      <vt:lpstr>I skyrius </vt:lpstr>
      <vt:lpstr>II skyrius</vt:lpstr>
      <vt:lpstr>III skyrius</vt:lpstr>
      <vt:lpstr>IV skyrius. Programos</vt:lpstr>
      <vt:lpstr>1 programa </vt:lpstr>
      <vt:lpstr>2 programa </vt:lpstr>
      <vt:lpstr>ĮV-E-123 stebėsenos rodikliai</vt:lpstr>
      <vt:lpstr>3 programa</vt:lpstr>
      <vt:lpstr>4 programa</vt:lpstr>
      <vt:lpstr>5 programa</vt:lpstr>
      <vt:lpstr>6 programa</vt:lpstr>
      <vt:lpstr>7 programa</vt:lpstr>
      <vt:lpstr>8 programa</vt:lpstr>
      <vt:lpstr>9 programa</vt:lpstr>
      <vt:lpstr>10 programa</vt:lpstr>
      <vt:lpstr>V skyrius VŠĮ+UAB rodikliai</vt:lpstr>
      <vt:lpstr>VI skyrius. Kita svarbi info-AN</vt:lpstr>
      <vt:lpstr>Prioritetai</vt:lpstr>
      <vt:lpstr>Suvestinė pagal FŠ</vt:lpstr>
      <vt:lpstr>Vertinimo kriterijai</vt:lpstr>
      <vt:lpstr>Lapas2</vt:lpstr>
      <vt:lpstr>Lapas3</vt:lpstr>
      <vt:lpstr>VERTINIMO KRITERIJAI (2 lentelė</vt:lpstr>
      <vt:lpstr>Lesu analize</vt:lpstr>
      <vt:lpstr>'II skyrius'!_Hlk122275804</vt:lpstr>
      <vt:lpstr>'V skyrius VŠĮ+UAB rodikliai'!_Hlk92374960</vt:lpstr>
      <vt:lpstr>'V skyrius VŠĮ+UAB rodikliai'!_Hlk92375563</vt:lpstr>
      <vt:lpstr>'V skyrius VŠĮ+UAB rodikliai'!_Hlk92375700</vt:lpstr>
      <vt:lpstr>'V skyrius VŠĮ+UAB rodikliai'!_Hlk92376639</vt:lpstr>
      <vt:lpstr>'V skyrius VŠĮ+UAB rodikliai'!_Toc123901359</vt:lpstr>
      <vt:lpstr>'Vertinimo kriterijai'!_Toc506024955</vt:lpstr>
      <vt:lpstr>'VERTINIMO KRITERIJAI (2 lentelė'!Print_Area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Liudmila</dc:creator>
  <cp:lastModifiedBy>bendras9</cp:lastModifiedBy>
  <cp:lastPrinted>2024-01-19T07:43:27Z</cp:lastPrinted>
  <dcterms:created xsi:type="dcterms:W3CDTF">2012-11-22T11:23:10Z</dcterms:created>
  <dcterms:modified xsi:type="dcterms:W3CDTF">2024-01-19T13:16:06Z</dcterms:modified>
  <cp:contentStatus/>
</cp:coreProperties>
</file>