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324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Vartotojas\Desktop\TARYBOS SPRENDIMAI\2025 m biudzetas\2025 m pristatymas gyventojams\"/>
    </mc:Choice>
  </mc:AlternateContent>
  <xr:revisionPtr revIDLastSave="0" documentId="13_ncr:1_{11BD1AF2-F770-4F59-AFC1-0203E1707CAF}" xr6:coauthVersionLast="47" xr6:coauthVersionMax="47" xr10:uidLastSave="{00000000-0000-0000-0000-000000000000}"/>
  <bookViews>
    <workbookView xWindow="-103" yWindow="-103" windowWidth="29692" windowHeight="11949" xr2:uid="{00000000-000D-0000-FFFF-FFFF00000000}"/>
  </bookViews>
  <sheets>
    <sheet name="2025-2027 projektas" sheetId="24" r:id="rId1"/>
    <sheet name="pakeitimai" sheetId="21" state="hidden" r:id="rId2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E363" i="24" l="1"/>
  <c r="E359" i="24"/>
  <c r="G356" i="24"/>
  <c r="F356" i="24"/>
  <c r="E356" i="24"/>
  <c r="E354" i="24"/>
  <c r="G350" i="24"/>
  <c r="F350" i="24"/>
  <c r="G349" i="24"/>
  <c r="F349" i="24"/>
  <c r="E349" i="24"/>
  <c r="E347" i="24"/>
  <c r="G346" i="24"/>
  <c r="F346" i="24"/>
  <c r="E346" i="24"/>
  <c r="G337" i="24"/>
  <c r="F337" i="24"/>
  <c r="F335" i="24" s="1"/>
  <c r="G335" i="24"/>
  <c r="E335" i="24"/>
  <c r="F334" i="24"/>
  <c r="G325" i="24"/>
  <c r="G321" i="24" s="1"/>
  <c r="F325" i="24"/>
  <c r="F357" i="24" s="1"/>
  <c r="E325" i="24"/>
  <c r="E321" i="24" s="1"/>
  <c r="E313" i="24"/>
  <c r="G310" i="24"/>
  <c r="F310" i="24"/>
  <c r="E310" i="24"/>
  <c r="E305" i="24" s="1"/>
  <c r="G305" i="24"/>
  <c r="F305" i="24"/>
  <c r="G295" i="24"/>
  <c r="F295" i="24"/>
  <c r="F290" i="24" s="1"/>
  <c r="E295" i="24"/>
  <c r="E290" i="24"/>
  <c r="G283" i="24"/>
  <c r="G279" i="24" s="1"/>
  <c r="F283" i="24"/>
  <c r="F279" i="24" s="1"/>
  <c r="E283" i="24"/>
  <c r="E279" i="24" s="1"/>
  <c r="G265" i="24"/>
  <c r="F265" i="24"/>
  <c r="G262" i="24"/>
  <c r="F262" i="24"/>
  <c r="F251" i="24" s="1"/>
  <c r="E262" i="24"/>
  <c r="E360" i="24" s="1"/>
  <c r="G243" i="24"/>
  <c r="G240" i="24" s="1"/>
  <c r="F243" i="24"/>
  <c r="F240" i="24"/>
  <c r="E240" i="24"/>
  <c r="G231" i="24"/>
  <c r="F231" i="24"/>
  <c r="E231" i="24"/>
  <c r="E228" i="24" s="1"/>
  <c r="G228" i="24"/>
  <c r="F228" i="24"/>
  <c r="E202" i="24"/>
  <c r="E188" i="24" s="1"/>
  <c r="G191" i="24"/>
  <c r="G188" i="24" s="1"/>
  <c r="F191" i="24"/>
  <c r="F188" i="24" s="1"/>
  <c r="E191" i="24"/>
  <c r="G178" i="24"/>
  <c r="G175" i="24" s="1"/>
  <c r="F178" i="24"/>
  <c r="F175" i="24" s="1"/>
  <c r="E178" i="24"/>
  <c r="E175" i="24" s="1"/>
  <c r="G164" i="24"/>
  <c r="G161" i="24" s="1"/>
  <c r="F164" i="24"/>
  <c r="F161" i="24" s="1"/>
  <c r="E164" i="24"/>
  <c r="E161" i="24" s="1"/>
  <c r="G150" i="24"/>
  <c r="G147" i="24" s="1"/>
  <c r="F150" i="24"/>
  <c r="F147" i="24" s="1"/>
  <c r="E150" i="24"/>
  <c r="E147" i="24" s="1"/>
  <c r="G132" i="24"/>
  <c r="G129" i="24" s="1"/>
  <c r="F132" i="24"/>
  <c r="F129" i="24" s="1"/>
  <c r="E132" i="24"/>
  <c r="E129" i="24" s="1"/>
  <c r="G118" i="24"/>
  <c r="G115" i="24" s="1"/>
  <c r="F118" i="24"/>
  <c r="F115" i="24" s="1"/>
  <c r="E118" i="24"/>
  <c r="E115" i="24" s="1"/>
  <c r="G113" i="24"/>
  <c r="F113" i="24"/>
  <c r="G102" i="24"/>
  <c r="G99" i="24" s="1"/>
  <c r="F102" i="24"/>
  <c r="E102" i="24"/>
  <c r="E99" i="24" s="1"/>
  <c r="F98" i="24"/>
  <c r="G88" i="24"/>
  <c r="F88" i="24"/>
  <c r="E88" i="24"/>
  <c r="E85" i="24" s="1"/>
  <c r="G85" i="24"/>
  <c r="F83" i="24"/>
  <c r="F71" i="24" s="1"/>
  <c r="G74" i="24"/>
  <c r="G71" i="24" s="1"/>
  <c r="F74" i="24"/>
  <c r="E74" i="24"/>
  <c r="E71" i="24" s="1"/>
  <c r="G60" i="24"/>
  <c r="F60" i="24"/>
  <c r="F57" i="24" s="1"/>
  <c r="E60" i="24"/>
  <c r="E57" i="24" s="1"/>
  <c r="G57" i="24"/>
  <c r="E55" i="24"/>
  <c r="G54" i="24"/>
  <c r="F54" i="24"/>
  <c r="E54" i="24"/>
  <c r="G49" i="24"/>
  <c r="G360" i="24" s="1"/>
  <c r="F49" i="24"/>
  <c r="F360" i="24" s="1"/>
  <c r="G45" i="24"/>
  <c r="G359" i="24" s="1"/>
  <c r="F45" i="24"/>
  <c r="F359" i="24" s="1"/>
  <c r="G41" i="24"/>
  <c r="G345" i="24" s="1"/>
  <c r="F41" i="24"/>
  <c r="F345" i="24" s="1"/>
  <c r="E41" i="24"/>
  <c r="E358" i="24" s="1"/>
  <c r="G40" i="24"/>
  <c r="F40" i="24"/>
  <c r="G39" i="24"/>
  <c r="G348" i="24" s="1"/>
  <c r="F39" i="24"/>
  <c r="F348" i="24" s="1"/>
  <c r="E39" i="24"/>
  <c r="E38" i="24"/>
  <c r="G36" i="24"/>
  <c r="F36" i="24"/>
  <c r="E36" i="24"/>
  <c r="E31" i="24"/>
  <c r="G27" i="24"/>
  <c r="G354" i="24" s="1"/>
  <c r="F27" i="24"/>
  <c r="F354" i="24" s="1"/>
  <c r="G23" i="24"/>
  <c r="F23" i="24"/>
  <c r="G19" i="24"/>
  <c r="F19" i="24"/>
  <c r="E19" i="24"/>
  <c r="E352" i="24" s="1"/>
  <c r="F16" i="24"/>
  <c r="F14" i="24" s="1"/>
  <c r="G14" i="24"/>
  <c r="E14" i="24"/>
  <c r="F17" i="24" l="1"/>
  <c r="G358" i="24"/>
  <c r="E361" i="24"/>
  <c r="F358" i="24"/>
  <c r="G251" i="24"/>
  <c r="G357" i="24"/>
  <c r="F85" i="24"/>
  <c r="E355" i="24"/>
  <c r="E348" i="24"/>
  <c r="F361" i="24"/>
  <c r="F355" i="24"/>
  <c r="F344" i="24"/>
  <c r="G361" i="24"/>
  <c r="G355" i="24"/>
  <c r="E357" i="24"/>
  <c r="G17" i="24"/>
  <c r="F321" i="24"/>
  <c r="F99" i="24"/>
  <c r="F353" i="24"/>
  <c r="G353" i="24"/>
  <c r="E344" i="24"/>
  <c r="G344" i="24"/>
  <c r="F339" i="24"/>
  <c r="F342" i="24" s="1"/>
  <c r="E353" i="24"/>
  <c r="E345" i="24"/>
  <c r="G352" i="24"/>
  <c r="F352" i="24"/>
  <c r="E17" i="24"/>
  <c r="E339" i="24" s="1"/>
  <c r="E251" i="24"/>
  <c r="G290" i="24"/>
  <c r="E350" i="24"/>
  <c r="G339" i="24" l="1"/>
  <c r="G342" i="24" s="1"/>
  <c r="E342" i="24"/>
  <c r="BH52" i="21" l="1"/>
  <c r="BF39" i="21"/>
  <c r="BG98" i="21"/>
  <c r="BF98" i="21"/>
  <c r="BG62" i="21"/>
  <c r="BG126" i="21"/>
  <c r="BF126" i="21"/>
  <c r="BF44" i="21" l="1"/>
  <c r="BF22" i="21"/>
  <c r="BF270" i="21"/>
  <c r="BF21" i="21"/>
  <c r="BH55" i="21"/>
  <c r="BL146" i="21"/>
  <c r="BH146" i="21"/>
  <c r="BF149" i="21"/>
  <c r="BG149" i="21"/>
  <c r="BG158" i="21" l="1"/>
  <c r="BL327" i="21"/>
  <c r="BH327" i="21"/>
  <c r="BG327" i="21"/>
  <c r="BF327" i="21"/>
  <c r="BF322" i="21"/>
  <c r="BH322" i="21" l="1"/>
  <c r="BG322" i="21"/>
  <c r="BF265" i="21"/>
  <c r="BJ265" i="21" s="1"/>
  <c r="BI272" i="21"/>
  <c r="BJ272" i="21"/>
  <c r="BK272" i="21"/>
  <c r="BE272" i="21"/>
  <c r="BE322" i="21" l="1"/>
  <c r="BG19" i="21"/>
  <c r="BK36" i="21"/>
  <c r="BG320" i="21"/>
  <c r="BH58" i="21"/>
  <c r="BE58" i="21" s="1"/>
  <c r="BG58" i="21"/>
  <c r="BF58" i="21"/>
  <c r="BF173" i="21"/>
  <c r="BG140" i="21"/>
  <c r="BH57" i="21" l="1"/>
  <c r="BF57" i="21"/>
  <c r="BE337" i="21"/>
  <c r="BE336" i="21"/>
  <c r="BE335" i="21"/>
  <c r="BG333" i="21"/>
  <c r="BF333" i="21"/>
  <c r="BH332" i="21"/>
  <c r="BG332" i="21"/>
  <c r="BF332" i="21"/>
  <c r="BH331" i="21"/>
  <c r="BG331" i="21"/>
  <c r="BF331" i="21"/>
  <c r="BH330" i="21"/>
  <c r="BG330" i="21"/>
  <c r="BH329" i="21"/>
  <c r="BG329" i="21"/>
  <c r="BH328" i="21"/>
  <c r="BG328" i="21"/>
  <c r="BF328" i="21"/>
  <c r="BH326" i="21"/>
  <c r="BG326" i="21"/>
  <c r="BF326" i="21"/>
  <c r="BH325" i="21"/>
  <c r="BH324" i="21"/>
  <c r="BH321" i="21"/>
  <c r="BG321" i="21"/>
  <c r="BF321" i="21"/>
  <c r="BH319" i="21"/>
  <c r="BG319" i="21"/>
  <c r="BH318" i="21"/>
  <c r="BH317" i="21"/>
  <c r="BE314" i="21"/>
  <c r="BE312" i="21"/>
  <c r="BE311" i="21"/>
  <c r="BE310" i="21"/>
  <c r="BH309" i="21"/>
  <c r="BG309" i="21"/>
  <c r="BF309" i="21"/>
  <c r="BE308" i="21"/>
  <c r="BE307" i="21"/>
  <c r="BE306" i="21"/>
  <c r="BE305" i="21"/>
  <c r="BE304" i="21"/>
  <c r="BE303" i="21"/>
  <c r="BE302" i="21"/>
  <c r="BE301" i="21"/>
  <c r="BE300" i="21"/>
  <c r="BE299" i="21"/>
  <c r="BE298" i="21"/>
  <c r="BE297" i="21"/>
  <c r="BE296" i="21"/>
  <c r="BH295" i="21"/>
  <c r="BG295" i="21"/>
  <c r="BF295" i="21"/>
  <c r="BE294" i="21"/>
  <c r="BE293" i="21"/>
  <c r="BE292" i="21"/>
  <c r="BE291" i="21"/>
  <c r="BE290" i="21"/>
  <c r="BE289" i="21"/>
  <c r="BE288" i="21"/>
  <c r="BE287" i="21"/>
  <c r="BE286" i="21"/>
  <c r="BE285" i="21"/>
  <c r="BE283" i="21"/>
  <c r="BE282" i="21"/>
  <c r="BE281" i="21"/>
  <c r="BE280" i="21"/>
  <c r="BH279" i="21"/>
  <c r="BG279" i="21"/>
  <c r="BE278" i="21"/>
  <c r="BE277" i="21"/>
  <c r="BE276" i="21"/>
  <c r="BE275" i="21"/>
  <c r="BE274" i="21"/>
  <c r="BE273" i="21"/>
  <c r="BE271" i="21"/>
  <c r="BE270" i="21"/>
  <c r="BE327" i="21" s="1"/>
  <c r="BE269" i="21"/>
  <c r="BE268" i="21"/>
  <c r="BE267" i="21"/>
  <c r="BE266" i="21"/>
  <c r="BH265" i="21"/>
  <c r="BG265" i="21"/>
  <c r="BE264" i="21"/>
  <c r="BE263" i="21"/>
  <c r="BE262" i="21"/>
  <c r="BE261" i="21"/>
  <c r="BE260" i="21"/>
  <c r="BE259" i="21"/>
  <c r="BE258" i="21"/>
  <c r="BE257" i="21"/>
  <c r="BE256" i="21"/>
  <c r="BE255" i="21"/>
  <c r="BH254" i="21"/>
  <c r="BG254" i="21"/>
  <c r="BF254" i="21"/>
  <c r="BE253" i="21"/>
  <c r="BE252" i="21"/>
  <c r="BE251" i="21"/>
  <c r="BE250" i="21"/>
  <c r="BE249" i="21"/>
  <c r="BE248" i="21"/>
  <c r="BE247" i="21"/>
  <c r="BE246" i="21"/>
  <c r="BE245" i="21"/>
  <c r="BE244" i="21"/>
  <c r="BE243" i="21"/>
  <c r="BE242" i="21"/>
  <c r="BH241" i="21"/>
  <c r="BG241" i="21"/>
  <c r="BF241" i="21"/>
  <c r="BE240" i="21"/>
  <c r="BE239" i="21"/>
  <c r="BE238" i="21"/>
  <c r="BE237" i="21"/>
  <c r="BE236" i="21"/>
  <c r="BE235" i="21"/>
  <c r="BE234" i="21"/>
  <c r="BE233" i="21"/>
  <c r="BE232" i="21"/>
  <c r="BE231" i="21"/>
  <c r="BE230" i="21"/>
  <c r="BE229" i="21"/>
  <c r="BE228" i="21"/>
  <c r="BH227" i="21"/>
  <c r="BG227" i="21"/>
  <c r="BF227" i="21"/>
  <c r="BE226" i="21"/>
  <c r="BE225" i="21"/>
  <c r="BE223" i="21"/>
  <c r="BE222" i="21"/>
  <c r="BE221" i="21"/>
  <c r="BF217" i="21"/>
  <c r="BE220" i="21"/>
  <c r="BE219" i="21"/>
  <c r="BE218" i="21"/>
  <c r="BH217" i="21"/>
  <c r="BG217" i="21"/>
  <c r="BE216" i="21"/>
  <c r="BE215" i="21"/>
  <c r="BE214" i="21"/>
  <c r="BE213" i="21"/>
  <c r="BE212" i="21"/>
  <c r="BE211" i="21"/>
  <c r="BE210" i="21"/>
  <c r="BG325" i="21"/>
  <c r="BE209" i="21"/>
  <c r="BE208" i="21"/>
  <c r="BE207" i="21"/>
  <c r="BH206" i="21"/>
  <c r="BG206" i="21"/>
  <c r="BF206" i="21"/>
  <c r="BE205" i="21"/>
  <c r="BE204" i="21"/>
  <c r="BE203" i="21"/>
  <c r="BE202" i="21"/>
  <c r="BE201" i="21"/>
  <c r="BE200" i="21"/>
  <c r="BE199" i="21"/>
  <c r="BE198" i="21"/>
  <c r="BE197" i="21"/>
  <c r="BE196" i="21"/>
  <c r="BE195" i="21"/>
  <c r="BE194" i="21"/>
  <c r="BE193" i="21"/>
  <c r="BE192" i="21"/>
  <c r="BE191" i="21"/>
  <c r="BH190" i="21"/>
  <c r="BG190" i="21"/>
  <c r="BF190" i="21"/>
  <c r="BE189" i="21"/>
  <c r="BE188" i="21"/>
  <c r="BE187" i="21"/>
  <c r="BE186" i="21"/>
  <c r="BE185" i="21"/>
  <c r="BE184" i="21"/>
  <c r="BE183" i="21"/>
  <c r="BE182" i="21"/>
  <c r="BH181" i="21"/>
  <c r="BE180" i="21"/>
  <c r="BE179" i="21"/>
  <c r="BE178" i="21"/>
  <c r="BE177" i="21"/>
  <c r="BE176" i="21"/>
  <c r="BE175" i="21"/>
  <c r="BE174" i="21"/>
  <c r="BE173" i="21"/>
  <c r="BE172" i="21"/>
  <c r="BE171" i="21"/>
  <c r="BH170" i="21"/>
  <c r="BG170" i="21"/>
  <c r="BF170" i="21"/>
  <c r="BE169" i="21"/>
  <c r="BE168" i="21"/>
  <c r="BE167" i="21"/>
  <c r="BE166" i="21"/>
  <c r="BE165" i="21"/>
  <c r="BE164" i="21"/>
  <c r="BE163" i="21"/>
  <c r="BE162" i="21"/>
  <c r="BE161" i="21"/>
  <c r="BE160" i="21"/>
  <c r="BE159" i="21"/>
  <c r="BH158" i="21"/>
  <c r="BF158" i="21"/>
  <c r="BE157" i="21"/>
  <c r="BE156" i="21"/>
  <c r="BE155" i="21"/>
  <c r="BE154" i="21"/>
  <c r="BE153" i="21"/>
  <c r="BE152" i="21"/>
  <c r="BE151" i="21"/>
  <c r="BE150" i="21"/>
  <c r="BE149" i="21"/>
  <c r="BE148" i="21"/>
  <c r="BE147" i="21"/>
  <c r="BG146" i="21"/>
  <c r="BF146" i="21"/>
  <c r="BE146" i="21"/>
  <c r="BE145" i="21"/>
  <c r="BE144" i="21"/>
  <c r="BE143" i="21"/>
  <c r="BE142" i="21"/>
  <c r="BE141" i="21"/>
  <c r="BE140" i="21"/>
  <c r="BE139" i="21"/>
  <c r="BE138" i="21"/>
  <c r="BE137" i="21"/>
  <c r="BE136" i="21"/>
  <c r="BH135" i="21"/>
  <c r="BG135" i="21"/>
  <c r="BF135" i="21"/>
  <c r="BE134" i="21"/>
  <c r="BE133" i="21"/>
  <c r="BE132" i="21"/>
  <c r="BE131" i="21"/>
  <c r="BE130" i="21"/>
  <c r="BE129" i="21"/>
  <c r="BE128" i="21"/>
  <c r="BE127" i="21"/>
  <c r="BE126" i="21"/>
  <c r="BE125" i="21"/>
  <c r="BE124" i="21"/>
  <c r="BE123" i="21"/>
  <c r="BE122" i="21"/>
  <c r="BH121" i="21"/>
  <c r="BG121" i="21"/>
  <c r="BF121" i="21"/>
  <c r="BE120" i="21"/>
  <c r="BE119" i="21"/>
  <c r="BE118" i="21"/>
  <c r="BE117" i="21"/>
  <c r="BE116" i="21"/>
  <c r="BE115" i="21"/>
  <c r="BE114" i="21"/>
  <c r="BF108" i="21"/>
  <c r="BE113" i="21"/>
  <c r="BE112" i="21"/>
  <c r="BE111" i="21"/>
  <c r="BE110" i="21"/>
  <c r="BE109" i="21"/>
  <c r="BH108" i="21"/>
  <c r="BG108" i="21"/>
  <c r="BE107" i="21"/>
  <c r="BE106" i="21"/>
  <c r="BE105" i="21"/>
  <c r="BE104" i="21"/>
  <c r="BE103" i="21"/>
  <c r="BE102" i="21"/>
  <c r="BE101" i="21"/>
  <c r="BE100" i="21"/>
  <c r="BE99" i="21"/>
  <c r="BE98" i="21"/>
  <c r="BE97" i="21"/>
  <c r="BE96" i="21"/>
  <c r="BE95" i="21"/>
  <c r="BH94" i="21"/>
  <c r="BG94" i="21"/>
  <c r="BE93" i="21"/>
  <c r="BE92" i="21"/>
  <c r="BE91" i="21"/>
  <c r="BE90" i="21"/>
  <c r="BE89" i="21"/>
  <c r="BE88" i="21"/>
  <c r="BE87" i="21"/>
  <c r="BE85" i="21"/>
  <c r="BE84" i="21"/>
  <c r="BH83" i="21"/>
  <c r="BG83" i="21"/>
  <c r="BE82" i="21"/>
  <c r="BE81" i="21"/>
  <c r="BE80" i="21"/>
  <c r="BE79" i="21"/>
  <c r="BE78" i="21"/>
  <c r="BE77" i="21"/>
  <c r="BE76" i="21"/>
  <c r="BE75" i="21"/>
  <c r="BE74" i="21"/>
  <c r="BE73" i="21"/>
  <c r="BE72" i="21"/>
  <c r="BE71" i="21"/>
  <c r="BH70" i="21"/>
  <c r="BG70" i="21"/>
  <c r="BF70" i="21"/>
  <c r="BE69" i="21"/>
  <c r="BE68" i="21"/>
  <c r="BE67" i="21"/>
  <c r="BE66" i="21"/>
  <c r="BE65" i="21"/>
  <c r="BE64" i="21"/>
  <c r="BE63" i="21"/>
  <c r="BE62" i="21"/>
  <c r="BE61" i="21"/>
  <c r="BE60" i="21"/>
  <c r="BE59" i="21"/>
  <c r="BE56" i="21"/>
  <c r="BE55" i="21"/>
  <c r="BE54" i="21"/>
  <c r="BE53" i="21"/>
  <c r="BE52" i="21"/>
  <c r="BE51" i="21"/>
  <c r="BE50" i="21"/>
  <c r="BE49" i="21"/>
  <c r="BE48" i="21"/>
  <c r="BE47" i="21"/>
  <c r="BE46" i="21"/>
  <c r="BE45" i="21"/>
  <c r="BF330" i="21"/>
  <c r="BE44" i="21"/>
  <c r="BE43" i="21"/>
  <c r="BE42" i="21"/>
  <c r="BE41" i="21"/>
  <c r="BE40" i="21"/>
  <c r="BE39" i="21"/>
  <c r="BE38" i="21"/>
  <c r="BE37" i="21"/>
  <c r="BE36" i="21"/>
  <c r="BE35" i="21"/>
  <c r="BE34" i="21"/>
  <c r="BE33" i="21"/>
  <c r="BE32" i="21"/>
  <c r="BE31" i="21"/>
  <c r="BE30" i="21"/>
  <c r="BE29" i="21"/>
  <c r="BF319" i="21"/>
  <c r="BE27" i="21"/>
  <c r="BE26" i="21"/>
  <c r="BE25" i="21"/>
  <c r="BE24" i="21"/>
  <c r="BE23" i="21"/>
  <c r="BF318" i="21"/>
  <c r="BE21" i="21"/>
  <c r="BE20" i="21"/>
  <c r="BH19" i="21"/>
  <c r="BE18" i="21"/>
  <c r="BE17" i="21"/>
  <c r="BH16" i="21"/>
  <c r="BG16" i="21"/>
  <c r="BF16" i="21"/>
  <c r="AX44" i="21"/>
  <c r="BE206" i="21" l="1"/>
  <c r="BE241" i="21"/>
  <c r="BE295" i="21"/>
  <c r="BE135" i="21"/>
  <c r="BE265" i="21"/>
  <c r="BE227" i="21"/>
  <c r="BE332" i="21"/>
  <c r="BE121" i="21"/>
  <c r="BE254" i="21"/>
  <c r="BE326" i="21"/>
  <c r="BE170" i="21"/>
  <c r="BE158" i="21"/>
  <c r="BE70" i="21"/>
  <c r="BE321" i="21"/>
  <c r="BE330" i="21"/>
  <c r="BE331" i="21"/>
  <c r="BE328" i="21"/>
  <c r="BE16" i="21"/>
  <c r="BE86" i="21"/>
  <c r="BE284" i="21"/>
  <c r="BF279" i="21"/>
  <c r="BF329" i="21"/>
  <c r="BE329" i="21" s="1"/>
  <c r="BF317" i="21"/>
  <c r="BE317" i="21" s="1"/>
  <c r="BH313" i="21"/>
  <c r="BH315" i="21" s="1"/>
  <c r="BG324" i="21"/>
  <c r="BG318" i="21"/>
  <c r="BE57" i="21"/>
  <c r="BE217" i="21"/>
  <c r="BE318" i="21"/>
  <c r="BH333" i="21"/>
  <c r="BE333" i="21" s="1"/>
  <c r="BF324" i="21"/>
  <c r="BE324" i="21" s="1"/>
  <c r="BF83" i="21"/>
  <c r="BE28" i="21"/>
  <c r="BF320" i="21"/>
  <c r="BE190" i="21"/>
  <c r="BE319" i="21"/>
  <c r="BF19" i="21"/>
  <c r="BE22" i="21"/>
  <c r="BE108" i="21"/>
  <c r="BE181" i="21"/>
  <c r="BE320" i="21" s="1"/>
  <c r="BE309" i="21"/>
  <c r="BF325" i="21"/>
  <c r="BE325" i="21" s="1"/>
  <c r="BG317" i="21"/>
  <c r="BH320" i="21"/>
  <c r="BF94" i="21"/>
  <c r="AX25" i="21"/>
  <c r="AY209" i="21"/>
  <c r="AX209" i="21"/>
  <c r="AX38" i="21"/>
  <c r="AY22" i="21"/>
  <c r="AX22" i="21"/>
  <c r="AX149" i="21"/>
  <c r="BE83" i="21" l="1"/>
  <c r="BF313" i="21"/>
  <c r="BE313" i="21" s="1"/>
  <c r="BE315" i="21" s="1"/>
  <c r="BG313" i="21"/>
  <c r="BG315" i="21" s="1"/>
  <c r="BE94" i="21"/>
  <c r="BE279" i="21"/>
  <c r="BE19" i="21"/>
  <c r="AZ57" i="21"/>
  <c r="BF315" i="21" l="1"/>
  <c r="AZ56" i="21"/>
  <c r="AX173" i="21"/>
  <c r="AY317" i="21" l="1"/>
  <c r="AY333" i="21"/>
  <c r="AX333" i="21"/>
  <c r="AZ317" i="21"/>
  <c r="BB81" i="21"/>
  <c r="BJ81" i="21" s="1"/>
  <c r="BC81" i="21"/>
  <c r="BK81" i="21" s="1"/>
  <c r="BD81" i="21"/>
  <c r="AW81" i="21"/>
  <c r="AW82" i="21"/>
  <c r="AZ19" i="21"/>
  <c r="AZ94" i="21"/>
  <c r="BB106" i="21"/>
  <c r="BJ106" i="21" s="1"/>
  <c r="BC106" i="21"/>
  <c r="BK106" i="21" s="1"/>
  <c r="BD106" i="21"/>
  <c r="AW104" i="21"/>
  <c r="AW105" i="21"/>
  <c r="AW106" i="21"/>
  <c r="AY331" i="21"/>
  <c r="AZ331" i="21"/>
  <c r="AX331" i="21"/>
  <c r="AX299" i="21"/>
  <c r="AX284" i="21"/>
  <c r="BB262" i="21"/>
  <c r="AW262" i="21"/>
  <c r="AX258" i="21"/>
  <c r="AX220" i="21"/>
  <c r="AX161" i="21"/>
  <c r="BA106" i="21" l="1"/>
  <c r="BL106" i="21"/>
  <c r="BI106" i="21" s="1"/>
  <c r="BA262" i="21"/>
  <c r="BJ262" i="21"/>
  <c r="BI262" i="21" s="1"/>
  <c r="BA81" i="21"/>
  <c r="BL81" i="21"/>
  <c r="BI81" i="21" s="1"/>
  <c r="AW331" i="21"/>
  <c r="AX138" i="21" l="1"/>
  <c r="AX317" i="21" s="1"/>
  <c r="AX124" i="21"/>
  <c r="AX111" i="21"/>
  <c r="AX97" i="21"/>
  <c r="AX86" i="21"/>
  <c r="AX73" i="21"/>
  <c r="AX61" i="21"/>
  <c r="AX21" i="21"/>
  <c r="AX28" i="21"/>
  <c r="AY327" i="21"/>
  <c r="AZ327" i="21"/>
  <c r="AX327" i="21"/>
  <c r="AY320" i="21"/>
  <c r="BB34" i="21"/>
  <c r="BJ34" i="21" s="1"/>
  <c r="BC34" i="21"/>
  <c r="BK34" i="21" s="1"/>
  <c r="BD34" i="21"/>
  <c r="BL34" i="21" s="1"/>
  <c r="BI34" i="21" s="1"/>
  <c r="AW34" i="21"/>
  <c r="BA34" i="21" l="1"/>
  <c r="AX113" i="21"/>
  <c r="AX99" i="21"/>
  <c r="AX88" i="21"/>
  <c r="AX75" i="21"/>
  <c r="AX63" i="21"/>
  <c r="AX328" i="21" l="1"/>
  <c r="BB36" i="21"/>
  <c r="AW36" i="21"/>
  <c r="AW44" i="21"/>
  <c r="AW337" i="21"/>
  <c r="AW336" i="21"/>
  <c r="AW335" i="21"/>
  <c r="AZ332" i="21"/>
  <c r="AY332" i="21"/>
  <c r="AX332" i="21"/>
  <c r="AZ330" i="21"/>
  <c r="AY330" i="21"/>
  <c r="AZ329" i="21"/>
  <c r="AY329" i="21"/>
  <c r="AZ328" i="21"/>
  <c r="AW328" i="21" s="1"/>
  <c r="AY328" i="21"/>
  <c r="AZ326" i="21"/>
  <c r="AY326" i="21"/>
  <c r="AX326" i="21"/>
  <c r="AZ325" i="21"/>
  <c r="AY325" i="21"/>
  <c r="AX325" i="21"/>
  <c r="AZ324" i="21"/>
  <c r="AY322" i="21"/>
  <c r="AZ321" i="21"/>
  <c r="AY321" i="21"/>
  <c r="AX321" i="21"/>
  <c r="AZ319" i="21"/>
  <c r="AY319" i="21"/>
  <c r="AX319" i="21"/>
  <c r="AZ318" i="21"/>
  <c r="AW314" i="21"/>
  <c r="AW312" i="21"/>
  <c r="AW311" i="21"/>
  <c r="AW310" i="21"/>
  <c r="AZ309" i="21"/>
  <c r="AY309" i="21"/>
  <c r="AX309" i="21"/>
  <c r="AW308" i="21"/>
  <c r="AW307" i="21"/>
  <c r="AW306" i="21"/>
  <c r="AW305" i="21"/>
  <c r="AW304" i="21"/>
  <c r="AW303" i="21"/>
  <c r="AW302" i="21"/>
  <c r="AW301" i="21"/>
  <c r="AW300" i="21"/>
  <c r="AW299" i="21"/>
  <c r="AW298" i="21"/>
  <c r="AW297" i="21"/>
  <c r="AW296" i="21"/>
  <c r="AZ295" i="21"/>
  <c r="AY295" i="21"/>
  <c r="AX295" i="21"/>
  <c r="AW294" i="21"/>
  <c r="AW293" i="21"/>
  <c r="AW292" i="21"/>
  <c r="AW291" i="21"/>
  <c r="AW290" i="21"/>
  <c r="AW289" i="21"/>
  <c r="AW288" i="21"/>
  <c r="AW287" i="21"/>
  <c r="AW286" i="21"/>
  <c r="AW285" i="21"/>
  <c r="AW284" i="21"/>
  <c r="AW283" i="21"/>
  <c r="AW282" i="21"/>
  <c r="AW281" i="21"/>
  <c r="AW280" i="21"/>
  <c r="AZ279" i="21"/>
  <c r="AY279" i="21"/>
  <c r="AX279" i="21"/>
  <c r="AW278" i="21"/>
  <c r="AW277" i="21"/>
  <c r="AW276" i="21"/>
  <c r="AW275" i="21"/>
  <c r="AW274" i="21"/>
  <c r="AW273" i="21"/>
  <c r="AW271" i="21"/>
  <c r="AW270" i="21"/>
  <c r="AW269" i="21"/>
  <c r="AW268" i="21"/>
  <c r="AW267" i="21"/>
  <c r="AW266" i="21"/>
  <c r="AZ265" i="21"/>
  <c r="AY265" i="21"/>
  <c r="AX265" i="21"/>
  <c r="AW264" i="21"/>
  <c r="AW263" i="21"/>
  <c r="AW261" i="21"/>
  <c r="AW260" i="21"/>
  <c r="AW259" i="21"/>
  <c r="AW258" i="21"/>
  <c r="AW257" i="21"/>
  <c r="AW256" i="21"/>
  <c r="AW255" i="21"/>
  <c r="AZ254" i="21"/>
  <c r="AY254" i="21"/>
  <c r="AX254" i="21"/>
  <c r="AW253" i="21"/>
  <c r="AW252" i="21"/>
  <c r="AW251" i="21"/>
  <c r="AW250" i="21"/>
  <c r="AW249" i="21"/>
  <c r="AW248" i="21"/>
  <c r="AW247" i="21"/>
  <c r="AW246" i="21"/>
  <c r="AW245" i="21"/>
  <c r="AW244" i="21"/>
  <c r="AW243" i="21"/>
  <c r="AW242" i="21"/>
  <c r="AZ241" i="21"/>
  <c r="AY241" i="21"/>
  <c r="AX241" i="21"/>
  <c r="AW240" i="21"/>
  <c r="AW239" i="21"/>
  <c r="AW238" i="21"/>
  <c r="AW237" i="21"/>
  <c r="AW236" i="21"/>
  <c r="AW235" i="21"/>
  <c r="AW234" i="21"/>
  <c r="AW233" i="21"/>
  <c r="AW232" i="21"/>
  <c r="AW231" i="21"/>
  <c r="AW230" i="21"/>
  <c r="AW229" i="21"/>
  <c r="AW228" i="21"/>
  <c r="AZ227" i="21"/>
  <c r="AY227" i="21"/>
  <c r="AX227" i="21"/>
  <c r="AW226" i="21"/>
  <c r="AW225" i="21"/>
  <c r="AW223" i="21"/>
  <c r="AW222" i="21"/>
  <c r="AW221" i="21"/>
  <c r="AW220" i="21"/>
  <c r="AW219" i="21"/>
  <c r="AW218" i="21"/>
  <c r="AZ217" i="21"/>
  <c r="AY217" i="21"/>
  <c r="AX217" i="21"/>
  <c r="AW217" i="21" s="1"/>
  <c r="AW216" i="21"/>
  <c r="AW215" i="21"/>
  <c r="AW214" i="21"/>
  <c r="AW213" i="21"/>
  <c r="AW212" i="21"/>
  <c r="AW211" i="21"/>
  <c r="AW210" i="21"/>
  <c r="AW209" i="21"/>
  <c r="AW208" i="21"/>
  <c r="AW207" i="21"/>
  <c r="AZ206" i="21"/>
  <c r="AY206" i="21"/>
  <c r="AX206" i="21"/>
  <c r="AW205" i="21"/>
  <c r="AW204" i="21"/>
  <c r="AW203" i="21"/>
  <c r="AW202" i="21"/>
  <c r="AW201" i="21"/>
  <c r="AW200" i="21"/>
  <c r="AW199" i="21"/>
  <c r="AW198" i="21"/>
  <c r="AW197" i="21"/>
  <c r="AW196" i="21"/>
  <c r="AW195" i="21"/>
  <c r="AW194" i="21"/>
  <c r="AW193" i="21"/>
  <c r="AW192" i="21"/>
  <c r="AW191" i="21"/>
  <c r="AZ190" i="21"/>
  <c r="AY190" i="21"/>
  <c r="AX190" i="21"/>
  <c r="AW189" i="21"/>
  <c r="AW188" i="21"/>
  <c r="AW187" i="21"/>
  <c r="AW186" i="21"/>
  <c r="AW185" i="21"/>
  <c r="AW184" i="21"/>
  <c r="AW183" i="21"/>
  <c r="AW182" i="21"/>
  <c r="AZ181" i="21"/>
  <c r="AZ333" i="21" s="1"/>
  <c r="AW180" i="21"/>
  <c r="AW179" i="21"/>
  <c r="AW178" i="21"/>
  <c r="AW177" i="21"/>
  <c r="AW176" i="21"/>
  <c r="AW175" i="21"/>
  <c r="AW174" i="21"/>
  <c r="AW173" i="21"/>
  <c r="AW172" i="21"/>
  <c r="AW171" i="21"/>
  <c r="AZ170" i="21"/>
  <c r="AY170" i="21"/>
  <c r="AX170" i="21"/>
  <c r="AW169" i="21"/>
  <c r="AW168" i="21"/>
  <c r="AW167" i="21"/>
  <c r="AW166" i="21"/>
  <c r="AW165" i="21"/>
  <c r="AW164" i="21"/>
  <c r="AW163" i="21"/>
  <c r="AW162" i="21"/>
  <c r="AW161" i="21"/>
  <c r="AW160" i="21"/>
  <c r="AW159" i="21"/>
  <c r="AZ158" i="21"/>
  <c r="AY158" i="21"/>
  <c r="AX158" i="21"/>
  <c r="AW157" i="21"/>
  <c r="AW156" i="21"/>
  <c r="AW155" i="21"/>
  <c r="AW154" i="21"/>
  <c r="AW153" i="21"/>
  <c r="AW152" i="21"/>
  <c r="AW151" i="21"/>
  <c r="AW150" i="21"/>
  <c r="AW149" i="21"/>
  <c r="AW148" i="21"/>
  <c r="AW147" i="21"/>
  <c r="AZ146" i="21"/>
  <c r="AY146" i="21"/>
  <c r="AX146" i="21"/>
  <c r="AW145" i="21"/>
  <c r="AW144" i="21"/>
  <c r="AW143" i="21"/>
  <c r="AW142" i="21"/>
  <c r="AW141" i="21"/>
  <c r="AW140" i="21"/>
  <c r="AW139" i="21"/>
  <c r="AW138" i="21"/>
  <c r="AW137" i="21"/>
  <c r="AW136" i="21"/>
  <c r="AZ135" i="21"/>
  <c r="AY135" i="21"/>
  <c r="AX135" i="21"/>
  <c r="AW134" i="21"/>
  <c r="AW133" i="21"/>
  <c r="AW132" i="21"/>
  <c r="AW131" i="21"/>
  <c r="AW130" i="21"/>
  <c r="AW129" i="21"/>
  <c r="AW128" i="21"/>
  <c r="AW127" i="21"/>
  <c r="AW126" i="21"/>
  <c r="AW125" i="21"/>
  <c r="AW124" i="21"/>
  <c r="AW123" i="21"/>
  <c r="AW122" i="21"/>
  <c r="AZ121" i="21"/>
  <c r="AY121" i="21"/>
  <c r="AX121" i="21"/>
  <c r="AW120" i="21"/>
  <c r="AW119" i="21"/>
  <c r="AW118" i="21"/>
  <c r="AW117" i="21"/>
  <c r="AW116" i="21"/>
  <c r="AW115" i="21"/>
  <c r="AW114" i="21"/>
  <c r="AW113" i="21"/>
  <c r="AW112" i="21"/>
  <c r="AW111" i="21"/>
  <c r="AW110" i="21"/>
  <c r="AW109" i="21"/>
  <c r="AZ108" i="21"/>
  <c r="AY108" i="21"/>
  <c r="AX108" i="21"/>
  <c r="AW107" i="21"/>
  <c r="AW103" i="21"/>
  <c r="AW102" i="21"/>
  <c r="AW101" i="21"/>
  <c r="AW100" i="21"/>
  <c r="AW99" i="21"/>
  <c r="AW98" i="21"/>
  <c r="AW97" i="21"/>
  <c r="AW96" i="21"/>
  <c r="AW95" i="21"/>
  <c r="AY94" i="21"/>
  <c r="AX94" i="21"/>
  <c r="AW93" i="21"/>
  <c r="AW92" i="21"/>
  <c r="AW91" i="21"/>
  <c r="AW90" i="21"/>
  <c r="AW89" i="21"/>
  <c r="AW88" i="21"/>
  <c r="AW87" i="21"/>
  <c r="AW86" i="21"/>
  <c r="AW85" i="21"/>
  <c r="AW84" i="21"/>
  <c r="AZ83" i="21"/>
  <c r="AY83" i="21"/>
  <c r="AX83" i="21"/>
  <c r="AW80" i="21"/>
  <c r="AW79" i="21"/>
  <c r="AW78" i="21"/>
  <c r="AW77" i="21"/>
  <c r="AW76" i="21"/>
  <c r="AW75" i="21"/>
  <c r="AW74" i="21"/>
  <c r="AW73" i="21"/>
  <c r="AW72" i="21"/>
  <c r="AW71" i="21"/>
  <c r="AZ70" i="21"/>
  <c r="AY70" i="21"/>
  <c r="AX70" i="21"/>
  <c r="AW69" i="21"/>
  <c r="AW68" i="21"/>
  <c r="AW67" i="21"/>
  <c r="AW66" i="21"/>
  <c r="AW65" i="21"/>
  <c r="AW64" i="21"/>
  <c r="AW63" i="21"/>
  <c r="AW62" i="21"/>
  <c r="AW61" i="21"/>
  <c r="AW60" i="21"/>
  <c r="AW59" i="21"/>
  <c r="AZ58" i="21"/>
  <c r="AY58" i="21"/>
  <c r="AX58" i="21"/>
  <c r="AW57" i="21"/>
  <c r="AW56" i="21"/>
  <c r="AW55" i="21"/>
  <c r="AW54" i="21"/>
  <c r="AW53" i="21"/>
  <c r="AW52" i="21"/>
  <c r="AW51" i="21"/>
  <c r="AW50" i="21"/>
  <c r="AW49" i="21"/>
  <c r="AW48" i="21"/>
  <c r="AW47" i="21"/>
  <c r="AW46" i="21"/>
  <c r="AW45" i="21"/>
  <c r="AW43" i="21"/>
  <c r="AW42" i="21"/>
  <c r="AW41" i="21"/>
  <c r="AW40" i="21"/>
  <c r="AW39" i="21"/>
  <c r="AW37" i="21"/>
  <c r="AW35" i="21"/>
  <c r="AW33" i="21"/>
  <c r="AW32" i="21"/>
  <c r="AW31" i="21"/>
  <c r="AW30" i="21"/>
  <c r="AW29" i="21"/>
  <c r="AW28" i="21"/>
  <c r="AW27" i="21"/>
  <c r="AW26" i="21"/>
  <c r="AW25" i="21"/>
  <c r="AW24" i="21"/>
  <c r="AW23" i="21"/>
  <c r="AW22" i="21"/>
  <c r="AW21" i="21"/>
  <c r="AW20" i="21"/>
  <c r="AW18" i="21"/>
  <c r="AW17" i="21"/>
  <c r="AZ16" i="21"/>
  <c r="AY16" i="21"/>
  <c r="AX16" i="21"/>
  <c r="AR335" i="21"/>
  <c r="AQ335" i="21"/>
  <c r="AP335" i="21"/>
  <c r="AP238" i="21"/>
  <c r="AP38" i="21"/>
  <c r="AQ22" i="21"/>
  <c r="AP22" i="21"/>
  <c r="BA36" i="21" l="1"/>
  <c r="BJ36" i="21"/>
  <c r="BI36" i="21" s="1"/>
  <c r="AZ320" i="21"/>
  <c r="AW327" i="21"/>
  <c r="AX320" i="21"/>
  <c r="AW227" i="21"/>
  <c r="AX19" i="21"/>
  <c r="AW16" i="21"/>
  <c r="AW321" i="21"/>
  <c r="AW326" i="21"/>
  <c r="AW190" i="21"/>
  <c r="AW319" i="21"/>
  <c r="AX330" i="21"/>
  <c r="AW330" i="21" s="1"/>
  <c r="AW254" i="21"/>
  <c r="AW135" i="21"/>
  <c r="AW121" i="21"/>
  <c r="AW94" i="21"/>
  <c r="AW279" i="21"/>
  <c r="AW206" i="21"/>
  <c r="AW170" i="21"/>
  <c r="AW70" i="21"/>
  <c r="AW325" i="21"/>
  <c r="AW317" i="21"/>
  <c r="AW332" i="21"/>
  <c r="AW295" i="21"/>
  <c r="AY324" i="21"/>
  <c r="AW158" i="21"/>
  <c r="AY318" i="21"/>
  <c r="AX329" i="21"/>
  <c r="AW329" i="21" s="1"/>
  <c r="AY19" i="21"/>
  <c r="AW108" i="21"/>
  <c r="AW146" i="21"/>
  <c r="AZ313" i="21"/>
  <c r="AZ315" i="21" s="1"/>
  <c r="AW241" i="21"/>
  <c r="AW265" i="21"/>
  <c r="AW58" i="21"/>
  <c r="AW83" i="21"/>
  <c r="AX324" i="21"/>
  <c r="AW324" i="21" s="1"/>
  <c r="AX318" i="21"/>
  <c r="AW318" i="21" s="1"/>
  <c r="AW38" i="21"/>
  <c r="AW333" i="21"/>
  <c r="AX322" i="21"/>
  <c r="AW181" i="21"/>
  <c r="AW320" i="21" s="1"/>
  <c r="AZ322" i="21"/>
  <c r="AW309" i="21"/>
  <c r="AR57" i="21"/>
  <c r="AR322" i="21" s="1"/>
  <c r="AP57" i="21"/>
  <c r="AO337" i="21"/>
  <c r="AO336" i="21"/>
  <c r="AO335" i="21"/>
  <c r="AQ333" i="21"/>
  <c r="AP333" i="21"/>
  <c r="AR332" i="21"/>
  <c r="AQ332" i="21"/>
  <c r="AP332" i="21"/>
  <c r="AR331" i="21"/>
  <c r="AQ331" i="21"/>
  <c r="AP331" i="21"/>
  <c r="AR330" i="21"/>
  <c r="AQ330" i="21"/>
  <c r="AP330" i="21"/>
  <c r="AR329" i="21"/>
  <c r="AR328" i="21"/>
  <c r="AQ328" i="21"/>
  <c r="AP328" i="21"/>
  <c r="AR327" i="21"/>
  <c r="AQ327" i="21"/>
  <c r="AP327" i="21"/>
  <c r="AR326" i="21"/>
  <c r="AQ326" i="21"/>
  <c r="AP326" i="21"/>
  <c r="AR325" i="21"/>
  <c r="AQ325" i="21"/>
  <c r="AP325" i="21"/>
  <c r="AR324" i="21"/>
  <c r="AQ324" i="21"/>
  <c r="AP324" i="21"/>
  <c r="AQ322" i="21"/>
  <c r="AP322" i="21"/>
  <c r="AR321" i="21"/>
  <c r="AQ321" i="21"/>
  <c r="AP321" i="21"/>
  <c r="AQ320" i="21"/>
  <c r="AR319" i="21"/>
  <c r="AQ319" i="21"/>
  <c r="AP319" i="21"/>
  <c r="AR318" i="21"/>
  <c r="AP318" i="21"/>
  <c r="AR317" i="21"/>
  <c r="AQ317" i="21"/>
  <c r="AP317" i="21"/>
  <c r="AO314" i="21"/>
  <c r="AO312" i="21"/>
  <c r="AO311" i="21"/>
  <c r="AO310" i="21"/>
  <c r="AR309" i="21"/>
  <c r="AQ309" i="21"/>
  <c r="AP309" i="21"/>
  <c r="AO308" i="21"/>
  <c r="AO307" i="21"/>
  <c r="AO306" i="21"/>
  <c r="AO305" i="21"/>
  <c r="AO304" i="21"/>
  <c r="AO303" i="21"/>
  <c r="AO302" i="21"/>
  <c r="AO301" i="21"/>
  <c r="AO300" i="21"/>
  <c r="AO299" i="21"/>
  <c r="AO298" i="21"/>
  <c r="AO297" i="21"/>
  <c r="AO296" i="21"/>
  <c r="AR295" i="21"/>
  <c r="AQ295" i="21"/>
  <c r="AO294" i="21"/>
  <c r="AO293" i="21"/>
  <c r="AO292" i="21"/>
  <c r="AO291" i="21"/>
  <c r="AO290" i="21"/>
  <c r="AO289" i="21"/>
  <c r="AO288" i="21"/>
  <c r="AO287" i="21"/>
  <c r="AO286" i="21"/>
  <c r="AO285" i="21"/>
  <c r="AO284" i="21"/>
  <c r="AO283" i="21"/>
  <c r="AO282" i="21"/>
  <c r="AO281" i="21"/>
  <c r="AO280" i="21"/>
  <c r="AR279" i="21"/>
  <c r="AP279" i="21"/>
  <c r="AO278" i="21"/>
  <c r="AO277" i="21"/>
  <c r="AO276" i="21"/>
  <c r="AO275" i="21"/>
  <c r="AO274" i="21"/>
  <c r="AO273" i="21"/>
  <c r="AO271" i="21"/>
  <c r="AO270" i="21"/>
  <c r="AO269" i="21"/>
  <c r="AO268" i="21"/>
  <c r="AO267" i="21"/>
  <c r="AO266" i="21"/>
  <c r="AR265" i="21"/>
  <c r="AQ265" i="21"/>
  <c r="AP265" i="21"/>
  <c r="AO265" i="21" s="1"/>
  <c r="AO264" i="21"/>
  <c r="AO263" i="21"/>
  <c r="AO261" i="21"/>
  <c r="AO260" i="21"/>
  <c r="AO259" i="21"/>
  <c r="AO258" i="21"/>
  <c r="AO257" i="21"/>
  <c r="AO256" i="21"/>
  <c r="AO255" i="21"/>
  <c r="AR254" i="21"/>
  <c r="AQ254" i="21"/>
  <c r="AP254" i="21"/>
  <c r="AO253" i="21"/>
  <c r="AO252" i="21"/>
  <c r="AO251" i="21"/>
  <c r="AO250" i="21"/>
  <c r="AO249" i="21"/>
  <c r="AO248" i="21"/>
  <c r="AO247" i="21"/>
  <c r="AO246" i="21"/>
  <c r="AO245" i="21"/>
  <c r="AO244" i="21"/>
  <c r="AO243" i="21"/>
  <c r="AO242" i="21"/>
  <c r="AR241" i="21"/>
  <c r="AQ241" i="21"/>
  <c r="AP241" i="21"/>
  <c r="AO240" i="21"/>
  <c r="AO239" i="21"/>
  <c r="AO238" i="21"/>
  <c r="AO237" i="21"/>
  <c r="AO236" i="21"/>
  <c r="AO235" i="21"/>
  <c r="AO234" i="21"/>
  <c r="AO233" i="21"/>
  <c r="AO232" i="21"/>
  <c r="AO231" i="21"/>
  <c r="AO230" i="21"/>
  <c r="AO229" i="21"/>
  <c r="AO228" i="21"/>
  <c r="AR227" i="21"/>
  <c r="AQ227" i="21"/>
  <c r="AP227" i="21"/>
  <c r="AO226" i="21"/>
  <c r="AO225" i="21"/>
  <c r="AO223" i="21"/>
  <c r="AO222" i="21"/>
  <c r="AO221" i="21"/>
  <c r="AO220" i="21"/>
  <c r="AO219" i="21"/>
  <c r="AO218" i="21"/>
  <c r="AR217" i="21"/>
  <c r="AO217" i="21" s="1"/>
  <c r="AQ217" i="21"/>
  <c r="AP217" i="21"/>
  <c r="AO216" i="21"/>
  <c r="AO215" i="21"/>
  <c r="AO214" i="21"/>
  <c r="AO213" i="21"/>
  <c r="AO212" i="21"/>
  <c r="AO211" i="21"/>
  <c r="AO210" i="21"/>
  <c r="AO209" i="21"/>
  <c r="AO208" i="21"/>
  <c r="AO207" i="21"/>
  <c r="AR206" i="21"/>
  <c r="AQ206" i="21"/>
  <c r="AP206" i="21"/>
  <c r="AO205" i="21"/>
  <c r="AO204" i="21"/>
  <c r="AO203" i="21"/>
  <c r="AO202" i="21"/>
  <c r="AO201" i="21"/>
  <c r="AO200" i="21"/>
  <c r="AO199" i="21"/>
  <c r="AO198" i="21"/>
  <c r="AO197" i="21"/>
  <c r="AO196" i="21"/>
  <c r="AO195" i="21"/>
  <c r="AO194" i="21"/>
  <c r="AO193" i="21"/>
  <c r="AO192" i="21"/>
  <c r="AO191" i="21"/>
  <c r="AR190" i="21"/>
  <c r="AQ190" i="21"/>
  <c r="AP190" i="21"/>
  <c r="AO189" i="21"/>
  <c r="AO188" i="21"/>
  <c r="AO187" i="21"/>
  <c r="AO186" i="21"/>
  <c r="AO185" i="21"/>
  <c r="AO184" i="21"/>
  <c r="AO183" i="21"/>
  <c r="AO182" i="21"/>
  <c r="AR181" i="21"/>
  <c r="AO180" i="21"/>
  <c r="AO179" i="21"/>
  <c r="AO178" i="21"/>
  <c r="AO177" i="21"/>
  <c r="AO176" i="21"/>
  <c r="AO175" i="21"/>
  <c r="AO174" i="21"/>
  <c r="AO173" i="21"/>
  <c r="AO172" i="21"/>
  <c r="AO171" i="21"/>
  <c r="AR170" i="21"/>
  <c r="AQ170" i="21"/>
  <c r="AP170" i="21"/>
  <c r="AO169" i="21"/>
  <c r="AO168" i="21"/>
  <c r="AO167" i="21"/>
  <c r="AO166" i="21"/>
  <c r="AO165" i="21"/>
  <c r="AO164" i="21"/>
  <c r="AO163" i="21"/>
  <c r="AO162" i="21"/>
  <c r="AO161" i="21"/>
  <c r="AO160" i="21"/>
  <c r="AO159" i="21"/>
  <c r="AR158" i="21"/>
  <c r="AQ158" i="21"/>
  <c r="AP158" i="21"/>
  <c r="AO157" i="21"/>
  <c r="AO156" i="21"/>
  <c r="AO155" i="21"/>
  <c r="AO154" i="21"/>
  <c r="AO153" i="21"/>
  <c r="AO152" i="21"/>
  <c r="AO151" i="21"/>
  <c r="AO150" i="21"/>
  <c r="AO149" i="21"/>
  <c r="AO148" i="21"/>
  <c r="AO147" i="21"/>
  <c r="AR146" i="21"/>
  <c r="AQ146" i="21"/>
  <c r="AP146" i="21"/>
  <c r="AO145" i="21"/>
  <c r="AO144" i="21"/>
  <c r="AO143" i="21"/>
  <c r="AO142" i="21"/>
  <c r="AO141" i="21"/>
  <c r="AO140" i="21"/>
  <c r="AO139" i="21"/>
  <c r="AO138" i="21"/>
  <c r="AO137" i="21"/>
  <c r="AO136" i="21"/>
  <c r="AR135" i="21"/>
  <c r="AQ135" i="21"/>
  <c r="AP135" i="21"/>
  <c r="AO134" i="21"/>
  <c r="AO133" i="21"/>
  <c r="AO132" i="21"/>
  <c r="AO131" i="21"/>
  <c r="AO130" i="21"/>
  <c r="AO129" i="21"/>
  <c r="AO128" i="21"/>
  <c r="AO127" i="21"/>
  <c r="AO126" i="21"/>
  <c r="AO125" i="21"/>
  <c r="AO124" i="21"/>
  <c r="AO123" i="21"/>
  <c r="AO122" i="21"/>
  <c r="AR121" i="21"/>
  <c r="AQ121" i="21"/>
  <c r="AP121" i="21"/>
  <c r="AO120" i="21"/>
  <c r="AO119" i="21"/>
  <c r="AO118" i="21"/>
  <c r="AO117" i="21"/>
  <c r="AO116" i="21"/>
  <c r="AO115" i="21"/>
  <c r="AO114" i="21"/>
  <c r="AO113" i="21"/>
  <c r="AO112" i="21"/>
  <c r="AO111" i="21"/>
  <c r="AO110" i="21"/>
  <c r="AO109" i="21"/>
  <c r="AR108" i="21"/>
  <c r="AQ108" i="21"/>
  <c r="AP108" i="21"/>
  <c r="AO107" i="21"/>
  <c r="AO105" i="21"/>
  <c r="AO104" i="21"/>
  <c r="AO103" i="21"/>
  <c r="AO102" i="21"/>
  <c r="AO101" i="21"/>
  <c r="AO100" i="21"/>
  <c r="AO99" i="21"/>
  <c r="AO98" i="21"/>
  <c r="AO97" i="21"/>
  <c r="AO96" i="21"/>
  <c r="AO95" i="21"/>
  <c r="AR94" i="21"/>
  <c r="AQ94" i="21"/>
  <c r="AP94" i="21"/>
  <c r="AO93" i="21"/>
  <c r="AO92" i="21"/>
  <c r="AO91" i="21"/>
  <c r="AO90" i="21"/>
  <c r="AO89" i="21"/>
  <c r="AO88" i="21"/>
  <c r="AO87" i="21"/>
  <c r="AO86" i="21"/>
  <c r="AO85" i="21"/>
  <c r="AO84" i="21"/>
  <c r="AR83" i="21"/>
  <c r="AQ83" i="21"/>
  <c r="AP83" i="21"/>
  <c r="AO82" i="21"/>
  <c r="AO80" i="21"/>
  <c r="AO79" i="21"/>
  <c r="AO78" i="21"/>
  <c r="AO77" i="21"/>
  <c r="AO76" i="21"/>
  <c r="AO75" i="21"/>
  <c r="AO74" i="21"/>
  <c r="AO73" i="21"/>
  <c r="AO72" i="21"/>
  <c r="AO71" i="21"/>
  <c r="AR70" i="21"/>
  <c r="AQ70" i="21"/>
  <c r="AP70" i="21"/>
  <c r="AO69" i="21"/>
  <c r="AO68" i="21"/>
  <c r="AO67" i="21"/>
  <c r="AO66" i="21"/>
  <c r="AO65" i="21"/>
  <c r="AO64" i="21"/>
  <c r="AO63" i="21"/>
  <c r="AO62" i="21"/>
  <c r="AO61" i="21"/>
  <c r="AO60" i="21"/>
  <c r="AO59" i="21"/>
  <c r="AR58" i="21"/>
  <c r="AQ58" i="21"/>
  <c r="AP58" i="21"/>
  <c r="AO56" i="21"/>
  <c r="AO55" i="21"/>
  <c r="AO54" i="21"/>
  <c r="AO53" i="21"/>
  <c r="AO52" i="21"/>
  <c r="AO51" i="21"/>
  <c r="AO50" i="21"/>
  <c r="AO49" i="21"/>
  <c r="AO48" i="21"/>
  <c r="AO47" i="21"/>
  <c r="AO46" i="21"/>
  <c r="AO45" i="21"/>
  <c r="AO44" i="21"/>
  <c r="AO43" i="21"/>
  <c r="AO42" i="21"/>
  <c r="AO41" i="21"/>
  <c r="AO40" i="21"/>
  <c r="AO39" i="21"/>
  <c r="AO38" i="21"/>
  <c r="AO37" i="21"/>
  <c r="AO35" i="21"/>
  <c r="AO33" i="21"/>
  <c r="AO32" i="21"/>
  <c r="AO31" i="21"/>
  <c r="AO30" i="21"/>
  <c r="AO29" i="21"/>
  <c r="AO28" i="21"/>
  <c r="AO27" i="21"/>
  <c r="AO26" i="21"/>
  <c r="AO25" i="21"/>
  <c r="AO24" i="21"/>
  <c r="AO23" i="21"/>
  <c r="AO22" i="21"/>
  <c r="AO21" i="21"/>
  <c r="AO20" i="21"/>
  <c r="AQ19" i="21"/>
  <c r="AP19" i="21"/>
  <c r="AO18" i="21"/>
  <c r="AO17" i="21"/>
  <c r="AR16" i="21"/>
  <c r="AQ16" i="21"/>
  <c r="AP16" i="21"/>
  <c r="AR19" i="21" l="1"/>
  <c r="AO57" i="21"/>
  <c r="AO83" i="21"/>
  <c r="AO108" i="21"/>
  <c r="AO206" i="21"/>
  <c r="AO279" i="21"/>
  <c r="AO158" i="21"/>
  <c r="AO135" i="21"/>
  <c r="AR333" i="21"/>
  <c r="AO333" i="21" s="1"/>
  <c r="AO181" i="21"/>
  <c r="AO121" i="21"/>
  <c r="AO190" i="21"/>
  <c r="AO254" i="21"/>
  <c r="AO328" i="21"/>
  <c r="AO227" i="21"/>
  <c r="AO241" i="21"/>
  <c r="AO170" i="21"/>
  <c r="AO146" i="21"/>
  <c r="AW322" i="21"/>
  <c r="AY313" i="21"/>
  <c r="AY315" i="21" s="1"/>
  <c r="AW19" i="21"/>
  <c r="AX313" i="21"/>
  <c r="AO326" i="21"/>
  <c r="AR313" i="21"/>
  <c r="AR315" i="21" s="1"/>
  <c r="AO19" i="21"/>
  <c r="AO332" i="21"/>
  <c r="AO319" i="21"/>
  <c r="AO318" i="21"/>
  <c r="AO331" i="21"/>
  <c r="AO324" i="21"/>
  <c r="AO330" i="21"/>
  <c r="AO317" i="21"/>
  <c r="AO327" i="21"/>
  <c r="AO321" i="21"/>
  <c r="AO325" i="21"/>
  <c r="AO322" i="21"/>
  <c r="AO70" i="21"/>
  <c r="AO58" i="21"/>
  <c r="AO94" i="21"/>
  <c r="AO16" i="21"/>
  <c r="AQ279" i="21"/>
  <c r="AO309" i="21"/>
  <c r="AP320" i="21"/>
  <c r="AP329" i="21"/>
  <c r="AO329" i="21" s="1"/>
  <c r="AQ318" i="21"/>
  <c r="AQ329" i="21"/>
  <c r="AR320" i="21"/>
  <c r="AP295" i="21"/>
  <c r="AW313" i="21" l="1"/>
  <c r="AW315" i="21" s="1"/>
  <c r="AX315" i="21"/>
  <c r="AO320" i="21"/>
  <c r="AQ313" i="21"/>
  <c r="AQ315" i="21" s="1"/>
  <c r="AP313" i="21"/>
  <c r="AO295" i="21"/>
  <c r="AH333" i="21"/>
  <c r="AH108" i="21"/>
  <c r="AL120" i="21"/>
  <c r="AT120" i="21" s="1"/>
  <c r="AG117" i="21"/>
  <c r="AG118" i="21"/>
  <c r="AG119" i="21"/>
  <c r="AG120" i="21"/>
  <c r="AI286" i="21"/>
  <c r="AI320" i="21" s="1"/>
  <c r="AH286" i="21"/>
  <c r="AI301" i="21"/>
  <c r="AH301" i="21"/>
  <c r="AH320" i="21" s="1"/>
  <c r="AI285" i="21"/>
  <c r="AH285" i="21"/>
  <c r="AS120" i="21" l="1"/>
  <c r="BB120" i="21"/>
  <c r="BJ120" i="21" s="1"/>
  <c r="BI120" i="21" s="1"/>
  <c r="AK120" i="21"/>
  <c r="AO313" i="21"/>
  <c r="AO315" i="21" s="1"/>
  <c r="AP315" i="21"/>
  <c r="AG337" i="21"/>
  <c r="AG336" i="21"/>
  <c r="AG335" i="21"/>
  <c r="AI332" i="21"/>
  <c r="AH332" i="21"/>
  <c r="AJ331" i="21"/>
  <c r="AI331" i="21"/>
  <c r="AH331" i="21"/>
  <c r="AJ330" i="21"/>
  <c r="AI330" i="21"/>
  <c r="AH330" i="21"/>
  <c r="AJ329" i="21"/>
  <c r="AI329" i="21"/>
  <c r="AH329" i="21"/>
  <c r="AJ328" i="21"/>
  <c r="AI328" i="21"/>
  <c r="AH328" i="21"/>
  <c r="AJ327" i="21"/>
  <c r="AI327" i="21"/>
  <c r="AH327" i="21"/>
  <c r="AJ326" i="21"/>
  <c r="AI326" i="21"/>
  <c r="AH326" i="21"/>
  <c r="AJ325" i="21"/>
  <c r="AH325" i="21"/>
  <c r="AJ324" i="21"/>
  <c r="AH324" i="21"/>
  <c r="AI322" i="21"/>
  <c r="AH322" i="21"/>
  <c r="AJ321" i="21"/>
  <c r="AI321" i="21"/>
  <c r="AH321" i="21"/>
  <c r="AJ319" i="21"/>
  <c r="AH319" i="21"/>
  <c r="AJ318" i="21"/>
  <c r="AH318" i="21"/>
  <c r="AJ317" i="21"/>
  <c r="AH317" i="21"/>
  <c r="AG314" i="21"/>
  <c r="AG312" i="21"/>
  <c r="AG311" i="21"/>
  <c r="AG310" i="21"/>
  <c r="AJ309" i="21"/>
  <c r="AI309" i="21"/>
  <c r="AH309" i="21"/>
  <c r="AG308" i="21"/>
  <c r="AG307" i="21"/>
  <c r="AG306" i="21"/>
  <c r="AG305" i="21"/>
  <c r="AG304" i="21"/>
  <c r="AG303" i="21"/>
  <c r="AG302" i="21"/>
  <c r="AG301" i="21"/>
  <c r="AG300" i="21"/>
  <c r="AG299" i="21"/>
  <c r="AG298" i="21"/>
  <c r="AG297" i="21"/>
  <c r="AG296" i="21"/>
  <c r="AJ295" i="21"/>
  <c r="AI295" i="21"/>
  <c r="AH295" i="21"/>
  <c r="AG294" i="21"/>
  <c r="AG293" i="21"/>
  <c r="AG292" i="21"/>
  <c r="AG291" i="21"/>
  <c r="AG290" i="21"/>
  <c r="AG289" i="21"/>
  <c r="AG288" i="21"/>
  <c r="AG287" i="21"/>
  <c r="AG286" i="21"/>
  <c r="AG285" i="21"/>
  <c r="AG284" i="21"/>
  <c r="AG283" i="21"/>
  <c r="AG282" i="21"/>
  <c r="AG281" i="21"/>
  <c r="AG280" i="21"/>
  <c r="AJ279" i="21"/>
  <c r="AI279" i="21"/>
  <c r="AH279" i="21"/>
  <c r="AG278" i="21"/>
  <c r="AG277" i="21"/>
  <c r="AG276" i="21"/>
  <c r="AG275" i="21"/>
  <c r="AG274" i="21"/>
  <c r="AG273" i="21"/>
  <c r="AG271" i="21"/>
  <c r="AG270" i="21"/>
  <c r="AG269" i="21"/>
  <c r="AG268" i="21"/>
  <c r="AG267" i="21"/>
  <c r="AG266" i="21"/>
  <c r="AJ265" i="21"/>
  <c r="AI265" i="21"/>
  <c r="AH265" i="21"/>
  <c r="AG264" i="21"/>
  <c r="AG263" i="21"/>
  <c r="AG261" i="21"/>
  <c r="AG260" i="21"/>
  <c r="AG259" i="21"/>
  <c r="AG258" i="21"/>
  <c r="AG257" i="21"/>
  <c r="AG256" i="21"/>
  <c r="AG255" i="21"/>
  <c r="AJ254" i="21"/>
  <c r="AI254" i="21"/>
  <c r="AH254" i="21"/>
  <c r="AG253" i="21"/>
  <c r="AG252" i="21"/>
  <c r="AG251" i="21"/>
  <c r="AG250" i="21"/>
  <c r="AG249" i="21"/>
  <c r="AG248" i="21"/>
  <c r="AG247" i="21"/>
  <c r="AG246" i="21"/>
  <c r="AG245" i="21"/>
  <c r="AG244" i="21"/>
  <c r="AG243" i="21"/>
  <c r="AG242" i="21"/>
  <c r="AJ241" i="21"/>
  <c r="AI241" i="21"/>
  <c r="AH241" i="21"/>
  <c r="AG240" i="21"/>
  <c r="AG239" i="21"/>
  <c r="AG238" i="21"/>
  <c r="AG237" i="21"/>
  <c r="AG236" i="21"/>
  <c r="AG235" i="21"/>
  <c r="AG234" i="21"/>
  <c r="AG233" i="21"/>
  <c r="AG232" i="21"/>
  <c r="AG231" i="21"/>
  <c r="AG230" i="21"/>
  <c r="AG229" i="21"/>
  <c r="AG228" i="21"/>
  <c r="AJ227" i="21"/>
  <c r="AI227" i="21"/>
  <c r="AH227" i="21"/>
  <c r="AG226" i="21"/>
  <c r="AG225" i="21"/>
  <c r="AG223" i="21"/>
  <c r="AG222" i="21"/>
  <c r="AG221" i="21"/>
  <c r="AG220" i="21"/>
  <c r="AG219" i="21"/>
  <c r="AG218" i="21"/>
  <c r="AJ217" i="21"/>
  <c r="AI217" i="21"/>
  <c r="AH217" i="21"/>
  <c r="AG216" i="21"/>
  <c r="AG215" i="21"/>
  <c r="AG214" i="21"/>
  <c r="AG213" i="21"/>
  <c r="AG212" i="21"/>
  <c r="AG211" i="21"/>
  <c r="AG210" i="21"/>
  <c r="AG209" i="21"/>
  <c r="AG208" i="21"/>
  <c r="AG207" i="21"/>
  <c r="AJ206" i="21"/>
  <c r="AI206" i="21"/>
  <c r="AH206" i="21"/>
  <c r="AG205" i="21"/>
  <c r="AG204" i="21"/>
  <c r="AG203" i="21"/>
  <c r="AG202" i="21"/>
  <c r="AG201" i="21"/>
  <c r="AG200" i="21"/>
  <c r="AG199" i="21"/>
  <c r="AG198" i="21"/>
  <c r="AG197" i="21"/>
  <c r="AG196" i="21"/>
  <c r="AG195" i="21"/>
  <c r="AG194" i="21"/>
  <c r="AG193" i="21"/>
  <c r="AG192" i="21"/>
  <c r="AG191" i="21"/>
  <c r="AJ190" i="21"/>
  <c r="AI190" i="21"/>
  <c r="AH190" i="21"/>
  <c r="AG189" i="21"/>
  <c r="AG188" i="21"/>
  <c r="AG187" i="21"/>
  <c r="AG186" i="21"/>
  <c r="AG185" i="21"/>
  <c r="AG184" i="21"/>
  <c r="AG183" i="21"/>
  <c r="AG182" i="21"/>
  <c r="AJ181" i="21"/>
  <c r="AH170" i="21"/>
  <c r="AG180" i="21"/>
  <c r="AG179" i="21"/>
  <c r="AG178" i="21"/>
  <c r="AG177" i="21"/>
  <c r="AG176" i="21"/>
  <c r="AG175" i="21"/>
  <c r="AG174" i="21"/>
  <c r="AG173" i="21"/>
  <c r="AG172" i="21"/>
  <c r="AG171" i="21"/>
  <c r="AJ170" i="21"/>
  <c r="AG169" i="21"/>
  <c r="AG168" i="21"/>
  <c r="AG167" i="21"/>
  <c r="AG166" i="21"/>
  <c r="AG165" i="21"/>
  <c r="AG164" i="21"/>
  <c r="AG163" i="21"/>
  <c r="AG162" i="21"/>
  <c r="AG161" i="21"/>
  <c r="AG160" i="21"/>
  <c r="AG159" i="21"/>
  <c r="AJ158" i="21"/>
  <c r="AI158" i="21"/>
  <c r="AH158" i="21"/>
  <c r="AG157" i="21"/>
  <c r="AG156" i="21"/>
  <c r="AG155" i="21"/>
  <c r="AG154" i="21"/>
  <c r="AG153" i="21"/>
  <c r="AG152" i="21"/>
  <c r="AG151" i="21"/>
  <c r="AG150" i="21"/>
  <c r="AG149" i="21"/>
  <c r="AG148" i="21"/>
  <c r="AG147" i="21"/>
  <c r="AJ146" i="21"/>
  <c r="AI146" i="21"/>
  <c r="AH146" i="21"/>
  <c r="AG145" i="21"/>
  <c r="AG144" i="21"/>
  <c r="AG143" i="21"/>
  <c r="AG142" i="21"/>
  <c r="AG141" i="21"/>
  <c r="AG140" i="21"/>
  <c r="AG139" i="21"/>
  <c r="AG138" i="21"/>
  <c r="AG137" i="21"/>
  <c r="AG136" i="21"/>
  <c r="AJ135" i="21"/>
  <c r="AH135" i="21"/>
  <c r="AG134" i="21"/>
  <c r="AG133" i="21"/>
  <c r="AG132" i="21"/>
  <c r="AG131" i="21"/>
  <c r="AG130" i="21"/>
  <c r="AG129" i="21"/>
  <c r="AG128" i="21"/>
  <c r="AG127" i="21"/>
  <c r="AG126" i="21"/>
  <c r="AG125" i="21"/>
  <c r="AG124" i="21"/>
  <c r="AG123" i="21"/>
  <c r="AG122" i="21"/>
  <c r="AJ121" i="21"/>
  <c r="AI121" i="21"/>
  <c r="AH121" i="21"/>
  <c r="AG116" i="21"/>
  <c r="AG115" i="21"/>
  <c r="AG114" i="21"/>
  <c r="AG113" i="21"/>
  <c r="AG112" i="21"/>
  <c r="AG111" i="21"/>
  <c r="AG110" i="21"/>
  <c r="AG109" i="21"/>
  <c r="AJ108" i="21"/>
  <c r="AI108" i="21"/>
  <c r="AG107" i="21"/>
  <c r="AG105" i="21"/>
  <c r="AG104" i="21"/>
  <c r="AG103" i="21"/>
  <c r="AG102" i="21"/>
  <c r="AG101" i="21"/>
  <c r="AG100" i="21"/>
  <c r="AG99" i="21"/>
  <c r="AG98" i="21"/>
  <c r="AG97" i="21"/>
  <c r="AG96" i="21"/>
  <c r="AG95" i="21"/>
  <c r="AJ94" i="21"/>
  <c r="AI94" i="21"/>
  <c r="AH94" i="21"/>
  <c r="AG93" i="21"/>
  <c r="AG92" i="21"/>
  <c r="AG91" i="21"/>
  <c r="AG90" i="21"/>
  <c r="AG89" i="21"/>
  <c r="AG88" i="21"/>
  <c r="AG87" i="21"/>
  <c r="AG86" i="21"/>
  <c r="AG85" i="21"/>
  <c r="AG84" i="21"/>
  <c r="AJ83" i="21"/>
  <c r="AI83" i="21"/>
  <c r="AH83" i="21"/>
  <c r="AG82" i="21"/>
  <c r="AG80" i="21"/>
  <c r="AG79" i="21"/>
  <c r="AG78" i="21"/>
  <c r="AG77" i="21"/>
  <c r="AG76" i="21"/>
  <c r="AG75" i="21"/>
  <c r="AG74" i="21"/>
  <c r="AG73" i="21"/>
  <c r="AG72" i="21"/>
  <c r="AG71" i="21"/>
  <c r="AJ70" i="21"/>
  <c r="AI70" i="21"/>
  <c r="AH70" i="21"/>
  <c r="AG69" i="21"/>
  <c r="AG68" i="21"/>
  <c r="AG67" i="21"/>
  <c r="AG66" i="21"/>
  <c r="AG65" i="21"/>
  <c r="AG64" i="21"/>
  <c r="AG63" i="21"/>
  <c r="AG62" i="21"/>
  <c r="AG61" i="21"/>
  <c r="AG60" i="21"/>
  <c r="AG59" i="21"/>
  <c r="AJ58" i="21"/>
  <c r="AI58" i="21"/>
  <c r="AH58" i="21"/>
  <c r="AG57" i="21"/>
  <c r="AJ333" i="21"/>
  <c r="AG333" i="21" s="1"/>
  <c r="AG56" i="21"/>
  <c r="AG55" i="21"/>
  <c r="AG54" i="21"/>
  <c r="AG53" i="21"/>
  <c r="AJ332" i="21"/>
  <c r="AG332" i="21" s="1"/>
  <c r="AG52" i="21"/>
  <c r="AG51" i="21"/>
  <c r="AG50" i="21"/>
  <c r="AG49" i="21"/>
  <c r="AG48" i="21"/>
  <c r="AG47" i="21"/>
  <c r="AG46" i="21"/>
  <c r="AG45" i="21"/>
  <c r="AG44" i="21"/>
  <c r="AG43" i="21"/>
  <c r="AG42" i="21"/>
  <c r="AG41" i="21"/>
  <c r="AG40" i="21"/>
  <c r="AG39" i="21"/>
  <c r="AG38" i="21"/>
  <c r="AG37" i="21"/>
  <c r="AG35" i="21"/>
  <c r="AG33" i="21"/>
  <c r="AG32" i="21"/>
  <c r="AG31" i="21"/>
  <c r="AG30" i="21"/>
  <c r="AG29" i="21"/>
  <c r="AG28" i="21"/>
  <c r="AG27" i="21"/>
  <c r="AH19" i="21"/>
  <c r="AG26" i="21"/>
  <c r="AG25" i="21"/>
  <c r="AG24" i="21"/>
  <c r="AG23" i="21"/>
  <c r="AI318" i="21"/>
  <c r="AG22" i="21"/>
  <c r="AI19" i="21"/>
  <c r="AG21" i="21"/>
  <c r="AG20" i="21"/>
  <c r="AJ19" i="21"/>
  <c r="AG18" i="21"/>
  <c r="AG17" i="21"/>
  <c r="AJ16" i="21"/>
  <c r="AI16" i="21"/>
  <c r="AH16" i="21"/>
  <c r="Z181" i="21"/>
  <c r="Z56" i="21"/>
  <c r="F29" i="21"/>
  <c r="F25" i="21"/>
  <c r="H29" i="21"/>
  <c r="AA21" i="21"/>
  <c r="Z212" i="21"/>
  <c r="Z26" i="21"/>
  <c r="AA26" i="21"/>
  <c r="Z113" i="21"/>
  <c r="Z317" i="21"/>
  <c r="Z335" i="21"/>
  <c r="AB335" i="21"/>
  <c r="Z320" i="21" l="1"/>
  <c r="BA120" i="21"/>
  <c r="AG241" i="21"/>
  <c r="AG328" i="21"/>
  <c r="AG121" i="21"/>
  <c r="AG181" i="21"/>
  <c r="AJ320" i="21"/>
  <c r="AG320" i="21" s="1"/>
  <c r="AG254" i="21"/>
  <c r="AG206" i="21"/>
  <c r="Z325" i="21"/>
  <c r="AG83" i="21"/>
  <c r="AG190" i="21"/>
  <c r="AG327" i="21"/>
  <c r="AG108" i="21"/>
  <c r="AG16" i="21"/>
  <c r="AG158" i="21"/>
  <c r="AG227" i="21"/>
  <c r="AG295" i="21"/>
  <c r="AJ313" i="21"/>
  <c r="AJ315" i="21" s="1"/>
  <c r="AG324" i="21"/>
  <c r="AG279" i="21"/>
  <c r="AG265" i="21"/>
  <c r="AG321" i="21"/>
  <c r="AG217" i="21"/>
  <c r="AG331" i="21"/>
  <c r="AG146" i="21"/>
  <c r="AG135" i="21"/>
  <c r="AG329" i="21"/>
  <c r="AG94" i="21"/>
  <c r="AG70" i="21"/>
  <c r="AG58" i="21"/>
  <c r="AG319" i="21"/>
  <c r="AG325" i="21"/>
  <c r="AG330" i="21"/>
  <c r="AG317" i="21"/>
  <c r="AG326" i="21"/>
  <c r="AG318" i="21"/>
  <c r="AG170" i="21"/>
  <c r="AG19" i="21"/>
  <c r="AH313" i="21"/>
  <c r="AI317" i="21"/>
  <c r="AI319" i="21"/>
  <c r="AI324" i="21"/>
  <c r="AI325" i="21"/>
  <c r="AI333" i="21"/>
  <c r="AJ322" i="21"/>
  <c r="AG322" i="21" s="1"/>
  <c r="AI135" i="21"/>
  <c r="AI170" i="21"/>
  <c r="AG309" i="21"/>
  <c r="AI313" i="21" l="1"/>
  <c r="AI315" i="21" s="1"/>
  <c r="AH315" i="21"/>
  <c r="AG313" i="21"/>
  <c r="AG315" i="21" s="1"/>
  <c r="AA317" i="21"/>
  <c r="Z333" i="21"/>
  <c r="Z324" i="21"/>
  <c r="AB325" i="21"/>
  <c r="Z279" i="21"/>
  <c r="Z265" i="21"/>
  <c r="Z217" i="21"/>
  <c r="Z206" i="21"/>
  <c r="Z170" i="21"/>
  <c r="Z158" i="21"/>
  <c r="Z146" i="21"/>
  <c r="Z135" i="21"/>
  <c r="Z121" i="21"/>
  <c r="Z108" i="21"/>
  <c r="Z94" i="21"/>
  <c r="Z83" i="21"/>
  <c r="Z70" i="21"/>
  <c r="Z58" i="21"/>
  <c r="AB317" i="21"/>
  <c r="AA146" i="21"/>
  <c r="AD127" i="21"/>
  <c r="AE127" i="21"/>
  <c r="AM127" i="21" s="1"/>
  <c r="AU127" i="21" s="1"/>
  <c r="BC127" i="21" s="1"/>
  <c r="BK127" i="21" s="1"/>
  <c r="Y127" i="21"/>
  <c r="AB56" i="21"/>
  <c r="Y56" i="21" s="1"/>
  <c r="AA139" i="21"/>
  <c r="AA174" i="21"/>
  <c r="AA170" i="21" s="1"/>
  <c r="AA22" i="21"/>
  <c r="AA324" i="21" s="1"/>
  <c r="Z52" i="21"/>
  <c r="AB52" i="21"/>
  <c r="AB322" i="21" s="1"/>
  <c r="Y337" i="21"/>
  <c r="Y336" i="21"/>
  <c r="AA332" i="21"/>
  <c r="AB331" i="21"/>
  <c r="AA331" i="21"/>
  <c r="Z331" i="21"/>
  <c r="AB330" i="21"/>
  <c r="AA330" i="21"/>
  <c r="AB329" i="21"/>
  <c r="AA329" i="21"/>
  <c r="Z329" i="21"/>
  <c r="AB328" i="21"/>
  <c r="AA328" i="21"/>
  <c r="Z328" i="21"/>
  <c r="AB327" i="21"/>
  <c r="AA327" i="21"/>
  <c r="Z327" i="21"/>
  <c r="AB326" i="21"/>
  <c r="AA326" i="21"/>
  <c r="Z326" i="21"/>
  <c r="AB324" i="21"/>
  <c r="AA322" i="21"/>
  <c r="AB321" i="21"/>
  <c r="AA321" i="21"/>
  <c r="Z321" i="21"/>
  <c r="AB319" i="21"/>
  <c r="Z319" i="21"/>
  <c r="AB318" i="21"/>
  <c r="Z318" i="21"/>
  <c r="Y314" i="21"/>
  <c r="Y312" i="21"/>
  <c r="Y311" i="21"/>
  <c r="Y310" i="21"/>
  <c r="AB309" i="21"/>
  <c r="AA309" i="21"/>
  <c r="Z309" i="21"/>
  <c r="Y308" i="21"/>
  <c r="Y307" i="21"/>
  <c r="Y306" i="21"/>
  <c r="Y305" i="21"/>
  <c r="Y304" i="21"/>
  <c r="Y303" i="21"/>
  <c r="Y302" i="21"/>
  <c r="Y301" i="21"/>
  <c r="Y300" i="21"/>
  <c r="Y299" i="21"/>
  <c r="Y298" i="21"/>
  <c r="Y297" i="21"/>
  <c r="Y296" i="21"/>
  <c r="AB295" i="21"/>
  <c r="AA295" i="21"/>
  <c r="Z295" i="21"/>
  <c r="Y294" i="21"/>
  <c r="Y293" i="21"/>
  <c r="Y292" i="21"/>
  <c r="Y291" i="21"/>
  <c r="Y290" i="21"/>
  <c r="Y289" i="21"/>
  <c r="Y288" i="21"/>
  <c r="Y287" i="21"/>
  <c r="Y286" i="21"/>
  <c r="Y285" i="21"/>
  <c r="Y284" i="21"/>
  <c r="Y283" i="21"/>
  <c r="Y282" i="21"/>
  <c r="Y281" i="21"/>
  <c r="Y280" i="21"/>
  <c r="AB279" i="21"/>
  <c r="AA279" i="21"/>
  <c r="Y278" i="21"/>
  <c r="Y277" i="21"/>
  <c r="Y276" i="21"/>
  <c r="Y275" i="21"/>
  <c r="Y274" i="21"/>
  <c r="Y273" i="21"/>
  <c r="Y271" i="21"/>
  <c r="Y270" i="21"/>
  <c r="Y269" i="21"/>
  <c r="Y268" i="21"/>
  <c r="Y267" i="21"/>
  <c r="Y266" i="21"/>
  <c r="AB265" i="21"/>
  <c r="AA265" i="21"/>
  <c r="Y264" i="21"/>
  <c r="Y263" i="21"/>
  <c r="Y261" i="21"/>
  <c r="Y260" i="21"/>
  <c r="Y259" i="21"/>
  <c r="Y258" i="21"/>
  <c r="Y257" i="21"/>
  <c r="Y256" i="21"/>
  <c r="Y255" i="21"/>
  <c r="AB254" i="21"/>
  <c r="AA254" i="21"/>
  <c r="Z254" i="21"/>
  <c r="Y253" i="21"/>
  <c r="Y252" i="21"/>
  <c r="Y251" i="21"/>
  <c r="Y250" i="21"/>
  <c r="Y249" i="21"/>
  <c r="Y248" i="21"/>
  <c r="Y247" i="21"/>
  <c r="Y246" i="21"/>
  <c r="Y245" i="21"/>
  <c r="Y244" i="21"/>
  <c r="Y243" i="21"/>
  <c r="Y242" i="21"/>
  <c r="AB241" i="21"/>
  <c r="AA241" i="21"/>
  <c r="Z241" i="21"/>
  <c r="Y240" i="21"/>
  <c r="Y239" i="21"/>
  <c r="Y238" i="21"/>
  <c r="Y237" i="21"/>
  <c r="Y236" i="21"/>
  <c r="Y235" i="21"/>
  <c r="Y234" i="21"/>
  <c r="Y233" i="21"/>
  <c r="Y232" i="21"/>
  <c r="Y231" i="21"/>
  <c r="Y230" i="21"/>
  <c r="Y229" i="21"/>
  <c r="Y228" i="21"/>
  <c r="AB227" i="21"/>
  <c r="AA227" i="21"/>
  <c r="Z227" i="21"/>
  <c r="Y226" i="21"/>
  <c r="Y225" i="21"/>
  <c r="Y223" i="21"/>
  <c r="Y222" i="21"/>
  <c r="Y221" i="21"/>
  <c r="Y220" i="21"/>
  <c r="Y219" i="21"/>
  <c r="Y218" i="21"/>
  <c r="AB217" i="21"/>
  <c r="AA217" i="21"/>
  <c r="Y216" i="21"/>
  <c r="Y215" i="21"/>
  <c r="Y214" i="21"/>
  <c r="Y213" i="21"/>
  <c r="Y212" i="21"/>
  <c r="Y211" i="21"/>
  <c r="Y210" i="21"/>
  <c r="Y209" i="21"/>
  <c r="Y208" i="21"/>
  <c r="Y207" i="21"/>
  <c r="AB206" i="21"/>
  <c r="Y205" i="21"/>
  <c r="Y204" i="21"/>
  <c r="Y203" i="21"/>
  <c r="Y202" i="21"/>
  <c r="Y201" i="21"/>
  <c r="Y200" i="21"/>
  <c r="Y199" i="21"/>
  <c r="Y198" i="21"/>
  <c r="Y197" i="21"/>
  <c r="Y196" i="21"/>
  <c r="Y195" i="21"/>
  <c r="Y194" i="21"/>
  <c r="Y193" i="21"/>
  <c r="Y192" i="21"/>
  <c r="Y191" i="21"/>
  <c r="AB190" i="21"/>
  <c r="AA190" i="21"/>
  <c r="Z190" i="21"/>
  <c r="Y189" i="21"/>
  <c r="Y188" i="21"/>
  <c r="Y187" i="21"/>
  <c r="Y186" i="21"/>
  <c r="Y185" i="21"/>
  <c r="Y184" i="21"/>
  <c r="Y183" i="21"/>
  <c r="Y182" i="21"/>
  <c r="AB181" i="21"/>
  <c r="Y181" i="21" s="1"/>
  <c r="AA181" i="21"/>
  <c r="AA320" i="21" s="1"/>
  <c r="Y180" i="21"/>
  <c r="Y179" i="21"/>
  <c r="Y178" i="21"/>
  <c r="Y177" i="21"/>
  <c r="Y176" i="21"/>
  <c r="Y175" i="21"/>
  <c r="Y174" i="21"/>
  <c r="Y173" i="21"/>
  <c r="Y172" i="21"/>
  <c r="Y171" i="21"/>
  <c r="AB170" i="21"/>
  <c r="Y169" i="21"/>
  <c r="Y168" i="21"/>
  <c r="Y167" i="21"/>
  <c r="Y166" i="21"/>
  <c r="Y165" i="21"/>
  <c r="Y164" i="21"/>
  <c r="Y163" i="21"/>
  <c r="Y162" i="21"/>
  <c r="Y161" i="21"/>
  <c r="Y160" i="21"/>
  <c r="Y159" i="21"/>
  <c r="AB158" i="21"/>
  <c r="AA158" i="21"/>
  <c r="Y157" i="21"/>
  <c r="Y156" i="21"/>
  <c r="Y155" i="21"/>
  <c r="Y154" i="21"/>
  <c r="Y153" i="21"/>
  <c r="Y152" i="21"/>
  <c r="Y151" i="21"/>
  <c r="Y150" i="21"/>
  <c r="Y149" i="21"/>
  <c r="Y148" i="21"/>
  <c r="Y147" i="21"/>
  <c r="AB146" i="21"/>
  <c r="Y145" i="21"/>
  <c r="Y144" i="21"/>
  <c r="Y143" i="21"/>
  <c r="Y142" i="21"/>
  <c r="Y141" i="21"/>
  <c r="Y140" i="21"/>
  <c r="Y139" i="21"/>
  <c r="Y138" i="21"/>
  <c r="Y137" i="21"/>
  <c r="Y136" i="21"/>
  <c r="AB135" i="21"/>
  <c r="Y135" i="21" s="1"/>
  <c r="AA135" i="21"/>
  <c r="Y134" i="21"/>
  <c r="Y133" i="21"/>
  <c r="Y132" i="21"/>
  <c r="Y131" i="21"/>
  <c r="Y130" i="21"/>
  <c r="Y129" i="21"/>
  <c r="Y128" i="21"/>
  <c r="Y126" i="21"/>
  <c r="Y125" i="21"/>
  <c r="Y124" i="21"/>
  <c r="Y123" i="21"/>
  <c r="Y122" i="21"/>
  <c r="AB121" i="21"/>
  <c r="AA121" i="21"/>
  <c r="Y119" i="21"/>
  <c r="Y118" i="21"/>
  <c r="Y117" i="21"/>
  <c r="Y116" i="21"/>
  <c r="Y115" i="21"/>
  <c r="Y114" i="21"/>
  <c r="Y113" i="21"/>
  <c r="Y112" i="21"/>
  <c r="Y111" i="21"/>
  <c r="Y110" i="21"/>
  <c r="Y109" i="21"/>
  <c r="AB108" i="21"/>
  <c r="AA108" i="21"/>
  <c r="Y107" i="21"/>
  <c r="Y105" i="21"/>
  <c r="Y104" i="21"/>
  <c r="Y103" i="21"/>
  <c r="Y102" i="21"/>
  <c r="Y101" i="21"/>
  <c r="Y100" i="21"/>
  <c r="Y99" i="21"/>
  <c r="Y98" i="21"/>
  <c r="Y97" i="21"/>
  <c r="Y96" i="21"/>
  <c r="Y95" i="21"/>
  <c r="AB94" i="21"/>
  <c r="AA94" i="21"/>
  <c r="Y93" i="21"/>
  <c r="Y92" i="21"/>
  <c r="Y91" i="21"/>
  <c r="Y90" i="21"/>
  <c r="Y89" i="21"/>
  <c r="Y88" i="21"/>
  <c r="Y87" i="21"/>
  <c r="Y86" i="21"/>
  <c r="Y85" i="21"/>
  <c r="Y84" i="21"/>
  <c r="AB83" i="21"/>
  <c r="AA83" i="21"/>
  <c r="Y82" i="21"/>
  <c r="Y80" i="21"/>
  <c r="Y79" i="21"/>
  <c r="Y78" i="21"/>
  <c r="Y77" i="21"/>
  <c r="Y76" i="21"/>
  <c r="Y75" i="21"/>
  <c r="Y74" i="21"/>
  <c r="Y73" i="21"/>
  <c r="Y72" i="21"/>
  <c r="Y71" i="21"/>
  <c r="AB70" i="21"/>
  <c r="AA70" i="21"/>
  <c r="Y69" i="21"/>
  <c r="Y68" i="21"/>
  <c r="Y67" i="21"/>
  <c r="Y66" i="21"/>
  <c r="Y65" i="21"/>
  <c r="Y64" i="21"/>
  <c r="Y63" i="21"/>
  <c r="Y62" i="21"/>
  <c r="Y61" i="21"/>
  <c r="Y60" i="21"/>
  <c r="Y59" i="21"/>
  <c r="AB58" i="21"/>
  <c r="AA58" i="21"/>
  <c r="Y57" i="21"/>
  <c r="Y55" i="21"/>
  <c r="Y54" i="21"/>
  <c r="AB332" i="21"/>
  <c r="Y53" i="21"/>
  <c r="Y51" i="21"/>
  <c r="Y50" i="21"/>
  <c r="Y49" i="21"/>
  <c r="Y48" i="21"/>
  <c r="Y47" i="21"/>
  <c r="Y46" i="21"/>
  <c r="Y45" i="21"/>
  <c r="Z330" i="21"/>
  <c r="Y44" i="21"/>
  <c r="Y43" i="21"/>
  <c r="Y42" i="21"/>
  <c r="Y41" i="21"/>
  <c r="Y40" i="21"/>
  <c r="Y39" i="21"/>
  <c r="Y38" i="21"/>
  <c r="Y37" i="21"/>
  <c r="Y35" i="21"/>
  <c r="Y33" i="21"/>
  <c r="Y32" i="21"/>
  <c r="Y31" i="21"/>
  <c r="Y30" i="21"/>
  <c r="Y29" i="21"/>
  <c r="Y28" i="21"/>
  <c r="Y27" i="21"/>
  <c r="Y26" i="21"/>
  <c r="Y25" i="21"/>
  <c r="Y24" i="21"/>
  <c r="Y23" i="21"/>
  <c r="Y22" i="21"/>
  <c r="Y21" i="21"/>
  <c r="Y20" i="21"/>
  <c r="Y18" i="21"/>
  <c r="Y17" i="21"/>
  <c r="AB16" i="21"/>
  <c r="AA16" i="21"/>
  <c r="Z16" i="21"/>
  <c r="S212" i="21"/>
  <c r="Y16" i="21" l="1"/>
  <c r="AA319" i="21"/>
  <c r="AA19" i="21"/>
  <c r="AA325" i="21"/>
  <c r="AB333" i="21"/>
  <c r="Y333" i="21" s="1"/>
  <c r="Y241" i="21"/>
  <c r="AA318" i="21"/>
  <c r="Y52" i="21"/>
  <c r="AC127" i="21"/>
  <c r="AL127" i="21"/>
  <c r="AA333" i="21"/>
  <c r="Z19" i="21"/>
  <c r="Z313" i="21" s="1"/>
  <c r="Y170" i="21"/>
  <c r="Z322" i="21"/>
  <c r="Y322" i="21" s="1"/>
  <c r="Z332" i="21"/>
  <c r="Y332" i="21" s="1"/>
  <c r="Y295" i="21"/>
  <c r="AB320" i="21"/>
  <c r="Y320" i="21" s="1"/>
  <c r="Y318" i="21"/>
  <c r="Y146" i="21"/>
  <c r="Y158" i="21"/>
  <c r="Y254" i="21"/>
  <c r="Y335" i="21"/>
  <c r="Y328" i="21"/>
  <c r="Y108" i="21"/>
  <c r="Y227" i="21"/>
  <c r="Y279" i="21"/>
  <c r="Y121" i="21"/>
  <c r="Y190" i="21"/>
  <c r="Y265" i="21"/>
  <c r="Y70" i="21"/>
  <c r="Y326" i="21"/>
  <c r="Y217" i="21"/>
  <c r="Y94" i="21"/>
  <c r="Y317" i="21"/>
  <c r="Y329" i="21"/>
  <c r="Y319" i="21"/>
  <c r="Y327" i="21"/>
  <c r="Y324" i="21"/>
  <c r="Y321" i="21"/>
  <c r="Y331" i="21"/>
  <c r="Y206" i="21"/>
  <c r="Y330" i="21"/>
  <c r="Y58" i="21"/>
  <c r="Y309" i="21"/>
  <c r="AB19" i="21"/>
  <c r="AA206" i="21"/>
  <c r="Y325" i="21"/>
  <c r="R56" i="21"/>
  <c r="AK127" i="21" l="1"/>
  <c r="AT127" i="21"/>
  <c r="Z315" i="21"/>
  <c r="Y19" i="21"/>
  <c r="AB313" i="21"/>
  <c r="Y83" i="21"/>
  <c r="AA313" i="21"/>
  <c r="AA315" i="21" s="1"/>
  <c r="R322" i="21"/>
  <c r="BB127" i="21" l="1"/>
  <c r="BJ127" i="21" s="1"/>
  <c r="BI127" i="21" s="1"/>
  <c r="AS127" i="21"/>
  <c r="AB315" i="21"/>
  <c r="Y313" i="21"/>
  <c r="Y315" i="21" s="1"/>
  <c r="R324" i="21"/>
  <c r="V312" i="21"/>
  <c r="AD312" i="21" s="1"/>
  <c r="R309" i="21"/>
  <c r="Q312" i="21"/>
  <c r="R26" i="21"/>
  <c r="R212" i="21"/>
  <c r="R44" i="21"/>
  <c r="BA127" i="21" l="1"/>
  <c r="AC312" i="21"/>
  <c r="AL312" i="21"/>
  <c r="U312" i="21"/>
  <c r="R317" i="21"/>
  <c r="S209" i="21"/>
  <c r="R88" i="21"/>
  <c r="R63" i="21"/>
  <c r="AK312" i="21" l="1"/>
  <c r="AT312" i="21"/>
  <c r="R279" i="21"/>
  <c r="S326" i="21"/>
  <c r="T326" i="21"/>
  <c r="R326" i="21"/>
  <c r="S333" i="21"/>
  <c r="T333" i="21"/>
  <c r="R333" i="21"/>
  <c r="S317" i="21"/>
  <c r="T317" i="21"/>
  <c r="Q317" i="21" s="1"/>
  <c r="BB312" i="21" l="1"/>
  <c r="AS312" i="21"/>
  <c r="R254" i="21"/>
  <c r="S254" i="21"/>
  <c r="T254" i="21"/>
  <c r="V264" i="21"/>
  <c r="AD264" i="21" s="1"/>
  <c r="AL264" i="21" s="1"/>
  <c r="AT264" i="21" s="1"/>
  <c r="W264" i="21"/>
  <c r="AE264" i="21" s="1"/>
  <c r="AM264" i="21" s="1"/>
  <c r="AU264" i="21" s="1"/>
  <c r="BC264" i="21" s="1"/>
  <c r="BK264" i="21" s="1"/>
  <c r="X264" i="21"/>
  <c r="Q264" i="21"/>
  <c r="R217" i="21"/>
  <c r="V216" i="21"/>
  <c r="Q216" i="21"/>
  <c r="R206" i="21"/>
  <c r="S99" i="21"/>
  <c r="R99" i="21"/>
  <c r="R320" i="21" s="1"/>
  <c r="T53" i="21"/>
  <c r="T320" i="21" s="1"/>
  <c r="S26" i="21"/>
  <c r="V31" i="21"/>
  <c r="AD31" i="21" s="1"/>
  <c r="AL31" i="21" s="1"/>
  <c r="AT31" i="21" s="1"/>
  <c r="BB31" i="21" s="1"/>
  <c r="BJ31" i="21" s="1"/>
  <c r="W31" i="21"/>
  <c r="AE31" i="21" s="1"/>
  <c r="AM31" i="21" s="1"/>
  <c r="AU31" i="21" s="1"/>
  <c r="BC31" i="21" s="1"/>
  <c r="BK31" i="21" s="1"/>
  <c r="X31" i="21"/>
  <c r="Q31" i="21"/>
  <c r="BA312" i="21" l="1"/>
  <c r="BJ312" i="21"/>
  <c r="BI312" i="21" s="1"/>
  <c r="BB264" i="21"/>
  <c r="BJ264" i="21" s="1"/>
  <c r="Q320" i="21"/>
  <c r="U264" i="21"/>
  <c r="AF264" i="21"/>
  <c r="S320" i="21"/>
  <c r="U31" i="21"/>
  <c r="AF31" i="21"/>
  <c r="U216" i="21"/>
  <c r="AD216" i="21"/>
  <c r="R325" i="21"/>
  <c r="Q337" i="21"/>
  <c r="Q336" i="21"/>
  <c r="Q335" i="21"/>
  <c r="T332" i="21"/>
  <c r="S332" i="21"/>
  <c r="R332" i="21"/>
  <c r="T331" i="21"/>
  <c r="S331" i="21"/>
  <c r="R331" i="21"/>
  <c r="T330" i="21"/>
  <c r="S330" i="21"/>
  <c r="R330" i="21"/>
  <c r="T329" i="21"/>
  <c r="S329" i="21"/>
  <c r="R329" i="21"/>
  <c r="T328" i="21"/>
  <c r="S328" i="21"/>
  <c r="R328" i="21"/>
  <c r="T327" i="21"/>
  <c r="S327" i="21"/>
  <c r="R327" i="21"/>
  <c r="Q326" i="21"/>
  <c r="T325" i="21"/>
  <c r="S325" i="21"/>
  <c r="T324" i="21"/>
  <c r="Q324" i="21" s="1"/>
  <c r="S324" i="21"/>
  <c r="T321" i="21"/>
  <c r="S321" i="21"/>
  <c r="R321" i="21"/>
  <c r="T319" i="21"/>
  <c r="S319" i="21"/>
  <c r="R319" i="21"/>
  <c r="T318" i="21"/>
  <c r="S318" i="21"/>
  <c r="R318" i="21"/>
  <c r="Q314" i="21"/>
  <c r="Q311" i="21"/>
  <c r="Q310" i="21"/>
  <c r="T309" i="21"/>
  <c r="S309" i="21"/>
  <c r="Q308" i="21"/>
  <c r="Q307" i="21"/>
  <c r="Q306" i="21"/>
  <c r="Q305" i="21"/>
  <c r="Q304" i="21"/>
  <c r="Q303" i="21"/>
  <c r="Q302" i="21"/>
  <c r="Q301" i="21"/>
  <c r="Q300" i="21"/>
  <c r="Q299" i="21"/>
  <c r="Q298" i="21"/>
  <c r="Q297" i="21"/>
  <c r="Q296" i="21"/>
  <c r="T295" i="21"/>
  <c r="S295" i="21"/>
  <c r="R295" i="21"/>
  <c r="Q294" i="21"/>
  <c r="Q293" i="21"/>
  <c r="Q292" i="21"/>
  <c r="Q291" i="21"/>
  <c r="Q290" i="21"/>
  <c r="Q289" i="21"/>
  <c r="Q288" i="21"/>
  <c r="Q287" i="21"/>
  <c r="Q286" i="21"/>
  <c r="Q285" i="21"/>
  <c r="Q284" i="21"/>
  <c r="Q283" i="21"/>
  <c r="Q282" i="21"/>
  <c r="Q281" i="21"/>
  <c r="Q280" i="21"/>
  <c r="T279" i="21"/>
  <c r="S279" i="21"/>
  <c r="Q278" i="21"/>
  <c r="Q277" i="21"/>
  <c r="Q276" i="21"/>
  <c r="Q275" i="21"/>
  <c r="Q274" i="21"/>
  <c r="Q273" i="21"/>
  <c r="Q271" i="21"/>
  <c r="Q270" i="21"/>
  <c r="Q269" i="21"/>
  <c r="Q268" i="21"/>
  <c r="Q267" i="21"/>
  <c r="Q266" i="21"/>
  <c r="T265" i="21"/>
  <c r="S265" i="21"/>
  <c r="R265" i="21"/>
  <c r="Q263" i="21"/>
  <c r="Q261" i="21"/>
  <c r="Q260" i="21"/>
  <c r="Q259" i="21"/>
  <c r="Q258" i="21"/>
  <c r="Q257" i="21"/>
  <c r="Q256" i="21"/>
  <c r="Q255" i="21"/>
  <c r="Q253" i="21"/>
  <c r="Q252" i="21"/>
  <c r="Q251" i="21"/>
  <c r="Q250" i="21"/>
  <c r="Q249" i="21"/>
  <c r="Q248" i="21"/>
  <c r="Q247" i="21"/>
  <c r="Q246" i="21"/>
  <c r="Q245" i="21"/>
  <c r="Q244" i="21"/>
  <c r="Q243" i="21"/>
  <c r="Q242" i="21"/>
  <c r="T241" i="21"/>
  <c r="S241" i="21"/>
  <c r="R241" i="21"/>
  <c r="Q240" i="21"/>
  <c r="Q239" i="21"/>
  <c r="Q238" i="21"/>
  <c r="Q237" i="21"/>
  <c r="Q236" i="21"/>
  <c r="Q235" i="21"/>
  <c r="Q234" i="21"/>
  <c r="Q233" i="21"/>
  <c r="Q232" i="21"/>
  <c r="Q231" i="21"/>
  <c r="Q230" i="21"/>
  <c r="Q229" i="21"/>
  <c r="Q228" i="21"/>
  <c r="T227" i="21"/>
  <c r="S227" i="21"/>
  <c r="R227" i="21"/>
  <c r="Q226" i="21"/>
  <c r="Q225" i="21"/>
  <c r="Q223" i="21"/>
  <c r="Q222" i="21"/>
  <c r="Q221" i="21"/>
  <c r="Q220" i="21"/>
  <c r="Q219" i="21"/>
  <c r="Q218" i="21"/>
  <c r="T217" i="21"/>
  <c r="S217" i="21"/>
  <c r="Q215" i="21"/>
  <c r="Q214" i="21"/>
  <c r="Q213" i="21"/>
  <c r="Q212" i="21"/>
  <c r="Q211" i="21"/>
  <c r="Q210" i="21"/>
  <c r="Q209" i="21"/>
  <c r="Q208" i="21"/>
  <c r="Q207" i="21"/>
  <c r="T206" i="21"/>
  <c r="S206" i="21"/>
  <c r="Q205" i="21"/>
  <c r="Q204" i="21"/>
  <c r="Q203" i="21"/>
  <c r="Q202" i="21"/>
  <c r="Q201" i="21"/>
  <c r="Q200" i="21"/>
  <c r="Q199" i="21"/>
  <c r="Q198" i="21"/>
  <c r="Q197" i="21"/>
  <c r="Q196" i="21"/>
  <c r="Q195" i="21"/>
  <c r="Q194" i="21"/>
  <c r="Q193" i="21"/>
  <c r="Q192" i="21"/>
  <c r="Q191" i="21"/>
  <c r="T190" i="21"/>
  <c r="S190" i="21"/>
  <c r="R190" i="21"/>
  <c r="Q189" i="21"/>
  <c r="Q188" i="21"/>
  <c r="Q187" i="21"/>
  <c r="Q186" i="21"/>
  <c r="Q185" i="21"/>
  <c r="Q184" i="21"/>
  <c r="Q183" i="21"/>
  <c r="Q182" i="21"/>
  <c r="T181" i="21"/>
  <c r="S181" i="21"/>
  <c r="R181" i="21"/>
  <c r="Q180" i="21"/>
  <c r="Q179" i="21"/>
  <c r="Q178" i="21"/>
  <c r="Q177" i="21"/>
  <c r="Q176" i="21"/>
  <c r="Q175" i="21"/>
  <c r="Q174" i="21"/>
  <c r="Q173" i="21"/>
  <c r="Q172" i="21"/>
  <c r="Q171" i="21"/>
  <c r="T170" i="21"/>
  <c r="S170" i="21"/>
  <c r="R170" i="21"/>
  <c r="Q169" i="21"/>
  <c r="Q168" i="21"/>
  <c r="Q167" i="21"/>
  <c r="Q166" i="21"/>
  <c r="Q165" i="21"/>
  <c r="Q164" i="21"/>
  <c r="Q163" i="21"/>
  <c r="Q162" i="21"/>
  <c r="Q161" i="21"/>
  <c r="Q160" i="21"/>
  <c r="Q159" i="21"/>
  <c r="T158" i="21"/>
  <c r="S158" i="21"/>
  <c r="R158" i="21"/>
  <c r="Q157" i="21"/>
  <c r="Q156" i="21"/>
  <c r="Q155" i="21"/>
  <c r="Q154" i="21"/>
  <c r="Q153" i="21"/>
  <c r="Q152" i="21"/>
  <c r="Q151" i="21"/>
  <c r="Q150" i="21"/>
  <c r="Q149" i="21"/>
  <c r="Q148" i="21"/>
  <c r="Q147" i="21"/>
  <c r="T146" i="21"/>
  <c r="S146" i="21"/>
  <c r="R146" i="21"/>
  <c r="Q145" i="21"/>
  <c r="Q144" i="21"/>
  <c r="Q143" i="21"/>
  <c r="Q142" i="21"/>
  <c r="Q141" i="21"/>
  <c r="Q140" i="21"/>
  <c r="Q139" i="21"/>
  <c r="Q138" i="21"/>
  <c r="Q137" i="21"/>
  <c r="Q136" i="21"/>
  <c r="T135" i="21"/>
  <c r="S135" i="21"/>
  <c r="R135" i="21"/>
  <c r="Q134" i="21"/>
  <c r="Q133" i="21"/>
  <c r="Q132" i="21"/>
  <c r="Q131" i="21"/>
  <c r="Q130" i="21"/>
  <c r="Q129" i="21"/>
  <c r="Q128" i="21"/>
  <c r="Q126" i="21"/>
  <c r="Q125" i="21"/>
  <c r="Q124" i="21"/>
  <c r="Q123" i="21"/>
  <c r="Q122" i="21"/>
  <c r="T121" i="21"/>
  <c r="S121" i="21"/>
  <c r="R121" i="21"/>
  <c r="Q119" i="21"/>
  <c r="Q118" i="21"/>
  <c r="Q117" i="21"/>
  <c r="Q116" i="21"/>
  <c r="Q115" i="21"/>
  <c r="Q114" i="21"/>
  <c r="Q113" i="21"/>
  <c r="Q112" i="21"/>
  <c r="Q111" i="21"/>
  <c r="Q110" i="21"/>
  <c r="Q109" i="21"/>
  <c r="T108" i="21"/>
  <c r="S108" i="21"/>
  <c r="R108" i="21"/>
  <c r="Q107" i="21"/>
  <c r="Q105" i="21"/>
  <c r="Q104" i="21"/>
  <c r="Q103" i="21"/>
  <c r="Q102" i="21"/>
  <c r="Q101" i="21"/>
  <c r="Q100" i="21"/>
  <c r="Q99" i="21"/>
  <c r="Q98" i="21"/>
  <c r="Q97" i="21"/>
  <c r="Q96" i="21"/>
  <c r="Q95" i="21"/>
  <c r="T94" i="21"/>
  <c r="S94" i="21"/>
  <c r="R94" i="21"/>
  <c r="Q93" i="21"/>
  <c r="Q92" i="21"/>
  <c r="Q91" i="21"/>
  <c r="Q90" i="21"/>
  <c r="Q89" i="21"/>
  <c r="Q88" i="21"/>
  <c r="Q87" i="21"/>
  <c r="Q86" i="21"/>
  <c r="Q85" i="21"/>
  <c r="Q84" i="21"/>
  <c r="T83" i="21"/>
  <c r="S83" i="21"/>
  <c r="R83" i="21"/>
  <c r="Q82" i="21"/>
  <c r="Q80" i="21"/>
  <c r="Q79" i="21"/>
  <c r="Q78" i="21"/>
  <c r="Q77" i="21"/>
  <c r="Q76" i="21"/>
  <c r="Q75" i="21"/>
  <c r="Q74" i="21"/>
  <c r="Q73" i="21"/>
  <c r="Q72" i="21"/>
  <c r="Q71" i="21"/>
  <c r="T70" i="21"/>
  <c r="S70" i="21"/>
  <c r="R70" i="21"/>
  <c r="Q69" i="21"/>
  <c r="Q68" i="21"/>
  <c r="Q67" i="21"/>
  <c r="Q66" i="21"/>
  <c r="Q65" i="21"/>
  <c r="Q64" i="21"/>
  <c r="Q63" i="21"/>
  <c r="Q62" i="21"/>
  <c r="Q61" i="21"/>
  <c r="Q60" i="21"/>
  <c r="Q59" i="21"/>
  <c r="T58" i="21"/>
  <c r="S58" i="21"/>
  <c r="R58" i="21"/>
  <c r="Q57" i="21"/>
  <c r="R19" i="21"/>
  <c r="Q56" i="21"/>
  <c r="Q55" i="21"/>
  <c r="Q54" i="21"/>
  <c r="Q53" i="21"/>
  <c r="Q52" i="21"/>
  <c r="Q51" i="21"/>
  <c r="Q50" i="21"/>
  <c r="Q49" i="21"/>
  <c r="Q48" i="21"/>
  <c r="Q47" i="21"/>
  <c r="Q46" i="21"/>
  <c r="Q45" i="21"/>
  <c r="Q44" i="21"/>
  <c r="Q43" i="21"/>
  <c r="Q42" i="21"/>
  <c r="Q41" i="21"/>
  <c r="Q40" i="21"/>
  <c r="Q39" i="21"/>
  <c r="Q38" i="21"/>
  <c r="Q37" i="21"/>
  <c r="Q35" i="21"/>
  <c r="Q33" i="21"/>
  <c r="Q32" i="21"/>
  <c r="Q30" i="21"/>
  <c r="Q29" i="21"/>
  <c r="Q28" i="21"/>
  <c r="Q27" i="21"/>
  <c r="Q26" i="21"/>
  <c r="Q25" i="21"/>
  <c r="Q24" i="21"/>
  <c r="Q23" i="21"/>
  <c r="Q22" i="21"/>
  <c r="Q21" i="21"/>
  <c r="Q20" i="21"/>
  <c r="T19" i="21"/>
  <c r="Q18" i="21"/>
  <c r="Q17" i="21"/>
  <c r="T16" i="21"/>
  <c r="S16" i="21"/>
  <c r="R16" i="21"/>
  <c r="P314" i="21"/>
  <c r="X314" i="21" s="1"/>
  <c r="AF314" i="21" s="1"/>
  <c r="AN314" i="21" s="1"/>
  <c r="AV314" i="21" s="1"/>
  <c r="AS314" i="21" l="1"/>
  <c r="BD314" i="21"/>
  <c r="BL314" i="21" s="1"/>
  <c r="AC216" i="21"/>
  <c r="AL216" i="21"/>
  <c r="AK314" i="21"/>
  <c r="AC31" i="21"/>
  <c r="AN31" i="21"/>
  <c r="AC264" i="21"/>
  <c r="AN264" i="21"/>
  <c r="AC314" i="21"/>
  <c r="Q121" i="21"/>
  <c r="Q279" i="21"/>
  <c r="Q265" i="21"/>
  <c r="Q108" i="21"/>
  <c r="Q170" i="21"/>
  <c r="Q190" i="21"/>
  <c r="Q206" i="21"/>
  <c r="Q319" i="21"/>
  <c r="Q94" i="21"/>
  <c r="Q325" i="21"/>
  <c r="Q328" i="21"/>
  <c r="Q309" i="21"/>
  <c r="Q321" i="21"/>
  <c r="U314" i="21"/>
  <c r="Q16" i="21"/>
  <c r="Q318" i="21"/>
  <c r="Q327" i="21"/>
  <c r="Q146" i="21"/>
  <c r="Q181" i="21"/>
  <c r="Q217" i="21"/>
  <c r="Q254" i="21"/>
  <c r="Q227" i="21"/>
  <c r="Q332" i="21"/>
  <c r="Q295" i="21"/>
  <c r="Q329" i="21"/>
  <c r="Q330" i="21"/>
  <c r="Q331" i="21"/>
  <c r="Q158" i="21"/>
  <c r="Q333" i="21"/>
  <c r="Q19" i="21"/>
  <c r="Q58" i="21"/>
  <c r="Q70" i="21"/>
  <c r="Q135" i="21"/>
  <c r="T313" i="21"/>
  <c r="T315" i="21" s="1"/>
  <c r="Q241" i="21"/>
  <c r="Q83" i="21"/>
  <c r="S19" i="21"/>
  <c r="S322" i="21"/>
  <c r="T322" i="21"/>
  <c r="Q322" i="21" s="1"/>
  <c r="R313" i="21"/>
  <c r="J56" i="21"/>
  <c r="BI314" i="21" l="1"/>
  <c r="AK31" i="21"/>
  <c r="AV31" i="21"/>
  <c r="AK216" i="21"/>
  <c r="AT216" i="21"/>
  <c r="AK264" i="21"/>
  <c r="AV264" i="21"/>
  <c r="BA314" i="21"/>
  <c r="S313" i="21"/>
  <c r="S315" i="21" s="1"/>
  <c r="R315" i="21"/>
  <c r="Q313" i="21"/>
  <c r="Q315" i="21" s="1"/>
  <c r="L335" i="21"/>
  <c r="J335" i="21"/>
  <c r="P337" i="21"/>
  <c r="X337" i="21" s="1"/>
  <c r="AF337" i="21" s="1"/>
  <c r="AN337" i="21" s="1"/>
  <c r="P336" i="21"/>
  <c r="X336" i="21" s="1"/>
  <c r="AF336" i="21" s="1"/>
  <c r="AN336" i="21" s="1"/>
  <c r="AV336" i="21" s="1"/>
  <c r="BD336" i="21" s="1"/>
  <c r="BL336" i="21" s="1"/>
  <c r="O337" i="21"/>
  <c r="W337" i="21" s="1"/>
  <c r="AE337" i="21" s="1"/>
  <c r="AM337" i="21" s="1"/>
  <c r="AU337" i="21" s="1"/>
  <c r="BC337" i="21" s="1"/>
  <c r="BK337" i="21" s="1"/>
  <c r="O336" i="21"/>
  <c r="W336" i="21" s="1"/>
  <c r="AE336" i="21" s="1"/>
  <c r="AM336" i="21" s="1"/>
  <c r="AU336" i="21" s="1"/>
  <c r="BC336" i="21" s="1"/>
  <c r="BK336" i="21" s="1"/>
  <c r="N337" i="21"/>
  <c r="V337" i="21" s="1"/>
  <c r="AD337" i="21" s="1"/>
  <c r="AL337" i="21" s="1"/>
  <c r="AT337" i="21" s="1"/>
  <c r="N336" i="21"/>
  <c r="V336" i="21" s="1"/>
  <c r="AD336" i="21" s="1"/>
  <c r="AL336" i="21" s="1"/>
  <c r="AT336" i="21" s="1"/>
  <c r="J83" i="21"/>
  <c r="J55" i="21"/>
  <c r="AK337" i="21" l="1"/>
  <c r="AV337" i="21"/>
  <c r="BD337" i="21" s="1"/>
  <c r="BL337" i="21" s="1"/>
  <c r="BD264" i="21"/>
  <c r="AS264" i="21"/>
  <c r="BB216" i="21"/>
  <c r="AS216" i="21"/>
  <c r="AS336" i="21"/>
  <c r="BB336" i="21"/>
  <c r="BB337" i="21"/>
  <c r="BJ337" i="21" s="1"/>
  <c r="BI337" i="21" s="1"/>
  <c r="AS31" i="21"/>
  <c r="BD31" i="21"/>
  <c r="AK336" i="21"/>
  <c r="AC336" i="21"/>
  <c r="AC337" i="21"/>
  <c r="U337" i="21"/>
  <c r="U336" i="21"/>
  <c r="L57" i="21"/>
  <c r="K57" i="21"/>
  <c r="O57" i="21" s="1"/>
  <c r="W57" i="21" s="1"/>
  <c r="AE57" i="21" s="1"/>
  <c r="AM57" i="21" s="1"/>
  <c r="AU57" i="21" s="1"/>
  <c r="BC57" i="21" s="1"/>
  <c r="BK57" i="21" s="1"/>
  <c r="J57" i="21"/>
  <c r="N57" i="21" s="1"/>
  <c r="V57" i="21" s="1"/>
  <c r="AD57" i="21" s="1"/>
  <c r="AL57" i="21" s="1"/>
  <c r="AT57" i="21" s="1"/>
  <c r="BB57" i="21" s="1"/>
  <c r="BJ57" i="21" s="1"/>
  <c r="N17" i="21"/>
  <c r="V17" i="21" s="1"/>
  <c r="AD17" i="21" s="1"/>
  <c r="AL17" i="21" s="1"/>
  <c r="AT17" i="21" s="1"/>
  <c r="BB17" i="21" s="1"/>
  <c r="BJ17" i="21" s="1"/>
  <c r="O17" i="21"/>
  <c r="W17" i="21" s="1"/>
  <c r="AE17" i="21" s="1"/>
  <c r="AM17" i="21" s="1"/>
  <c r="AU17" i="21" s="1"/>
  <c r="BC17" i="21" s="1"/>
  <c r="BK17" i="21" s="1"/>
  <c r="P17" i="21"/>
  <c r="N18" i="21"/>
  <c r="V18" i="21" s="1"/>
  <c r="AD18" i="21" s="1"/>
  <c r="AL18" i="21" s="1"/>
  <c r="AT18" i="21" s="1"/>
  <c r="BB18" i="21" s="1"/>
  <c r="BJ18" i="21" s="1"/>
  <c r="O18" i="21"/>
  <c r="W18" i="21" s="1"/>
  <c r="AE18" i="21" s="1"/>
  <c r="AM18" i="21" s="1"/>
  <c r="AU18" i="21" s="1"/>
  <c r="BC18" i="21" s="1"/>
  <c r="BK18" i="21" s="1"/>
  <c r="P18" i="21"/>
  <c r="N20" i="21"/>
  <c r="V20" i="21" s="1"/>
  <c r="AD20" i="21" s="1"/>
  <c r="AL20" i="21" s="1"/>
  <c r="AT20" i="21" s="1"/>
  <c r="BB20" i="21" s="1"/>
  <c r="BJ20" i="21" s="1"/>
  <c r="O20" i="21"/>
  <c r="W20" i="21" s="1"/>
  <c r="AE20" i="21" s="1"/>
  <c r="AM20" i="21" s="1"/>
  <c r="AU20" i="21" s="1"/>
  <c r="BC20" i="21" s="1"/>
  <c r="BK20" i="21" s="1"/>
  <c r="P20" i="21"/>
  <c r="O21" i="21"/>
  <c r="W21" i="21" s="1"/>
  <c r="AE21" i="21" s="1"/>
  <c r="AM21" i="21" s="1"/>
  <c r="AU21" i="21" s="1"/>
  <c r="BC21" i="21" s="1"/>
  <c r="BK21" i="21" s="1"/>
  <c r="P21" i="21"/>
  <c r="N22" i="21"/>
  <c r="V22" i="21" s="1"/>
  <c r="AD22" i="21" s="1"/>
  <c r="AL22" i="21" s="1"/>
  <c r="AT22" i="21" s="1"/>
  <c r="BB22" i="21" s="1"/>
  <c r="BJ22" i="21" s="1"/>
  <c r="O22" i="21"/>
  <c r="W22" i="21" s="1"/>
  <c r="AE22" i="21" s="1"/>
  <c r="AM22" i="21" s="1"/>
  <c r="AU22" i="21" s="1"/>
  <c r="BC22" i="21" s="1"/>
  <c r="BK22" i="21" s="1"/>
  <c r="P22" i="21"/>
  <c r="O23" i="21"/>
  <c r="W23" i="21" s="1"/>
  <c r="AE23" i="21" s="1"/>
  <c r="AM23" i="21" s="1"/>
  <c r="AU23" i="21" s="1"/>
  <c r="BC23" i="21" s="1"/>
  <c r="BK23" i="21" s="1"/>
  <c r="P23" i="21"/>
  <c r="N24" i="21"/>
  <c r="V24" i="21" s="1"/>
  <c r="AD24" i="21" s="1"/>
  <c r="AL24" i="21" s="1"/>
  <c r="AT24" i="21" s="1"/>
  <c r="BB24" i="21" s="1"/>
  <c r="BJ24" i="21" s="1"/>
  <c r="O24" i="21"/>
  <c r="W24" i="21" s="1"/>
  <c r="AE24" i="21" s="1"/>
  <c r="AM24" i="21" s="1"/>
  <c r="AU24" i="21" s="1"/>
  <c r="BC24" i="21" s="1"/>
  <c r="BK24" i="21" s="1"/>
  <c r="P24" i="21"/>
  <c r="O25" i="21"/>
  <c r="W25" i="21" s="1"/>
  <c r="AE25" i="21" s="1"/>
  <c r="AM25" i="21" s="1"/>
  <c r="AU25" i="21" s="1"/>
  <c r="BC25" i="21" s="1"/>
  <c r="BK25" i="21" s="1"/>
  <c r="P25" i="21"/>
  <c r="N26" i="21"/>
  <c r="V26" i="21" s="1"/>
  <c r="AD26" i="21" s="1"/>
  <c r="AL26" i="21" s="1"/>
  <c r="AT26" i="21" s="1"/>
  <c r="BB26" i="21" s="1"/>
  <c r="BJ26" i="21" s="1"/>
  <c r="O26" i="21"/>
  <c r="W26" i="21" s="1"/>
  <c r="AE26" i="21" s="1"/>
  <c r="AM26" i="21" s="1"/>
  <c r="AU26" i="21" s="1"/>
  <c r="BC26" i="21" s="1"/>
  <c r="BK26" i="21" s="1"/>
  <c r="P26" i="21"/>
  <c r="N27" i="21"/>
  <c r="V27" i="21" s="1"/>
  <c r="AD27" i="21" s="1"/>
  <c r="AL27" i="21" s="1"/>
  <c r="AT27" i="21" s="1"/>
  <c r="BB27" i="21" s="1"/>
  <c r="BJ27" i="21" s="1"/>
  <c r="O27" i="21"/>
  <c r="W27" i="21" s="1"/>
  <c r="AE27" i="21" s="1"/>
  <c r="AM27" i="21" s="1"/>
  <c r="AU27" i="21" s="1"/>
  <c r="BC27" i="21" s="1"/>
  <c r="BK27" i="21" s="1"/>
  <c r="P27" i="21"/>
  <c r="P28" i="21"/>
  <c r="N29" i="21"/>
  <c r="V29" i="21" s="1"/>
  <c r="AD29" i="21" s="1"/>
  <c r="AL29" i="21" s="1"/>
  <c r="AT29" i="21" s="1"/>
  <c r="O29" i="21"/>
  <c r="W29" i="21" s="1"/>
  <c r="AE29" i="21" s="1"/>
  <c r="AM29" i="21" s="1"/>
  <c r="AU29" i="21" s="1"/>
  <c r="P29" i="21"/>
  <c r="N30" i="21"/>
  <c r="V30" i="21" s="1"/>
  <c r="AD30" i="21" s="1"/>
  <c r="AL30" i="21" s="1"/>
  <c r="AT30" i="21" s="1"/>
  <c r="BB30" i="21" s="1"/>
  <c r="BJ30" i="21" s="1"/>
  <c r="O30" i="21"/>
  <c r="W30" i="21" s="1"/>
  <c r="AE30" i="21" s="1"/>
  <c r="AM30" i="21" s="1"/>
  <c r="AU30" i="21" s="1"/>
  <c r="BC30" i="21" s="1"/>
  <c r="BK30" i="21" s="1"/>
  <c r="P30" i="21"/>
  <c r="P32" i="21"/>
  <c r="O33" i="21"/>
  <c r="W33" i="21" s="1"/>
  <c r="AE33" i="21" s="1"/>
  <c r="AM33" i="21" s="1"/>
  <c r="AU33" i="21" s="1"/>
  <c r="BC33" i="21" s="1"/>
  <c r="BK33" i="21" s="1"/>
  <c r="P33" i="21"/>
  <c r="N35" i="21"/>
  <c r="V35" i="21" s="1"/>
  <c r="AD35" i="21" s="1"/>
  <c r="AL35" i="21" s="1"/>
  <c r="AT35" i="21" s="1"/>
  <c r="O35" i="21"/>
  <c r="W35" i="21" s="1"/>
  <c r="AE35" i="21" s="1"/>
  <c r="AM35" i="21" s="1"/>
  <c r="AU35" i="21" s="1"/>
  <c r="P35" i="21"/>
  <c r="N37" i="21"/>
  <c r="V37" i="21" s="1"/>
  <c r="AD37" i="21" s="1"/>
  <c r="AL37" i="21" s="1"/>
  <c r="AT37" i="21" s="1"/>
  <c r="BB37" i="21" s="1"/>
  <c r="BJ37" i="21" s="1"/>
  <c r="O37" i="21"/>
  <c r="W37" i="21" s="1"/>
  <c r="AE37" i="21" s="1"/>
  <c r="AM37" i="21" s="1"/>
  <c r="AU37" i="21" s="1"/>
  <c r="BC37" i="21" s="1"/>
  <c r="BK37" i="21" s="1"/>
  <c r="P37" i="21"/>
  <c r="N38" i="21"/>
  <c r="V38" i="21" s="1"/>
  <c r="AD38" i="21" s="1"/>
  <c r="AL38" i="21" s="1"/>
  <c r="AT38" i="21" s="1"/>
  <c r="BB38" i="21" s="1"/>
  <c r="BJ38" i="21" s="1"/>
  <c r="O38" i="21"/>
  <c r="W38" i="21" s="1"/>
  <c r="AE38" i="21" s="1"/>
  <c r="AM38" i="21" s="1"/>
  <c r="AU38" i="21" s="1"/>
  <c r="BC38" i="21" s="1"/>
  <c r="BK38" i="21" s="1"/>
  <c r="P38" i="21"/>
  <c r="N39" i="21"/>
  <c r="V39" i="21" s="1"/>
  <c r="AD39" i="21" s="1"/>
  <c r="AL39" i="21" s="1"/>
  <c r="AT39" i="21" s="1"/>
  <c r="BB39" i="21" s="1"/>
  <c r="BJ39" i="21" s="1"/>
  <c r="O39" i="21"/>
  <c r="W39" i="21" s="1"/>
  <c r="AE39" i="21" s="1"/>
  <c r="AM39" i="21" s="1"/>
  <c r="AU39" i="21" s="1"/>
  <c r="BC39" i="21" s="1"/>
  <c r="BK39" i="21" s="1"/>
  <c r="P39" i="21"/>
  <c r="X39" i="21" s="1"/>
  <c r="AF39" i="21" s="1"/>
  <c r="P40" i="21"/>
  <c r="N41" i="21"/>
  <c r="V41" i="21" s="1"/>
  <c r="AD41" i="21" s="1"/>
  <c r="AL41" i="21" s="1"/>
  <c r="AT41" i="21" s="1"/>
  <c r="BB41" i="21" s="1"/>
  <c r="BJ41" i="21" s="1"/>
  <c r="O41" i="21"/>
  <c r="W41" i="21" s="1"/>
  <c r="AE41" i="21" s="1"/>
  <c r="AM41" i="21" s="1"/>
  <c r="AU41" i="21" s="1"/>
  <c r="BC41" i="21" s="1"/>
  <c r="BK41" i="21" s="1"/>
  <c r="P41" i="21"/>
  <c r="N42" i="21"/>
  <c r="V42" i="21" s="1"/>
  <c r="AD42" i="21" s="1"/>
  <c r="AL42" i="21" s="1"/>
  <c r="AT42" i="21" s="1"/>
  <c r="BB42" i="21" s="1"/>
  <c r="BJ42" i="21" s="1"/>
  <c r="O42" i="21"/>
  <c r="W42" i="21" s="1"/>
  <c r="AE42" i="21" s="1"/>
  <c r="AM42" i="21" s="1"/>
  <c r="AU42" i="21" s="1"/>
  <c r="BC42" i="21" s="1"/>
  <c r="BK42" i="21" s="1"/>
  <c r="P42" i="21"/>
  <c r="N43" i="21"/>
  <c r="V43" i="21" s="1"/>
  <c r="AD43" i="21" s="1"/>
  <c r="AL43" i="21" s="1"/>
  <c r="AT43" i="21" s="1"/>
  <c r="BB43" i="21" s="1"/>
  <c r="BJ43" i="21" s="1"/>
  <c r="O43" i="21"/>
  <c r="W43" i="21" s="1"/>
  <c r="AE43" i="21" s="1"/>
  <c r="AM43" i="21" s="1"/>
  <c r="AU43" i="21" s="1"/>
  <c r="P43" i="21"/>
  <c r="N44" i="21"/>
  <c r="V44" i="21" s="1"/>
  <c r="AD44" i="21" s="1"/>
  <c r="AL44" i="21" s="1"/>
  <c r="AT44" i="21" s="1"/>
  <c r="BB44" i="21" s="1"/>
  <c r="BJ44" i="21" s="1"/>
  <c r="O44" i="21"/>
  <c r="W44" i="21" s="1"/>
  <c r="AE44" i="21" s="1"/>
  <c r="AM44" i="21" s="1"/>
  <c r="AU44" i="21" s="1"/>
  <c r="BC44" i="21" s="1"/>
  <c r="BK44" i="21" s="1"/>
  <c r="P44" i="21"/>
  <c r="N45" i="21"/>
  <c r="V45" i="21" s="1"/>
  <c r="AD45" i="21" s="1"/>
  <c r="AL45" i="21" s="1"/>
  <c r="AT45" i="21" s="1"/>
  <c r="BB45" i="21" s="1"/>
  <c r="BJ45" i="21" s="1"/>
  <c r="O45" i="21"/>
  <c r="W45" i="21" s="1"/>
  <c r="AE45" i="21" s="1"/>
  <c r="AM45" i="21" s="1"/>
  <c r="AU45" i="21" s="1"/>
  <c r="BC45" i="21" s="1"/>
  <c r="BK45" i="21" s="1"/>
  <c r="P45" i="21"/>
  <c r="N46" i="21"/>
  <c r="V46" i="21" s="1"/>
  <c r="AD46" i="21" s="1"/>
  <c r="AL46" i="21" s="1"/>
  <c r="AT46" i="21" s="1"/>
  <c r="BB46" i="21" s="1"/>
  <c r="BJ46" i="21" s="1"/>
  <c r="O46" i="21"/>
  <c r="W46" i="21" s="1"/>
  <c r="AE46" i="21" s="1"/>
  <c r="AM46" i="21" s="1"/>
  <c r="AU46" i="21" s="1"/>
  <c r="BC46" i="21" s="1"/>
  <c r="BK46" i="21" s="1"/>
  <c r="P46" i="21"/>
  <c r="N47" i="21"/>
  <c r="V47" i="21" s="1"/>
  <c r="AD47" i="21" s="1"/>
  <c r="AL47" i="21" s="1"/>
  <c r="AT47" i="21" s="1"/>
  <c r="O47" i="21"/>
  <c r="W47" i="21" s="1"/>
  <c r="AE47" i="21" s="1"/>
  <c r="AM47" i="21" s="1"/>
  <c r="AU47" i="21" s="1"/>
  <c r="BC47" i="21" s="1"/>
  <c r="BK47" i="21" s="1"/>
  <c r="P47" i="21"/>
  <c r="N48" i="21"/>
  <c r="V48" i="21" s="1"/>
  <c r="AD48" i="21" s="1"/>
  <c r="AL48" i="21" s="1"/>
  <c r="AT48" i="21" s="1"/>
  <c r="BB48" i="21" s="1"/>
  <c r="BJ48" i="21" s="1"/>
  <c r="O48" i="21"/>
  <c r="W48" i="21" s="1"/>
  <c r="AE48" i="21" s="1"/>
  <c r="AM48" i="21" s="1"/>
  <c r="AU48" i="21" s="1"/>
  <c r="BC48" i="21" s="1"/>
  <c r="BK48" i="21" s="1"/>
  <c r="P48" i="21"/>
  <c r="N49" i="21"/>
  <c r="V49" i="21" s="1"/>
  <c r="AD49" i="21" s="1"/>
  <c r="AL49" i="21" s="1"/>
  <c r="AT49" i="21" s="1"/>
  <c r="BB49" i="21" s="1"/>
  <c r="BJ49" i="21" s="1"/>
  <c r="O49" i="21"/>
  <c r="W49" i="21" s="1"/>
  <c r="AE49" i="21" s="1"/>
  <c r="AM49" i="21" s="1"/>
  <c r="AU49" i="21" s="1"/>
  <c r="BC49" i="21" s="1"/>
  <c r="BK49" i="21" s="1"/>
  <c r="P49" i="21"/>
  <c r="O50" i="21"/>
  <c r="W50" i="21" s="1"/>
  <c r="AE50" i="21" s="1"/>
  <c r="AM50" i="21" s="1"/>
  <c r="AU50" i="21" s="1"/>
  <c r="N51" i="21"/>
  <c r="V51" i="21" s="1"/>
  <c r="AD51" i="21" s="1"/>
  <c r="AL51" i="21" s="1"/>
  <c r="AT51" i="21" s="1"/>
  <c r="BB51" i="21" s="1"/>
  <c r="BJ51" i="21" s="1"/>
  <c r="O51" i="21"/>
  <c r="W51" i="21" s="1"/>
  <c r="AE51" i="21" s="1"/>
  <c r="AM51" i="21" s="1"/>
  <c r="AU51" i="21" s="1"/>
  <c r="BC51" i="21" s="1"/>
  <c r="BK51" i="21" s="1"/>
  <c r="P51" i="21"/>
  <c r="O52" i="21"/>
  <c r="W52" i="21" s="1"/>
  <c r="AE52" i="21" s="1"/>
  <c r="AM52" i="21" s="1"/>
  <c r="AU52" i="21" s="1"/>
  <c r="BC52" i="21" s="1"/>
  <c r="BK52" i="21" s="1"/>
  <c r="P52" i="21"/>
  <c r="N53" i="21"/>
  <c r="V53" i="21" s="1"/>
  <c r="AD53" i="21" s="1"/>
  <c r="AL53" i="21" s="1"/>
  <c r="AT53" i="21" s="1"/>
  <c r="BB53" i="21" s="1"/>
  <c r="BJ53" i="21" s="1"/>
  <c r="O53" i="21"/>
  <c r="W53" i="21" s="1"/>
  <c r="AE53" i="21" s="1"/>
  <c r="AM53" i="21" s="1"/>
  <c r="AU53" i="21" s="1"/>
  <c r="BC53" i="21" s="1"/>
  <c r="BK53" i="21" s="1"/>
  <c r="P53" i="21"/>
  <c r="N54" i="21"/>
  <c r="V54" i="21" s="1"/>
  <c r="AD54" i="21" s="1"/>
  <c r="AL54" i="21" s="1"/>
  <c r="AT54" i="21" s="1"/>
  <c r="BB54" i="21" s="1"/>
  <c r="BJ54" i="21" s="1"/>
  <c r="O54" i="21"/>
  <c r="W54" i="21" s="1"/>
  <c r="AE54" i="21" s="1"/>
  <c r="AM54" i="21" s="1"/>
  <c r="AU54" i="21" s="1"/>
  <c r="BC54" i="21" s="1"/>
  <c r="BK54" i="21" s="1"/>
  <c r="P54" i="21"/>
  <c r="O55" i="21"/>
  <c r="W55" i="21" s="1"/>
  <c r="AE55" i="21" s="1"/>
  <c r="AM55" i="21" s="1"/>
  <c r="AU55" i="21" s="1"/>
  <c r="BC55" i="21" s="1"/>
  <c r="BK55" i="21" s="1"/>
  <c r="N56" i="21"/>
  <c r="V56" i="21" s="1"/>
  <c r="AD56" i="21" s="1"/>
  <c r="AL56" i="21" s="1"/>
  <c r="AT56" i="21" s="1"/>
  <c r="BB56" i="21" s="1"/>
  <c r="BJ56" i="21" s="1"/>
  <c r="O56" i="21"/>
  <c r="W56" i="21" s="1"/>
  <c r="AE56" i="21" s="1"/>
  <c r="AM56" i="21" s="1"/>
  <c r="AU56" i="21" s="1"/>
  <c r="BC56" i="21" s="1"/>
  <c r="BK56" i="21" s="1"/>
  <c r="P57" i="21"/>
  <c r="N59" i="21"/>
  <c r="V59" i="21" s="1"/>
  <c r="AD59" i="21" s="1"/>
  <c r="AL59" i="21" s="1"/>
  <c r="AT59" i="21" s="1"/>
  <c r="BB59" i="21" s="1"/>
  <c r="BJ59" i="21" s="1"/>
  <c r="O59" i="21"/>
  <c r="W59" i="21" s="1"/>
  <c r="AE59" i="21" s="1"/>
  <c r="AM59" i="21" s="1"/>
  <c r="AU59" i="21" s="1"/>
  <c r="BC59" i="21" s="1"/>
  <c r="BK59" i="21" s="1"/>
  <c r="P59" i="21"/>
  <c r="N60" i="21"/>
  <c r="V60" i="21" s="1"/>
  <c r="AD60" i="21" s="1"/>
  <c r="AL60" i="21" s="1"/>
  <c r="AT60" i="21" s="1"/>
  <c r="BB60" i="21" s="1"/>
  <c r="BJ60" i="21" s="1"/>
  <c r="O60" i="21"/>
  <c r="W60" i="21" s="1"/>
  <c r="AE60" i="21" s="1"/>
  <c r="AM60" i="21" s="1"/>
  <c r="AU60" i="21" s="1"/>
  <c r="BC60" i="21" s="1"/>
  <c r="BK60" i="21" s="1"/>
  <c r="P60" i="21"/>
  <c r="P61" i="21"/>
  <c r="N62" i="21"/>
  <c r="V62" i="21" s="1"/>
  <c r="AD62" i="21" s="1"/>
  <c r="AL62" i="21" s="1"/>
  <c r="AT62" i="21" s="1"/>
  <c r="BB62" i="21" s="1"/>
  <c r="BJ62" i="21" s="1"/>
  <c r="P62" i="21"/>
  <c r="O63" i="21"/>
  <c r="W63" i="21" s="1"/>
  <c r="AE63" i="21" s="1"/>
  <c r="AM63" i="21" s="1"/>
  <c r="AU63" i="21" s="1"/>
  <c r="BC63" i="21" s="1"/>
  <c r="BK63" i="21" s="1"/>
  <c r="P63" i="21"/>
  <c r="N64" i="21"/>
  <c r="V64" i="21" s="1"/>
  <c r="AD64" i="21" s="1"/>
  <c r="AL64" i="21" s="1"/>
  <c r="AT64" i="21" s="1"/>
  <c r="O64" i="21"/>
  <c r="W64" i="21" s="1"/>
  <c r="AE64" i="21" s="1"/>
  <c r="AM64" i="21" s="1"/>
  <c r="AU64" i="21" s="1"/>
  <c r="BC64" i="21" s="1"/>
  <c r="BK64" i="21" s="1"/>
  <c r="P64" i="21"/>
  <c r="N65" i="21"/>
  <c r="V65" i="21" s="1"/>
  <c r="AD65" i="21" s="1"/>
  <c r="AL65" i="21" s="1"/>
  <c r="AT65" i="21" s="1"/>
  <c r="BB65" i="21" s="1"/>
  <c r="BJ65" i="21" s="1"/>
  <c r="O65" i="21"/>
  <c r="W65" i="21" s="1"/>
  <c r="AE65" i="21" s="1"/>
  <c r="AM65" i="21" s="1"/>
  <c r="AU65" i="21" s="1"/>
  <c r="BC65" i="21" s="1"/>
  <c r="BK65" i="21" s="1"/>
  <c r="P65" i="21"/>
  <c r="N66" i="21"/>
  <c r="V66" i="21" s="1"/>
  <c r="AD66" i="21" s="1"/>
  <c r="AL66" i="21" s="1"/>
  <c r="AT66" i="21" s="1"/>
  <c r="BB66" i="21" s="1"/>
  <c r="BJ66" i="21" s="1"/>
  <c r="O66" i="21"/>
  <c r="W66" i="21" s="1"/>
  <c r="AE66" i="21" s="1"/>
  <c r="AM66" i="21" s="1"/>
  <c r="AU66" i="21" s="1"/>
  <c r="BC66" i="21" s="1"/>
  <c r="BK66" i="21" s="1"/>
  <c r="P66" i="21"/>
  <c r="N67" i="21"/>
  <c r="V67" i="21" s="1"/>
  <c r="AD67" i="21" s="1"/>
  <c r="AL67" i="21" s="1"/>
  <c r="AT67" i="21" s="1"/>
  <c r="BB67" i="21" s="1"/>
  <c r="BJ67" i="21" s="1"/>
  <c r="O67" i="21"/>
  <c r="W67" i="21" s="1"/>
  <c r="AE67" i="21" s="1"/>
  <c r="AM67" i="21" s="1"/>
  <c r="AU67" i="21" s="1"/>
  <c r="BC67" i="21" s="1"/>
  <c r="BK67" i="21" s="1"/>
  <c r="P67" i="21"/>
  <c r="N68" i="21"/>
  <c r="V68" i="21" s="1"/>
  <c r="AD68" i="21" s="1"/>
  <c r="AL68" i="21" s="1"/>
  <c r="AT68" i="21" s="1"/>
  <c r="BB68" i="21" s="1"/>
  <c r="BJ68" i="21" s="1"/>
  <c r="O68" i="21"/>
  <c r="W68" i="21" s="1"/>
  <c r="AE68" i="21" s="1"/>
  <c r="AM68" i="21" s="1"/>
  <c r="AU68" i="21" s="1"/>
  <c r="BC68" i="21" s="1"/>
  <c r="BK68" i="21" s="1"/>
  <c r="P68" i="21"/>
  <c r="N69" i="21"/>
  <c r="V69" i="21" s="1"/>
  <c r="AD69" i="21" s="1"/>
  <c r="AL69" i="21" s="1"/>
  <c r="AT69" i="21" s="1"/>
  <c r="O69" i="21"/>
  <c r="W69" i="21" s="1"/>
  <c r="AE69" i="21" s="1"/>
  <c r="AM69" i="21" s="1"/>
  <c r="AU69" i="21" s="1"/>
  <c r="BC69" i="21" s="1"/>
  <c r="BK69" i="21" s="1"/>
  <c r="P69" i="21"/>
  <c r="N71" i="21"/>
  <c r="V71" i="21" s="1"/>
  <c r="AD71" i="21" s="1"/>
  <c r="AL71" i="21" s="1"/>
  <c r="AT71" i="21" s="1"/>
  <c r="BB71" i="21" s="1"/>
  <c r="BJ71" i="21" s="1"/>
  <c r="O71" i="21"/>
  <c r="W71" i="21" s="1"/>
  <c r="AE71" i="21" s="1"/>
  <c r="AM71" i="21" s="1"/>
  <c r="AU71" i="21" s="1"/>
  <c r="BC71" i="21" s="1"/>
  <c r="BK71" i="21" s="1"/>
  <c r="P71" i="21"/>
  <c r="N72" i="21"/>
  <c r="V72" i="21" s="1"/>
  <c r="AD72" i="21" s="1"/>
  <c r="AL72" i="21" s="1"/>
  <c r="AT72" i="21" s="1"/>
  <c r="BB72" i="21" s="1"/>
  <c r="BJ72" i="21" s="1"/>
  <c r="O72" i="21"/>
  <c r="W72" i="21" s="1"/>
  <c r="AE72" i="21" s="1"/>
  <c r="AM72" i="21" s="1"/>
  <c r="AU72" i="21" s="1"/>
  <c r="BC72" i="21" s="1"/>
  <c r="BK72" i="21" s="1"/>
  <c r="P72" i="21"/>
  <c r="P73" i="21"/>
  <c r="N74" i="21"/>
  <c r="V74" i="21" s="1"/>
  <c r="AD74" i="21" s="1"/>
  <c r="AL74" i="21" s="1"/>
  <c r="AT74" i="21" s="1"/>
  <c r="BB74" i="21" s="1"/>
  <c r="BJ74" i="21" s="1"/>
  <c r="P74" i="21"/>
  <c r="O75" i="21"/>
  <c r="W75" i="21" s="1"/>
  <c r="AE75" i="21" s="1"/>
  <c r="AM75" i="21" s="1"/>
  <c r="AU75" i="21" s="1"/>
  <c r="BC75" i="21" s="1"/>
  <c r="BK75" i="21" s="1"/>
  <c r="P75" i="21"/>
  <c r="N76" i="21"/>
  <c r="V76" i="21" s="1"/>
  <c r="AD76" i="21" s="1"/>
  <c r="AL76" i="21" s="1"/>
  <c r="AT76" i="21" s="1"/>
  <c r="BB76" i="21" s="1"/>
  <c r="BJ76" i="21" s="1"/>
  <c r="O76" i="21"/>
  <c r="W76" i="21" s="1"/>
  <c r="AE76" i="21" s="1"/>
  <c r="AM76" i="21" s="1"/>
  <c r="AU76" i="21" s="1"/>
  <c r="BC76" i="21" s="1"/>
  <c r="BK76" i="21" s="1"/>
  <c r="P76" i="21"/>
  <c r="X76" i="21" s="1"/>
  <c r="AF76" i="21" s="1"/>
  <c r="N77" i="21"/>
  <c r="V77" i="21" s="1"/>
  <c r="AD77" i="21" s="1"/>
  <c r="AL77" i="21" s="1"/>
  <c r="AT77" i="21" s="1"/>
  <c r="BB77" i="21" s="1"/>
  <c r="BJ77" i="21" s="1"/>
  <c r="O77" i="21"/>
  <c r="W77" i="21" s="1"/>
  <c r="AE77" i="21" s="1"/>
  <c r="AM77" i="21" s="1"/>
  <c r="AU77" i="21" s="1"/>
  <c r="BC77" i="21" s="1"/>
  <c r="BK77" i="21" s="1"/>
  <c r="P77" i="21"/>
  <c r="N78" i="21"/>
  <c r="V78" i="21" s="1"/>
  <c r="AD78" i="21" s="1"/>
  <c r="AL78" i="21" s="1"/>
  <c r="AT78" i="21" s="1"/>
  <c r="O78" i="21"/>
  <c r="W78" i="21" s="1"/>
  <c r="AE78" i="21" s="1"/>
  <c r="AM78" i="21" s="1"/>
  <c r="AU78" i="21" s="1"/>
  <c r="BC78" i="21" s="1"/>
  <c r="BK78" i="21" s="1"/>
  <c r="P78" i="21"/>
  <c r="N79" i="21"/>
  <c r="V79" i="21" s="1"/>
  <c r="AD79" i="21" s="1"/>
  <c r="AL79" i="21" s="1"/>
  <c r="AT79" i="21" s="1"/>
  <c r="O79" i="21"/>
  <c r="W79" i="21" s="1"/>
  <c r="AE79" i="21" s="1"/>
  <c r="AM79" i="21" s="1"/>
  <c r="AU79" i="21" s="1"/>
  <c r="P79" i="21"/>
  <c r="N80" i="21"/>
  <c r="V80" i="21" s="1"/>
  <c r="AD80" i="21" s="1"/>
  <c r="AL80" i="21" s="1"/>
  <c r="AT80" i="21" s="1"/>
  <c r="O80" i="21"/>
  <c r="W80" i="21" s="1"/>
  <c r="AE80" i="21" s="1"/>
  <c r="AM80" i="21" s="1"/>
  <c r="AU80" i="21" s="1"/>
  <c r="P80" i="21"/>
  <c r="N82" i="21"/>
  <c r="V82" i="21" s="1"/>
  <c r="AD82" i="21" s="1"/>
  <c r="AL82" i="21" s="1"/>
  <c r="AT82" i="21" s="1"/>
  <c r="BB82" i="21" s="1"/>
  <c r="BJ82" i="21" s="1"/>
  <c r="O82" i="21"/>
  <c r="W82" i="21" s="1"/>
  <c r="AE82" i="21" s="1"/>
  <c r="AM82" i="21" s="1"/>
  <c r="AU82" i="21" s="1"/>
  <c r="BC82" i="21" s="1"/>
  <c r="BK82" i="21" s="1"/>
  <c r="P82" i="21"/>
  <c r="N84" i="21"/>
  <c r="V84" i="21" s="1"/>
  <c r="AD84" i="21" s="1"/>
  <c r="AL84" i="21" s="1"/>
  <c r="AT84" i="21" s="1"/>
  <c r="BB84" i="21" s="1"/>
  <c r="BJ84" i="21" s="1"/>
  <c r="O84" i="21"/>
  <c r="W84" i="21" s="1"/>
  <c r="AE84" i="21" s="1"/>
  <c r="AM84" i="21" s="1"/>
  <c r="AU84" i="21" s="1"/>
  <c r="BC84" i="21" s="1"/>
  <c r="BK84" i="21" s="1"/>
  <c r="P84" i="21"/>
  <c r="N85" i="21"/>
  <c r="V85" i="21" s="1"/>
  <c r="AD85" i="21" s="1"/>
  <c r="AL85" i="21" s="1"/>
  <c r="AT85" i="21" s="1"/>
  <c r="BB85" i="21" s="1"/>
  <c r="BJ85" i="21" s="1"/>
  <c r="O85" i="21"/>
  <c r="W85" i="21" s="1"/>
  <c r="AE85" i="21" s="1"/>
  <c r="AM85" i="21" s="1"/>
  <c r="AU85" i="21" s="1"/>
  <c r="BC85" i="21" s="1"/>
  <c r="BK85" i="21" s="1"/>
  <c r="P85" i="21"/>
  <c r="P86" i="21"/>
  <c r="N87" i="21"/>
  <c r="V87" i="21" s="1"/>
  <c r="AD87" i="21" s="1"/>
  <c r="AL87" i="21" s="1"/>
  <c r="AT87" i="21" s="1"/>
  <c r="BB87" i="21" s="1"/>
  <c r="BJ87" i="21" s="1"/>
  <c r="P87" i="21"/>
  <c r="O88" i="21"/>
  <c r="W88" i="21" s="1"/>
  <c r="AE88" i="21" s="1"/>
  <c r="AM88" i="21" s="1"/>
  <c r="AU88" i="21" s="1"/>
  <c r="BC88" i="21" s="1"/>
  <c r="BK88" i="21" s="1"/>
  <c r="P88" i="21"/>
  <c r="N89" i="21"/>
  <c r="V89" i="21" s="1"/>
  <c r="AD89" i="21" s="1"/>
  <c r="AL89" i="21" s="1"/>
  <c r="AT89" i="21" s="1"/>
  <c r="BB89" i="21" s="1"/>
  <c r="BJ89" i="21" s="1"/>
  <c r="O89" i="21"/>
  <c r="W89" i="21" s="1"/>
  <c r="AE89" i="21" s="1"/>
  <c r="AM89" i="21" s="1"/>
  <c r="AU89" i="21" s="1"/>
  <c r="BC89" i="21" s="1"/>
  <c r="BK89" i="21" s="1"/>
  <c r="P89" i="21"/>
  <c r="N90" i="21"/>
  <c r="V90" i="21" s="1"/>
  <c r="AD90" i="21" s="1"/>
  <c r="AL90" i="21" s="1"/>
  <c r="AT90" i="21" s="1"/>
  <c r="BB90" i="21" s="1"/>
  <c r="BJ90" i="21" s="1"/>
  <c r="O90" i="21"/>
  <c r="W90" i="21" s="1"/>
  <c r="AE90" i="21" s="1"/>
  <c r="AM90" i="21" s="1"/>
  <c r="AU90" i="21" s="1"/>
  <c r="BC90" i="21" s="1"/>
  <c r="BK90" i="21" s="1"/>
  <c r="P90" i="21"/>
  <c r="N91" i="21"/>
  <c r="V91" i="21" s="1"/>
  <c r="AD91" i="21" s="1"/>
  <c r="AL91" i="21" s="1"/>
  <c r="AT91" i="21" s="1"/>
  <c r="O91" i="21"/>
  <c r="W91" i="21" s="1"/>
  <c r="AE91" i="21" s="1"/>
  <c r="AM91" i="21" s="1"/>
  <c r="AU91" i="21" s="1"/>
  <c r="BC91" i="21" s="1"/>
  <c r="BK91" i="21" s="1"/>
  <c r="P91" i="21"/>
  <c r="N92" i="21"/>
  <c r="V92" i="21" s="1"/>
  <c r="AD92" i="21" s="1"/>
  <c r="AL92" i="21" s="1"/>
  <c r="AT92" i="21" s="1"/>
  <c r="BB92" i="21" s="1"/>
  <c r="BJ92" i="21" s="1"/>
  <c r="O92" i="21"/>
  <c r="W92" i="21" s="1"/>
  <c r="AE92" i="21" s="1"/>
  <c r="AM92" i="21" s="1"/>
  <c r="AU92" i="21" s="1"/>
  <c r="BC92" i="21" s="1"/>
  <c r="BK92" i="21" s="1"/>
  <c r="P92" i="21"/>
  <c r="N93" i="21"/>
  <c r="V93" i="21" s="1"/>
  <c r="AD93" i="21" s="1"/>
  <c r="AL93" i="21" s="1"/>
  <c r="AT93" i="21" s="1"/>
  <c r="BB93" i="21" s="1"/>
  <c r="BJ93" i="21" s="1"/>
  <c r="O93" i="21"/>
  <c r="P93" i="21"/>
  <c r="N95" i="21"/>
  <c r="V95" i="21" s="1"/>
  <c r="AD95" i="21" s="1"/>
  <c r="AL95" i="21" s="1"/>
  <c r="AT95" i="21" s="1"/>
  <c r="BB95" i="21" s="1"/>
  <c r="BJ95" i="21" s="1"/>
  <c r="O95" i="21"/>
  <c r="W95" i="21" s="1"/>
  <c r="AE95" i="21" s="1"/>
  <c r="AM95" i="21" s="1"/>
  <c r="AU95" i="21" s="1"/>
  <c r="BC95" i="21" s="1"/>
  <c r="BK95" i="21" s="1"/>
  <c r="P95" i="21"/>
  <c r="O96" i="21"/>
  <c r="W96" i="21" s="1"/>
  <c r="AE96" i="21" s="1"/>
  <c r="AM96" i="21" s="1"/>
  <c r="AU96" i="21" s="1"/>
  <c r="BC96" i="21" s="1"/>
  <c r="BK96" i="21" s="1"/>
  <c r="P96" i="21"/>
  <c r="P97" i="21"/>
  <c r="N98" i="21"/>
  <c r="V98" i="21" s="1"/>
  <c r="AD98" i="21" s="1"/>
  <c r="AL98" i="21" s="1"/>
  <c r="AT98" i="21" s="1"/>
  <c r="BB98" i="21" s="1"/>
  <c r="BJ98" i="21" s="1"/>
  <c r="P98" i="21"/>
  <c r="O99" i="21"/>
  <c r="W99" i="21" s="1"/>
  <c r="AE99" i="21" s="1"/>
  <c r="AM99" i="21" s="1"/>
  <c r="P99" i="21"/>
  <c r="X99" i="21" s="1"/>
  <c r="AF99" i="21" s="1"/>
  <c r="AN99" i="21" s="1"/>
  <c r="N100" i="21"/>
  <c r="V100" i="21" s="1"/>
  <c r="AD100" i="21" s="1"/>
  <c r="AL100" i="21" s="1"/>
  <c r="AT100" i="21" s="1"/>
  <c r="O100" i="21"/>
  <c r="W100" i="21" s="1"/>
  <c r="AE100" i="21" s="1"/>
  <c r="AM100" i="21" s="1"/>
  <c r="AU100" i="21" s="1"/>
  <c r="P100" i="21"/>
  <c r="N101" i="21"/>
  <c r="V101" i="21" s="1"/>
  <c r="AD101" i="21" s="1"/>
  <c r="AL101" i="21" s="1"/>
  <c r="AT101" i="21" s="1"/>
  <c r="BB101" i="21" s="1"/>
  <c r="BJ101" i="21" s="1"/>
  <c r="O101" i="21"/>
  <c r="W101" i="21" s="1"/>
  <c r="AE101" i="21" s="1"/>
  <c r="AM101" i="21" s="1"/>
  <c r="AU101" i="21" s="1"/>
  <c r="BC101" i="21" s="1"/>
  <c r="BK101" i="21" s="1"/>
  <c r="P101" i="21"/>
  <c r="X101" i="21" s="1"/>
  <c r="N102" i="21"/>
  <c r="V102" i="21" s="1"/>
  <c r="AD102" i="21" s="1"/>
  <c r="AL102" i="21" s="1"/>
  <c r="AT102" i="21" s="1"/>
  <c r="BB102" i="21" s="1"/>
  <c r="BJ102" i="21" s="1"/>
  <c r="O102" i="21"/>
  <c r="W102" i="21" s="1"/>
  <c r="AE102" i="21" s="1"/>
  <c r="AM102" i="21" s="1"/>
  <c r="AU102" i="21" s="1"/>
  <c r="BC102" i="21" s="1"/>
  <c r="BK102" i="21" s="1"/>
  <c r="P102" i="21"/>
  <c r="N103" i="21"/>
  <c r="V103" i="21" s="1"/>
  <c r="AD103" i="21" s="1"/>
  <c r="AL103" i="21" s="1"/>
  <c r="AT103" i="21" s="1"/>
  <c r="BB103" i="21" s="1"/>
  <c r="BJ103" i="21" s="1"/>
  <c r="O103" i="21"/>
  <c r="W103" i="21" s="1"/>
  <c r="AE103" i="21" s="1"/>
  <c r="AM103" i="21" s="1"/>
  <c r="AU103" i="21" s="1"/>
  <c r="BC103" i="21" s="1"/>
  <c r="BK103" i="21" s="1"/>
  <c r="P103" i="21"/>
  <c r="X103" i="21" s="1"/>
  <c r="AF103" i="21" s="1"/>
  <c r="AN103" i="21" s="1"/>
  <c r="AV103" i="21" s="1"/>
  <c r="N104" i="21"/>
  <c r="V104" i="21" s="1"/>
  <c r="AD104" i="21" s="1"/>
  <c r="AL104" i="21" s="1"/>
  <c r="AT104" i="21" s="1"/>
  <c r="BB104" i="21" s="1"/>
  <c r="BJ104" i="21" s="1"/>
  <c r="O104" i="21"/>
  <c r="W104" i="21" s="1"/>
  <c r="AE104" i="21" s="1"/>
  <c r="AM104" i="21" s="1"/>
  <c r="AU104" i="21" s="1"/>
  <c r="BC104" i="21" s="1"/>
  <c r="BK104" i="21" s="1"/>
  <c r="P104" i="21"/>
  <c r="N105" i="21"/>
  <c r="V105" i="21" s="1"/>
  <c r="AD105" i="21" s="1"/>
  <c r="AL105" i="21" s="1"/>
  <c r="AT105" i="21" s="1"/>
  <c r="BB105" i="21" s="1"/>
  <c r="BJ105" i="21" s="1"/>
  <c r="O105" i="21"/>
  <c r="W105" i="21" s="1"/>
  <c r="AE105" i="21" s="1"/>
  <c r="AM105" i="21" s="1"/>
  <c r="AU105" i="21" s="1"/>
  <c r="BC105" i="21" s="1"/>
  <c r="BK105" i="21" s="1"/>
  <c r="P105" i="21"/>
  <c r="X105" i="21" s="1"/>
  <c r="AF105" i="21" s="1"/>
  <c r="N107" i="21"/>
  <c r="V107" i="21" s="1"/>
  <c r="AD107" i="21" s="1"/>
  <c r="AL107" i="21" s="1"/>
  <c r="AT107" i="21" s="1"/>
  <c r="BB107" i="21" s="1"/>
  <c r="BJ107" i="21" s="1"/>
  <c r="O107" i="21"/>
  <c r="W107" i="21" s="1"/>
  <c r="AE107" i="21" s="1"/>
  <c r="AM107" i="21" s="1"/>
  <c r="AU107" i="21" s="1"/>
  <c r="BC107" i="21" s="1"/>
  <c r="BK107" i="21" s="1"/>
  <c r="P107" i="21"/>
  <c r="N109" i="21"/>
  <c r="V109" i="21" s="1"/>
  <c r="AD109" i="21" s="1"/>
  <c r="AL109" i="21" s="1"/>
  <c r="AT109" i="21" s="1"/>
  <c r="BB109" i="21" s="1"/>
  <c r="BJ109" i="21" s="1"/>
  <c r="O109" i="21"/>
  <c r="W109" i="21" s="1"/>
  <c r="AE109" i="21" s="1"/>
  <c r="AM109" i="21" s="1"/>
  <c r="AU109" i="21" s="1"/>
  <c r="BC109" i="21" s="1"/>
  <c r="BK109" i="21" s="1"/>
  <c r="P109" i="21"/>
  <c r="N110" i="21"/>
  <c r="V110" i="21" s="1"/>
  <c r="AD110" i="21" s="1"/>
  <c r="AL110" i="21" s="1"/>
  <c r="AT110" i="21" s="1"/>
  <c r="O110" i="21"/>
  <c r="W110" i="21" s="1"/>
  <c r="AE110" i="21" s="1"/>
  <c r="AM110" i="21" s="1"/>
  <c r="AU110" i="21" s="1"/>
  <c r="BC110" i="21" s="1"/>
  <c r="BK110" i="21" s="1"/>
  <c r="P110" i="21"/>
  <c r="X110" i="21" s="1"/>
  <c r="AF110" i="21" s="1"/>
  <c r="AN110" i="21" s="1"/>
  <c r="AV110" i="21" s="1"/>
  <c r="BD110" i="21" s="1"/>
  <c r="BL110" i="21" s="1"/>
  <c r="P111" i="21"/>
  <c r="N112" i="21"/>
  <c r="V112" i="21" s="1"/>
  <c r="AD112" i="21" s="1"/>
  <c r="AL112" i="21" s="1"/>
  <c r="AT112" i="21" s="1"/>
  <c r="BB112" i="21" s="1"/>
  <c r="BJ112" i="21" s="1"/>
  <c r="P112" i="21"/>
  <c r="X112" i="21" s="1"/>
  <c r="AF112" i="21" s="1"/>
  <c r="O113" i="21"/>
  <c r="W113" i="21" s="1"/>
  <c r="AE113" i="21" s="1"/>
  <c r="AM113" i="21" s="1"/>
  <c r="AU113" i="21" s="1"/>
  <c r="BC113" i="21" s="1"/>
  <c r="BK113" i="21" s="1"/>
  <c r="P113" i="21"/>
  <c r="N114" i="21"/>
  <c r="V114" i="21" s="1"/>
  <c r="AD114" i="21" s="1"/>
  <c r="AL114" i="21" s="1"/>
  <c r="AT114" i="21" s="1"/>
  <c r="O114" i="21"/>
  <c r="W114" i="21" s="1"/>
  <c r="AE114" i="21" s="1"/>
  <c r="AM114" i="21" s="1"/>
  <c r="AU114" i="21" s="1"/>
  <c r="BC114" i="21" s="1"/>
  <c r="BK114" i="21" s="1"/>
  <c r="P114" i="21"/>
  <c r="X114" i="21" s="1"/>
  <c r="AF114" i="21" s="1"/>
  <c r="AN114" i="21" s="1"/>
  <c r="AV114" i="21" s="1"/>
  <c r="BD114" i="21" s="1"/>
  <c r="BL114" i="21" s="1"/>
  <c r="N115" i="21"/>
  <c r="V115" i="21" s="1"/>
  <c r="AD115" i="21" s="1"/>
  <c r="AL115" i="21" s="1"/>
  <c r="AT115" i="21" s="1"/>
  <c r="O115" i="21"/>
  <c r="W115" i="21" s="1"/>
  <c r="AE115" i="21" s="1"/>
  <c r="AM115" i="21" s="1"/>
  <c r="AU115" i="21" s="1"/>
  <c r="BC115" i="21" s="1"/>
  <c r="BK115" i="21" s="1"/>
  <c r="P115" i="21"/>
  <c r="N116" i="21"/>
  <c r="V116" i="21" s="1"/>
  <c r="AD116" i="21" s="1"/>
  <c r="AL116" i="21" s="1"/>
  <c r="AT116" i="21" s="1"/>
  <c r="BB116" i="21" s="1"/>
  <c r="BJ116" i="21" s="1"/>
  <c r="O116" i="21"/>
  <c r="W116" i="21" s="1"/>
  <c r="AE116" i="21" s="1"/>
  <c r="AM116" i="21" s="1"/>
  <c r="AU116" i="21" s="1"/>
  <c r="BC116" i="21" s="1"/>
  <c r="BK116" i="21" s="1"/>
  <c r="P116" i="21"/>
  <c r="X116" i="21" s="1"/>
  <c r="AF116" i="21" s="1"/>
  <c r="AN116" i="21" s="1"/>
  <c r="N117" i="21"/>
  <c r="V117" i="21" s="1"/>
  <c r="AD117" i="21" s="1"/>
  <c r="AL117" i="21" s="1"/>
  <c r="AT117" i="21" s="1"/>
  <c r="BB117" i="21" s="1"/>
  <c r="BJ117" i="21" s="1"/>
  <c r="O117" i="21"/>
  <c r="W117" i="21" s="1"/>
  <c r="AE117" i="21" s="1"/>
  <c r="AM117" i="21" s="1"/>
  <c r="AU117" i="21" s="1"/>
  <c r="BC117" i="21" s="1"/>
  <c r="BK117" i="21" s="1"/>
  <c r="P117" i="21"/>
  <c r="N118" i="21"/>
  <c r="V118" i="21" s="1"/>
  <c r="AD118" i="21" s="1"/>
  <c r="AL118" i="21" s="1"/>
  <c r="AT118" i="21" s="1"/>
  <c r="O118" i="21"/>
  <c r="W118" i="21" s="1"/>
  <c r="AE118" i="21" s="1"/>
  <c r="AM118" i="21" s="1"/>
  <c r="AU118" i="21" s="1"/>
  <c r="BC118" i="21" s="1"/>
  <c r="BK118" i="21" s="1"/>
  <c r="P118" i="21"/>
  <c r="X118" i="21" s="1"/>
  <c r="N119" i="21"/>
  <c r="V119" i="21" s="1"/>
  <c r="AD119" i="21" s="1"/>
  <c r="AL119" i="21" s="1"/>
  <c r="AT119" i="21" s="1"/>
  <c r="BB119" i="21" s="1"/>
  <c r="BJ119" i="21" s="1"/>
  <c r="O119" i="21"/>
  <c r="W119" i="21" s="1"/>
  <c r="AE119" i="21" s="1"/>
  <c r="P119" i="21"/>
  <c r="N122" i="21"/>
  <c r="V122" i="21" s="1"/>
  <c r="AD122" i="21" s="1"/>
  <c r="AL122" i="21" s="1"/>
  <c r="AT122" i="21" s="1"/>
  <c r="BB122" i="21" s="1"/>
  <c r="BJ122" i="21" s="1"/>
  <c r="O122" i="21"/>
  <c r="W122" i="21" s="1"/>
  <c r="AE122" i="21" s="1"/>
  <c r="AM122" i="21" s="1"/>
  <c r="AU122" i="21" s="1"/>
  <c r="BC122" i="21" s="1"/>
  <c r="BK122" i="21" s="1"/>
  <c r="P122" i="21"/>
  <c r="N123" i="21"/>
  <c r="V123" i="21" s="1"/>
  <c r="AD123" i="21" s="1"/>
  <c r="AL123" i="21" s="1"/>
  <c r="AT123" i="21" s="1"/>
  <c r="BB123" i="21" s="1"/>
  <c r="BJ123" i="21" s="1"/>
  <c r="O123" i="21"/>
  <c r="W123" i="21" s="1"/>
  <c r="AE123" i="21" s="1"/>
  <c r="AM123" i="21" s="1"/>
  <c r="AU123" i="21" s="1"/>
  <c r="BC123" i="21" s="1"/>
  <c r="BK123" i="21" s="1"/>
  <c r="P123" i="21"/>
  <c r="X123" i="21" s="1"/>
  <c r="AF123" i="21" s="1"/>
  <c r="AN123" i="21" s="1"/>
  <c r="AV123" i="21" s="1"/>
  <c r="P124" i="21"/>
  <c r="N125" i="21"/>
  <c r="V125" i="21" s="1"/>
  <c r="AD125" i="21" s="1"/>
  <c r="AL125" i="21" s="1"/>
  <c r="AT125" i="21" s="1"/>
  <c r="BB125" i="21" s="1"/>
  <c r="BJ125" i="21" s="1"/>
  <c r="P125" i="21"/>
  <c r="X125" i="21" s="1"/>
  <c r="AF125" i="21" s="1"/>
  <c r="AN125" i="21" s="1"/>
  <c r="AV125" i="21" s="1"/>
  <c r="N126" i="21"/>
  <c r="V126" i="21" s="1"/>
  <c r="AD126" i="21" s="1"/>
  <c r="AL126" i="21" s="1"/>
  <c r="AT126" i="21" s="1"/>
  <c r="O126" i="21"/>
  <c r="W126" i="21" s="1"/>
  <c r="AE126" i="21" s="1"/>
  <c r="AM126" i="21" s="1"/>
  <c r="AU126" i="21" s="1"/>
  <c r="BC126" i="21" s="1"/>
  <c r="BK126" i="21" s="1"/>
  <c r="P126" i="21"/>
  <c r="N128" i="21"/>
  <c r="V128" i="21" s="1"/>
  <c r="AD128" i="21" s="1"/>
  <c r="AL128" i="21" s="1"/>
  <c r="AT128" i="21" s="1"/>
  <c r="BB128" i="21" s="1"/>
  <c r="BJ128" i="21" s="1"/>
  <c r="O128" i="21"/>
  <c r="W128" i="21" s="1"/>
  <c r="AE128" i="21" s="1"/>
  <c r="AM128" i="21" s="1"/>
  <c r="AU128" i="21" s="1"/>
  <c r="BC128" i="21" s="1"/>
  <c r="BK128" i="21" s="1"/>
  <c r="P128" i="21"/>
  <c r="X128" i="21" s="1"/>
  <c r="AF128" i="21" s="1"/>
  <c r="AN128" i="21" s="1"/>
  <c r="N129" i="21"/>
  <c r="V129" i="21" s="1"/>
  <c r="AD129" i="21" s="1"/>
  <c r="AL129" i="21" s="1"/>
  <c r="AT129" i="21" s="1"/>
  <c r="BB129" i="21" s="1"/>
  <c r="BJ129" i="21" s="1"/>
  <c r="O129" i="21"/>
  <c r="W129" i="21" s="1"/>
  <c r="AE129" i="21" s="1"/>
  <c r="AM129" i="21" s="1"/>
  <c r="AU129" i="21" s="1"/>
  <c r="BC129" i="21" s="1"/>
  <c r="BK129" i="21" s="1"/>
  <c r="P129" i="21"/>
  <c r="N130" i="21"/>
  <c r="V130" i="21" s="1"/>
  <c r="AD130" i="21" s="1"/>
  <c r="AL130" i="21" s="1"/>
  <c r="O130" i="21"/>
  <c r="W130" i="21" s="1"/>
  <c r="AE130" i="21" s="1"/>
  <c r="AM130" i="21" s="1"/>
  <c r="AU130" i="21" s="1"/>
  <c r="BC130" i="21" s="1"/>
  <c r="BK130" i="21" s="1"/>
  <c r="P130" i="21"/>
  <c r="X130" i="21" s="1"/>
  <c r="AF130" i="21" s="1"/>
  <c r="AN130" i="21" s="1"/>
  <c r="AV130" i="21" s="1"/>
  <c r="N131" i="21"/>
  <c r="V131" i="21" s="1"/>
  <c r="AD131" i="21" s="1"/>
  <c r="AL131" i="21" s="1"/>
  <c r="AT131" i="21" s="1"/>
  <c r="O131" i="21"/>
  <c r="W131" i="21" s="1"/>
  <c r="AE131" i="21" s="1"/>
  <c r="AM131" i="21" s="1"/>
  <c r="AU131" i="21" s="1"/>
  <c r="BC131" i="21" s="1"/>
  <c r="BK131" i="21" s="1"/>
  <c r="P131" i="21"/>
  <c r="N132" i="21"/>
  <c r="V132" i="21" s="1"/>
  <c r="AD132" i="21" s="1"/>
  <c r="AL132" i="21" s="1"/>
  <c r="AT132" i="21" s="1"/>
  <c r="BB132" i="21" s="1"/>
  <c r="BJ132" i="21" s="1"/>
  <c r="O132" i="21"/>
  <c r="W132" i="21" s="1"/>
  <c r="AE132" i="21" s="1"/>
  <c r="AM132" i="21" s="1"/>
  <c r="AU132" i="21" s="1"/>
  <c r="BC132" i="21" s="1"/>
  <c r="BK132" i="21" s="1"/>
  <c r="P132" i="21"/>
  <c r="X132" i="21" s="1"/>
  <c r="AF132" i="21" s="1"/>
  <c r="N133" i="21"/>
  <c r="V133" i="21" s="1"/>
  <c r="AD133" i="21" s="1"/>
  <c r="AL133" i="21" s="1"/>
  <c r="AT133" i="21" s="1"/>
  <c r="BB133" i="21" s="1"/>
  <c r="BJ133" i="21" s="1"/>
  <c r="O133" i="21"/>
  <c r="W133" i="21" s="1"/>
  <c r="AE133" i="21" s="1"/>
  <c r="AM133" i="21" s="1"/>
  <c r="AU133" i="21" s="1"/>
  <c r="BC133" i="21" s="1"/>
  <c r="BK133" i="21" s="1"/>
  <c r="P133" i="21"/>
  <c r="N134" i="21"/>
  <c r="V134" i="21" s="1"/>
  <c r="AD134" i="21" s="1"/>
  <c r="AL134" i="21" s="1"/>
  <c r="AT134" i="21" s="1"/>
  <c r="O134" i="21"/>
  <c r="W134" i="21" s="1"/>
  <c r="AE134" i="21" s="1"/>
  <c r="AM134" i="21" s="1"/>
  <c r="AU134" i="21" s="1"/>
  <c r="BC134" i="21" s="1"/>
  <c r="BK134" i="21" s="1"/>
  <c r="P134" i="21"/>
  <c r="X134" i="21" s="1"/>
  <c r="AF134" i="21" s="1"/>
  <c r="AN134" i="21" s="1"/>
  <c r="AV134" i="21" s="1"/>
  <c r="BD134" i="21" s="1"/>
  <c r="BL134" i="21" s="1"/>
  <c r="N136" i="21"/>
  <c r="V136" i="21" s="1"/>
  <c r="AD136" i="21" s="1"/>
  <c r="AL136" i="21" s="1"/>
  <c r="AT136" i="21" s="1"/>
  <c r="BB136" i="21" s="1"/>
  <c r="BJ136" i="21" s="1"/>
  <c r="O136" i="21"/>
  <c r="W136" i="21" s="1"/>
  <c r="AE136" i="21" s="1"/>
  <c r="AM136" i="21" s="1"/>
  <c r="AU136" i="21" s="1"/>
  <c r="BC136" i="21" s="1"/>
  <c r="BK136" i="21" s="1"/>
  <c r="P136" i="21"/>
  <c r="X136" i="21" s="1"/>
  <c r="AF136" i="21" s="1"/>
  <c r="N137" i="21"/>
  <c r="V137" i="21" s="1"/>
  <c r="AD137" i="21" s="1"/>
  <c r="AL137" i="21" s="1"/>
  <c r="AT137" i="21" s="1"/>
  <c r="BB137" i="21" s="1"/>
  <c r="BJ137" i="21" s="1"/>
  <c r="O137" i="21"/>
  <c r="W137" i="21" s="1"/>
  <c r="AE137" i="21" s="1"/>
  <c r="AM137" i="21" s="1"/>
  <c r="AU137" i="21" s="1"/>
  <c r="BC137" i="21" s="1"/>
  <c r="BK137" i="21" s="1"/>
  <c r="P137" i="21"/>
  <c r="P138" i="21"/>
  <c r="X138" i="21" s="1"/>
  <c r="AF138" i="21" s="1"/>
  <c r="AN138" i="21" s="1"/>
  <c r="AV138" i="21" s="1"/>
  <c r="N139" i="21"/>
  <c r="V139" i="21" s="1"/>
  <c r="AD139" i="21" s="1"/>
  <c r="AL139" i="21" s="1"/>
  <c r="AT139" i="21" s="1"/>
  <c r="BB139" i="21" s="1"/>
  <c r="BJ139" i="21" s="1"/>
  <c r="P139" i="21"/>
  <c r="N140" i="21"/>
  <c r="V140" i="21" s="1"/>
  <c r="AD140" i="21" s="1"/>
  <c r="O140" i="21"/>
  <c r="W140" i="21" s="1"/>
  <c r="AE140" i="21" s="1"/>
  <c r="AM140" i="21" s="1"/>
  <c r="AU140" i="21" s="1"/>
  <c r="BC140" i="21" s="1"/>
  <c r="BK140" i="21" s="1"/>
  <c r="P140" i="21"/>
  <c r="X140" i="21" s="1"/>
  <c r="AF140" i="21" s="1"/>
  <c r="AN140" i="21" s="1"/>
  <c r="AV140" i="21" s="1"/>
  <c r="BD140" i="21" s="1"/>
  <c r="BL140" i="21" s="1"/>
  <c r="N141" i="21"/>
  <c r="V141" i="21" s="1"/>
  <c r="AD141" i="21" s="1"/>
  <c r="AL141" i="21" s="1"/>
  <c r="AT141" i="21" s="1"/>
  <c r="BB141" i="21" s="1"/>
  <c r="BJ141" i="21" s="1"/>
  <c r="O141" i="21"/>
  <c r="W141" i="21" s="1"/>
  <c r="AE141" i="21" s="1"/>
  <c r="AM141" i="21" s="1"/>
  <c r="AU141" i="21" s="1"/>
  <c r="BC141" i="21" s="1"/>
  <c r="BK141" i="21" s="1"/>
  <c r="P141" i="21"/>
  <c r="N142" i="21"/>
  <c r="V142" i="21" s="1"/>
  <c r="AD142" i="21" s="1"/>
  <c r="AL142" i="21" s="1"/>
  <c r="AT142" i="21" s="1"/>
  <c r="BB142" i="21" s="1"/>
  <c r="BJ142" i="21" s="1"/>
  <c r="O142" i="21"/>
  <c r="W142" i="21" s="1"/>
  <c r="AE142" i="21" s="1"/>
  <c r="AM142" i="21" s="1"/>
  <c r="AU142" i="21" s="1"/>
  <c r="BC142" i="21" s="1"/>
  <c r="BK142" i="21" s="1"/>
  <c r="P142" i="21"/>
  <c r="X142" i="21" s="1"/>
  <c r="AF142" i="21" s="1"/>
  <c r="N143" i="21"/>
  <c r="V143" i="21" s="1"/>
  <c r="AD143" i="21" s="1"/>
  <c r="AL143" i="21" s="1"/>
  <c r="AT143" i="21" s="1"/>
  <c r="O143" i="21"/>
  <c r="W143" i="21" s="1"/>
  <c r="AE143" i="21" s="1"/>
  <c r="AM143" i="21" s="1"/>
  <c r="AU143" i="21" s="1"/>
  <c r="BC143" i="21" s="1"/>
  <c r="BK143" i="21" s="1"/>
  <c r="P143" i="21"/>
  <c r="N144" i="21"/>
  <c r="V144" i="21" s="1"/>
  <c r="AD144" i="21" s="1"/>
  <c r="AL144" i="21" s="1"/>
  <c r="AT144" i="21" s="1"/>
  <c r="BB144" i="21" s="1"/>
  <c r="BJ144" i="21" s="1"/>
  <c r="O144" i="21"/>
  <c r="W144" i="21" s="1"/>
  <c r="AE144" i="21" s="1"/>
  <c r="AM144" i="21" s="1"/>
  <c r="AU144" i="21" s="1"/>
  <c r="BC144" i="21" s="1"/>
  <c r="BK144" i="21" s="1"/>
  <c r="P144" i="21"/>
  <c r="X144" i="21" s="1"/>
  <c r="N145" i="21"/>
  <c r="V145" i="21" s="1"/>
  <c r="AD145" i="21" s="1"/>
  <c r="AL145" i="21" s="1"/>
  <c r="AT145" i="21" s="1"/>
  <c r="BB145" i="21" s="1"/>
  <c r="BJ145" i="21" s="1"/>
  <c r="O145" i="21"/>
  <c r="W145" i="21" s="1"/>
  <c r="AE145" i="21" s="1"/>
  <c r="AM145" i="21" s="1"/>
  <c r="AU145" i="21" s="1"/>
  <c r="BC145" i="21" s="1"/>
  <c r="BK145" i="21" s="1"/>
  <c r="P145" i="21"/>
  <c r="N147" i="21"/>
  <c r="V147" i="21" s="1"/>
  <c r="AD147" i="21" s="1"/>
  <c r="AL147" i="21" s="1"/>
  <c r="AT147" i="21" s="1"/>
  <c r="BB147" i="21" s="1"/>
  <c r="BJ147" i="21" s="1"/>
  <c r="O147" i="21"/>
  <c r="W147" i="21" s="1"/>
  <c r="AE147" i="21" s="1"/>
  <c r="AM147" i="21" s="1"/>
  <c r="AU147" i="21" s="1"/>
  <c r="BC147" i="21" s="1"/>
  <c r="BK147" i="21" s="1"/>
  <c r="P147" i="21"/>
  <c r="N148" i="21"/>
  <c r="V148" i="21" s="1"/>
  <c r="AD148" i="21" s="1"/>
  <c r="AL148" i="21" s="1"/>
  <c r="AT148" i="21" s="1"/>
  <c r="BB148" i="21" s="1"/>
  <c r="BJ148" i="21" s="1"/>
  <c r="O148" i="21"/>
  <c r="W148" i="21" s="1"/>
  <c r="AE148" i="21" s="1"/>
  <c r="AM148" i="21" s="1"/>
  <c r="AU148" i="21" s="1"/>
  <c r="BC148" i="21" s="1"/>
  <c r="BK148" i="21" s="1"/>
  <c r="P148" i="21"/>
  <c r="X148" i="21" s="1"/>
  <c r="AF148" i="21" s="1"/>
  <c r="AN148" i="21" s="1"/>
  <c r="AV148" i="21" s="1"/>
  <c r="P149" i="21"/>
  <c r="N150" i="21"/>
  <c r="V150" i="21" s="1"/>
  <c r="AD150" i="21" s="1"/>
  <c r="AL150" i="21" s="1"/>
  <c r="AT150" i="21" s="1"/>
  <c r="BB150" i="21" s="1"/>
  <c r="BJ150" i="21" s="1"/>
  <c r="P150" i="21"/>
  <c r="X150" i="21" s="1"/>
  <c r="AF150" i="21" s="1"/>
  <c r="AN150" i="21" s="1"/>
  <c r="AV150" i="21" s="1"/>
  <c r="N151" i="21"/>
  <c r="V151" i="21" s="1"/>
  <c r="AD151" i="21" s="1"/>
  <c r="AL151" i="21" s="1"/>
  <c r="AT151" i="21" s="1"/>
  <c r="BB151" i="21" s="1"/>
  <c r="BJ151" i="21" s="1"/>
  <c r="O151" i="21"/>
  <c r="W151" i="21" s="1"/>
  <c r="AE151" i="21" s="1"/>
  <c r="AM151" i="21" s="1"/>
  <c r="AU151" i="21" s="1"/>
  <c r="BC151" i="21" s="1"/>
  <c r="BK151" i="21" s="1"/>
  <c r="P151" i="21"/>
  <c r="N152" i="21"/>
  <c r="V152" i="21" s="1"/>
  <c r="AD152" i="21" s="1"/>
  <c r="AL152" i="21" s="1"/>
  <c r="AT152" i="21" s="1"/>
  <c r="O152" i="21"/>
  <c r="W152" i="21" s="1"/>
  <c r="AE152" i="21" s="1"/>
  <c r="AM152" i="21" s="1"/>
  <c r="AU152" i="21" s="1"/>
  <c r="BC152" i="21" s="1"/>
  <c r="BK152" i="21" s="1"/>
  <c r="P152" i="21"/>
  <c r="X152" i="21" s="1"/>
  <c r="AF152" i="21" s="1"/>
  <c r="N153" i="21"/>
  <c r="V153" i="21" s="1"/>
  <c r="AD153" i="21" s="1"/>
  <c r="AL153" i="21" s="1"/>
  <c r="AT153" i="21" s="1"/>
  <c r="BB153" i="21" s="1"/>
  <c r="BJ153" i="21" s="1"/>
  <c r="O153" i="21"/>
  <c r="W153" i="21" s="1"/>
  <c r="AE153" i="21" s="1"/>
  <c r="AM153" i="21" s="1"/>
  <c r="AU153" i="21" s="1"/>
  <c r="BC153" i="21" s="1"/>
  <c r="BK153" i="21" s="1"/>
  <c r="P153" i="21"/>
  <c r="N154" i="21"/>
  <c r="V154" i="21" s="1"/>
  <c r="AD154" i="21" s="1"/>
  <c r="AL154" i="21" s="1"/>
  <c r="AT154" i="21" s="1"/>
  <c r="BB154" i="21" s="1"/>
  <c r="BJ154" i="21" s="1"/>
  <c r="O154" i="21"/>
  <c r="W154" i="21" s="1"/>
  <c r="AE154" i="21" s="1"/>
  <c r="AM154" i="21" s="1"/>
  <c r="AU154" i="21" s="1"/>
  <c r="BC154" i="21" s="1"/>
  <c r="BK154" i="21" s="1"/>
  <c r="P154" i="21"/>
  <c r="X154" i="21" s="1"/>
  <c r="AF154" i="21" s="1"/>
  <c r="AN154" i="21" s="1"/>
  <c r="AV154" i="21" s="1"/>
  <c r="N155" i="21"/>
  <c r="V155" i="21" s="1"/>
  <c r="AD155" i="21" s="1"/>
  <c r="AL155" i="21" s="1"/>
  <c r="AT155" i="21" s="1"/>
  <c r="BB155" i="21" s="1"/>
  <c r="BJ155" i="21" s="1"/>
  <c r="O155" i="21"/>
  <c r="W155" i="21" s="1"/>
  <c r="AE155" i="21" s="1"/>
  <c r="AM155" i="21" s="1"/>
  <c r="AU155" i="21" s="1"/>
  <c r="BC155" i="21" s="1"/>
  <c r="BK155" i="21" s="1"/>
  <c r="P155" i="21"/>
  <c r="N156" i="21"/>
  <c r="V156" i="21" s="1"/>
  <c r="AD156" i="21" s="1"/>
  <c r="AL156" i="21" s="1"/>
  <c r="AT156" i="21" s="1"/>
  <c r="BB156" i="21" s="1"/>
  <c r="BJ156" i="21" s="1"/>
  <c r="O156" i="21"/>
  <c r="W156" i="21" s="1"/>
  <c r="AE156" i="21" s="1"/>
  <c r="AM156" i="21" s="1"/>
  <c r="AU156" i="21" s="1"/>
  <c r="BC156" i="21" s="1"/>
  <c r="BK156" i="21" s="1"/>
  <c r="P156" i="21"/>
  <c r="X156" i="21" s="1"/>
  <c r="AF156" i="21" s="1"/>
  <c r="AN156" i="21" s="1"/>
  <c r="N157" i="21"/>
  <c r="V157" i="21" s="1"/>
  <c r="AD157" i="21" s="1"/>
  <c r="AL157" i="21" s="1"/>
  <c r="AT157" i="21" s="1"/>
  <c r="O157" i="21"/>
  <c r="W157" i="21" s="1"/>
  <c r="AE157" i="21" s="1"/>
  <c r="AM157" i="21" s="1"/>
  <c r="AU157" i="21" s="1"/>
  <c r="BC157" i="21" s="1"/>
  <c r="BK157" i="21" s="1"/>
  <c r="P157" i="21"/>
  <c r="N159" i="21"/>
  <c r="V159" i="21" s="1"/>
  <c r="AD159" i="21" s="1"/>
  <c r="AL159" i="21" s="1"/>
  <c r="AT159" i="21" s="1"/>
  <c r="BB159" i="21" s="1"/>
  <c r="BJ159" i="21" s="1"/>
  <c r="O159" i="21"/>
  <c r="W159" i="21" s="1"/>
  <c r="AE159" i="21" s="1"/>
  <c r="AM159" i="21" s="1"/>
  <c r="AU159" i="21" s="1"/>
  <c r="BC159" i="21" s="1"/>
  <c r="BK159" i="21" s="1"/>
  <c r="P159" i="21"/>
  <c r="N160" i="21"/>
  <c r="V160" i="21" s="1"/>
  <c r="AD160" i="21" s="1"/>
  <c r="AL160" i="21" s="1"/>
  <c r="AT160" i="21" s="1"/>
  <c r="BB160" i="21" s="1"/>
  <c r="BJ160" i="21" s="1"/>
  <c r="O160" i="21"/>
  <c r="W160" i="21" s="1"/>
  <c r="AE160" i="21" s="1"/>
  <c r="AM160" i="21" s="1"/>
  <c r="AU160" i="21" s="1"/>
  <c r="BC160" i="21" s="1"/>
  <c r="BK160" i="21" s="1"/>
  <c r="P160" i="21"/>
  <c r="X160" i="21" s="1"/>
  <c r="AF160" i="21" s="1"/>
  <c r="P161" i="21"/>
  <c r="N162" i="21"/>
  <c r="V162" i="21" s="1"/>
  <c r="AD162" i="21" s="1"/>
  <c r="AL162" i="21" s="1"/>
  <c r="AT162" i="21" s="1"/>
  <c r="BB162" i="21" s="1"/>
  <c r="BJ162" i="21" s="1"/>
  <c r="P162" i="21"/>
  <c r="X162" i="21" s="1"/>
  <c r="AF162" i="21" s="1"/>
  <c r="AN162" i="21" s="1"/>
  <c r="N163" i="21"/>
  <c r="V163" i="21" s="1"/>
  <c r="AD163" i="21" s="1"/>
  <c r="AL163" i="21" s="1"/>
  <c r="AT163" i="21" s="1"/>
  <c r="BB163" i="21" s="1"/>
  <c r="BJ163" i="21" s="1"/>
  <c r="O163" i="21"/>
  <c r="W163" i="21" s="1"/>
  <c r="AE163" i="21" s="1"/>
  <c r="AM163" i="21" s="1"/>
  <c r="AU163" i="21" s="1"/>
  <c r="BC163" i="21" s="1"/>
  <c r="BK163" i="21" s="1"/>
  <c r="P163" i="21"/>
  <c r="N164" i="21"/>
  <c r="V164" i="21" s="1"/>
  <c r="AD164" i="21" s="1"/>
  <c r="AL164" i="21" s="1"/>
  <c r="AT164" i="21" s="1"/>
  <c r="BB164" i="21" s="1"/>
  <c r="BJ164" i="21" s="1"/>
  <c r="O164" i="21"/>
  <c r="W164" i="21" s="1"/>
  <c r="AE164" i="21" s="1"/>
  <c r="AM164" i="21" s="1"/>
  <c r="AU164" i="21" s="1"/>
  <c r="BC164" i="21" s="1"/>
  <c r="BK164" i="21" s="1"/>
  <c r="P164" i="21"/>
  <c r="X164" i="21" s="1"/>
  <c r="AF164" i="21" s="1"/>
  <c r="AN164" i="21" s="1"/>
  <c r="AV164" i="21" s="1"/>
  <c r="N165" i="21"/>
  <c r="V165" i="21" s="1"/>
  <c r="AD165" i="21" s="1"/>
  <c r="AL165" i="21" s="1"/>
  <c r="AT165" i="21" s="1"/>
  <c r="BB165" i="21" s="1"/>
  <c r="BJ165" i="21" s="1"/>
  <c r="O165" i="21"/>
  <c r="W165" i="21" s="1"/>
  <c r="AE165" i="21" s="1"/>
  <c r="AM165" i="21" s="1"/>
  <c r="AU165" i="21" s="1"/>
  <c r="BC165" i="21" s="1"/>
  <c r="BK165" i="21" s="1"/>
  <c r="P165" i="21"/>
  <c r="N166" i="21"/>
  <c r="V166" i="21" s="1"/>
  <c r="AD166" i="21" s="1"/>
  <c r="AL166" i="21" s="1"/>
  <c r="AT166" i="21" s="1"/>
  <c r="O166" i="21"/>
  <c r="W166" i="21" s="1"/>
  <c r="AE166" i="21" s="1"/>
  <c r="AM166" i="21" s="1"/>
  <c r="AU166" i="21" s="1"/>
  <c r="BC166" i="21" s="1"/>
  <c r="BK166" i="21" s="1"/>
  <c r="P166" i="21"/>
  <c r="X166" i="21" s="1"/>
  <c r="AF166" i="21" s="1"/>
  <c r="AN166" i="21" s="1"/>
  <c r="N167" i="21"/>
  <c r="V167" i="21" s="1"/>
  <c r="AD167" i="21" s="1"/>
  <c r="AL167" i="21" s="1"/>
  <c r="AT167" i="21" s="1"/>
  <c r="BB167" i="21" s="1"/>
  <c r="BJ167" i="21" s="1"/>
  <c r="O167" i="21"/>
  <c r="W167" i="21" s="1"/>
  <c r="AE167" i="21" s="1"/>
  <c r="AM167" i="21" s="1"/>
  <c r="AU167" i="21" s="1"/>
  <c r="BC167" i="21" s="1"/>
  <c r="BK167" i="21" s="1"/>
  <c r="P167" i="21"/>
  <c r="N168" i="21"/>
  <c r="V168" i="21" s="1"/>
  <c r="AD168" i="21" s="1"/>
  <c r="AL168" i="21" s="1"/>
  <c r="AT168" i="21" s="1"/>
  <c r="BB168" i="21" s="1"/>
  <c r="BJ168" i="21" s="1"/>
  <c r="O168" i="21"/>
  <c r="W168" i="21" s="1"/>
  <c r="AE168" i="21" s="1"/>
  <c r="AM168" i="21" s="1"/>
  <c r="AU168" i="21" s="1"/>
  <c r="BC168" i="21" s="1"/>
  <c r="BK168" i="21" s="1"/>
  <c r="P168" i="21"/>
  <c r="X168" i="21" s="1"/>
  <c r="AF168" i="21" s="1"/>
  <c r="AN168" i="21" s="1"/>
  <c r="AV168" i="21" s="1"/>
  <c r="N169" i="21"/>
  <c r="V169" i="21" s="1"/>
  <c r="AD169" i="21" s="1"/>
  <c r="AL169" i="21" s="1"/>
  <c r="AT169" i="21" s="1"/>
  <c r="O169" i="21"/>
  <c r="W169" i="21" s="1"/>
  <c r="AE169" i="21" s="1"/>
  <c r="AM169" i="21" s="1"/>
  <c r="AU169" i="21" s="1"/>
  <c r="BC169" i="21" s="1"/>
  <c r="BK169" i="21" s="1"/>
  <c r="P169" i="21"/>
  <c r="X169" i="21" s="1"/>
  <c r="AF169" i="21" s="1"/>
  <c r="N171" i="21"/>
  <c r="V171" i="21" s="1"/>
  <c r="AD171" i="21" s="1"/>
  <c r="AL171" i="21" s="1"/>
  <c r="AT171" i="21" s="1"/>
  <c r="BB171" i="21" s="1"/>
  <c r="BJ171" i="21" s="1"/>
  <c r="O171" i="21"/>
  <c r="W171" i="21" s="1"/>
  <c r="AE171" i="21" s="1"/>
  <c r="AM171" i="21" s="1"/>
  <c r="AU171" i="21" s="1"/>
  <c r="BC171" i="21" s="1"/>
  <c r="BK171" i="21" s="1"/>
  <c r="P171" i="21"/>
  <c r="N172" i="21"/>
  <c r="V172" i="21" s="1"/>
  <c r="AD172" i="21" s="1"/>
  <c r="AL172" i="21" s="1"/>
  <c r="AT172" i="21" s="1"/>
  <c r="BB172" i="21" s="1"/>
  <c r="BJ172" i="21" s="1"/>
  <c r="O172" i="21"/>
  <c r="W172" i="21" s="1"/>
  <c r="AE172" i="21" s="1"/>
  <c r="AM172" i="21" s="1"/>
  <c r="AU172" i="21" s="1"/>
  <c r="BC172" i="21" s="1"/>
  <c r="BK172" i="21" s="1"/>
  <c r="P172" i="21"/>
  <c r="X172" i="21" s="1"/>
  <c r="P173" i="21"/>
  <c r="N174" i="21"/>
  <c r="V174" i="21" s="1"/>
  <c r="AD174" i="21" s="1"/>
  <c r="AL174" i="21" s="1"/>
  <c r="AT174" i="21" s="1"/>
  <c r="BB174" i="21" s="1"/>
  <c r="BJ174" i="21" s="1"/>
  <c r="P174" i="21"/>
  <c r="X174" i="21" s="1"/>
  <c r="N175" i="21"/>
  <c r="V175" i="21" s="1"/>
  <c r="AD175" i="21" s="1"/>
  <c r="AL175" i="21" s="1"/>
  <c r="AT175" i="21" s="1"/>
  <c r="O175" i="21"/>
  <c r="W175" i="21" s="1"/>
  <c r="AE175" i="21" s="1"/>
  <c r="AM175" i="21" s="1"/>
  <c r="AU175" i="21" s="1"/>
  <c r="BC175" i="21" s="1"/>
  <c r="BK175" i="21" s="1"/>
  <c r="P175" i="21"/>
  <c r="N176" i="21"/>
  <c r="V176" i="21" s="1"/>
  <c r="AD176" i="21" s="1"/>
  <c r="O176" i="21"/>
  <c r="W176" i="21" s="1"/>
  <c r="AE176" i="21" s="1"/>
  <c r="AM176" i="21" s="1"/>
  <c r="AU176" i="21" s="1"/>
  <c r="BC176" i="21" s="1"/>
  <c r="BK176" i="21" s="1"/>
  <c r="P176" i="21"/>
  <c r="X176" i="21" s="1"/>
  <c r="AF176" i="21" s="1"/>
  <c r="AN176" i="21" s="1"/>
  <c r="AV176" i="21" s="1"/>
  <c r="N177" i="21"/>
  <c r="V177" i="21" s="1"/>
  <c r="AD177" i="21" s="1"/>
  <c r="AL177" i="21" s="1"/>
  <c r="AT177" i="21" s="1"/>
  <c r="BB177" i="21" s="1"/>
  <c r="BJ177" i="21" s="1"/>
  <c r="O177" i="21"/>
  <c r="W177" i="21" s="1"/>
  <c r="AE177" i="21" s="1"/>
  <c r="AM177" i="21" s="1"/>
  <c r="AU177" i="21" s="1"/>
  <c r="BC177" i="21" s="1"/>
  <c r="BK177" i="21" s="1"/>
  <c r="P177" i="21"/>
  <c r="N178" i="21"/>
  <c r="V178" i="21" s="1"/>
  <c r="AD178" i="21" s="1"/>
  <c r="AL178" i="21" s="1"/>
  <c r="AT178" i="21" s="1"/>
  <c r="O178" i="21"/>
  <c r="W178" i="21" s="1"/>
  <c r="AE178" i="21" s="1"/>
  <c r="AM178" i="21" s="1"/>
  <c r="AU178" i="21" s="1"/>
  <c r="BC178" i="21" s="1"/>
  <c r="BK178" i="21" s="1"/>
  <c r="P178" i="21"/>
  <c r="X178" i="21" s="1"/>
  <c r="AF178" i="21" s="1"/>
  <c r="AN178" i="21" s="1"/>
  <c r="AV178" i="21" s="1"/>
  <c r="BD178" i="21" s="1"/>
  <c r="BL178" i="21" s="1"/>
  <c r="N179" i="21"/>
  <c r="V179" i="21" s="1"/>
  <c r="AD179" i="21" s="1"/>
  <c r="AL179" i="21" s="1"/>
  <c r="AT179" i="21" s="1"/>
  <c r="BB179" i="21" s="1"/>
  <c r="BJ179" i="21" s="1"/>
  <c r="O179" i="21"/>
  <c r="W179" i="21" s="1"/>
  <c r="AE179" i="21" s="1"/>
  <c r="AM179" i="21" s="1"/>
  <c r="AU179" i="21" s="1"/>
  <c r="BC179" i="21" s="1"/>
  <c r="BK179" i="21" s="1"/>
  <c r="P179" i="21"/>
  <c r="N180" i="21"/>
  <c r="V180" i="21" s="1"/>
  <c r="AD180" i="21" s="1"/>
  <c r="AL180" i="21" s="1"/>
  <c r="AT180" i="21" s="1"/>
  <c r="BB180" i="21" s="1"/>
  <c r="BJ180" i="21" s="1"/>
  <c r="O180" i="21"/>
  <c r="W180" i="21" s="1"/>
  <c r="AE180" i="21" s="1"/>
  <c r="AM180" i="21" s="1"/>
  <c r="AU180" i="21" s="1"/>
  <c r="BC180" i="21" s="1"/>
  <c r="BK180" i="21" s="1"/>
  <c r="P180" i="21"/>
  <c r="X180" i="21" s="1"/>
  <c r="AF180" i="21" s="1"/>
  <c r="AN180" i="21" s="1"/>
  <c r="AV180" i="21" s="1"/>
  <c r="N182" i="21"/>
  <c r="V182" i="21" s="1"/>
  <c r="AD182" i="21" s="1"/>
  <c r="AL182" i="21" s="1"/>
  <c r="AT182" i="21" s="1"/>
  <c r="BB182" i="21" s="1"/>
  <c r="BJ182" i="21" s="1"/>
  <c r="O182" i="21"/>
  <c r="W182" i="21" s="1"/>
  <c r="AE182" i="21" s="1"/>
  <c r="AM182" i="21" s="1"/>
  <c r="AU182" i="21" s="1"/>
  <c r="BC182" i="21" s="1"/>
  <c r="BK182" i="21" s="1"/>
  <c r="P182" i="21"/>
  <c r="X182" i="21" s="1"/>
  <c r="AF182" i="21" s="1"/>
  <c r="AN182" i="21" s="1"/>
  <c r="AV182" i="21" s="1"/>
  <c r="N183" i="21"/>
  <c r="V183" i="21" s="1"/>
  <c r="AD183" i="21" s="1"/>
  <c r="AL183" i="21" s="1"/>
  <c r="AT183" i="21" s="1"/>
  <c r="BB183" i="21" s="1"/>
  <c r="BJ183" i="21" s="1"/>
  <c r="O183" i="21"/>
  <c r="W183" i="21" s="1"/>
  <c r="AE183" i="21" s="1"/>
  <c r="AM183" i="21" s="1"/>
  <c r="AU183" i="21" s="1"/>
  <c r="BC183" i="21" s="1"/>
  <c r="BK183" i="21" s="1"/>
  <c r="P183" i="21"/>
  <c r="N184" i="21"/>
  <c r="V184" i="21" s="1"/>
  <c r="AD184" i="21" s="1"/>
  <c r="AL184" i="21" s="1"/>
  <c r="AT184" i="21" s="1"/>
  <c r="BB184" i="21" s="1"/>
  <c r="BJ184" i="21" s="1"/>
  <c r="O184" i="21"/>
  <c r="W184" i="21" s="1"/>
  <c r="AE184" i="21" s="1"/>
  <c r="AM184" i="21" s="1"/>
  <c r="AU184" i="21" s="1"/>
  <c r="BC184" i="21" s="1"/>
  <c r="BK184" i="21" s="1"/>
  <c r="P184" i="21"/>
  <c r="X184" i="21" s="1"/>
  <c r="AF184" i="21" s="1"/>
  <c r="AN184" i="21" s="1"/>
  <c r="AV184" i="21" s="1"/>
  <c r="N185" i="21"/>
  <c r="V185" i="21" s="1"/>
  <c r="AD185" i="21" s="1"/>
  <c r="AL185" i="21" s="1"/>
  <c r="AT185" i="21" s="1"/>
  <c r="BB185" i="21" s="1"/>
  <c r="BJ185" i="21" s="1"/>
  <c r="O185" i="21"/>
  <c r="W185" i="21" s="1"/>
  <c r="AE185" i="21" s="1"/>
  <c r="AM185" i="21" s="1"/>
  <c r="AU185" i="21" s="1"/>
  <c r="BC185" i="21" s="1"/>
  <c r="BK185" i="21" s="1"/>
  <c r="P185" i="21"/>
  <c r="N186" i="21"/>
  <c r="V186" i="21" s="1"/>
  <c r="AD186" i="21" s="1"/>
  <c r="AL186" i="21" s="1"/>
  <c r="AT186" i="21" s="1"/>
  <c r="O186" i="21"/>
  <c r="W186" i="21" s="1"/>
  <c r="AE186" i="21" s="1"/>
  <c r="AM186" i="21" s="1"/>
  <c r="AU186" i="21" s="1"/>
  <c r="BC186" i="21" s="1"/>
  <c r="BK186" i="21" s="1"/>
  <c r="P186" i="21"/>
  <c r="X186" i="21" s="1"/>
  <c r="AF186" i="21" s="1"/>
  <c r="AN186" i="21" s="1"/>
  <c r="AV186" i="21" s="1"/>
  <c r="BD186" i="21" s="1"/>
  <c r="BL186" i="21" s="1"/>
  <c r="N187" i="21"/>
  <c r="V187" i="21" s="1"/>
  <c r="AD187" i="21" s="1"/>
  <c r="AL187" i="21" s="1"/>
  <c r="AT187" i="21" s="1"/>
  <c r="BB187" i="21" s="1"/>
  <c r="BJ187" i="21" s="1"/>
  <c r="O187" i="21"/>
  <c r="W187" i="21" s="1"/>
  <c r="AE187" i="21" s="1"/>
  <c r="AM187" i="21" s="1"/>
  <c r="AU187" i="21" s="1"/>
  <c r="BC187" i="21" s="1"/>
  <c r="BK187" i="21" s="1"/>
  <c r="P187" i="21"/>
  <c r="N188" i="21"/>
  <c r="V188" i="21" s="1"/>
  <c r="AD188" i="21" s="1"/>
  <c r="AL188" i="21" s="1"/>
  <c r="AT188" i="21" s="1"/>
  <c r="BB188" i="21" s="1"/>
  <c r="BJ188" i="21" s="1"/>
  <c r="O188" i="21"/>
  <c r="W188" i="21" s="1"/>
  <c r="AE188" i="21" s="1"/>
  <c r="AM188" i="21" s="1"/>
  <c r="AU188" i="21" s="1"/>
  <c r="BC188" i="21" s="1"/>
  <c r="BK188" i="21" s="1"/>
  <c r="P188" i="21"/>
  <c r="X188" i="21" s="1"/>
  <c r="AF188" i="21" s="1"/>
  <c r="AN188" i="21" s="1"/>
  <c r="N189" i="21"/>
  <c r="V189" i="21" s="1"/>
  <c r="AD189" i="21" s="1"/>
  <c r="AL189" i="21" s="1"/>
  <c r="AT189" i="21" s="1"/>
  <c r="O189" i="21"/>
  <c r="W189" i="21" s="1"/>
  <c r="AE189" i="21" s="1"/>
  <c r="AM189" i="21" s="1"/>
  <c r="AU189" i="21" s="1"/>
  <c r="BC189" i="21" s="1"/>
  <c r="BK189" i="21" s="1"/>
  <c r="P189" i="21"/>
  <c r="N191" i="21"/>
  <c r="V191" i="21" s="1"/>
  <c r="AD191" i="21" s="1"/>
  <c r="AL191" i="21" s="1"/>
  <c r="AT191" i="21" s="1"/>
  <c r="BB191" i="21" s="1"/>
  <c r="BJ191" i="21" s="1"/>
  <c r="O191" i="21"/>
  <c r="W191" i="21" s="1"/>
  <c r="AE191" i="21" s="1"/>
  <c r="AM191" i="21" s="1"/>
  <c r="AU191" i="21" s="1"/>
  <c r="BC191" i="21" s="1"/>
  <c r="BK191" i="21" s="1"/>
  <c r="P191" i="21"/>
  <c r="N192" i="21"/>
  <c r="V192" i="21" s="1"/>
  <c r="O192" i="21"/>
  <c r="W192" i="21" s="1"/>
  <c r="AE192" i="21" s="1"/>
  <c r="AM192" i="21" s="1"/>
  <c r="AU192" i="21" s="1"/>
  <c r="BC192" i="21" s="1"/>
  <c r="BK192" i="21" s="1"/>
  <c r="P192" i="21"/>
  <c r="X192" i="21" s="1"/>
  <c r="AF192" i="21" s="1"/>
  <c r="AN192" i="21" s="1"/>
  <c r="AV192" i="21" s="1"/>
  <c r="N193" i="21"/>
  <c r="V193" i="21" s="1"/>
  <c r="AD193" i="21" s="1"/>
  <c r="AL193" i="21" s="1"/>
  <c r="AT193" i="21" s="1"/>
  <c r="BB193" i="21" s="1"/>
  <c r="BJ193" i="21" s="1"/>
  <c r="O193" i="21"/>
  <c r="W193" i="21" s="1"/>
  <c r="AE193" i="21" s="1"/>
  <c r="AM193" i="21" s="1"/>
  <c r="AU193" i="21" s="1"/>
  <c r="BC193" i="21" s="1"/>
  <c r="BK193" i="21" s="1"/>
  <c r="P193" i="21"/>
  <c r="N194" i="21"/>
  <c r="V194" i="21" s="1"/>
  <c r="AD194" i="21" s="1"/>
  <c r="AL194" i="21" s="1"/>
  <c r="AT194" i="21" s="1"/>
  <c r="BB194" i="21" s="1"/>
  <c r="BJ194" i="21" s="1"/>
  <c r="O194" i="21"/>
  <c r="W194" i="21" s="1"/>
  <c r="AE194" i="21" s="1"/>
  <c r="AM194" i="21" s="1"/>
  <c r="AU194" i="21" s="1"/>
  <c r="BC194" i="21" s="1"/>
  <c r="BK194" i="21" s="1"/>
  <c r="P194" i="21"/>
  <c r="X194" i="21" s="1"/>
  <c r="AF194" i="21" s="1"/>
  <c r="AN194" i="21" s="1"/>
  <c r="N195" i="21"/>
  <c r="V195" i="21" s="1"/>
  <c r="AD195" i="21" s="1"/>
  <c r="AL195" i="21" s="1"/>
  <c r="AT195" i="21" s="1"/>
  <c r="O195" i="21"/>
  <c r="W195" i="21" s="1"/>
  <c r="AE195" i="21" s="1"/>
  <c r="AM195" i="21" s="1"/>
  <c r="AU195" i="21" s="1"/>
  <c r="BC195" i="21" s="1"/>
  <c r="BK195" i="21" s="1"/>
  <c r="P195" i="21"/>
  <c r="N196" i="21"/>
  <c r="V196" i="21" s="1"/>
  <c r="AD196" i="21" s="1"/>
  <c r="AL196" i="21" s="1"/>
  <c r="AT196" i="21" s="1"/>
  <c r="BB196" i="21" s="1"/>
  <c r="BJ196" i="21" s="1"/>
  <c r="O196" i="21"/>
  <c r="W196" i="21" s="1"/>
  <c r="AE196" i="21" s="1"/>
  <c r="AM196" i="21" s="1"/>
  <c r="AU196" i="21" s="1"/>
  <c r="BC196" i="21" s="1"/>
  <c r="BK196" i="21" s="1"/>
  <c r="P196" i="21"/>
  <c r="X196" i="21" s="1"/>
  <c r="AF196" i="21" s="1"/>
  <c r="AN196" i="21" s="1"/>
  <c r="AV196" i="21" s="1"/>
  <c r="N197" i="21"/>
  <c r="V197" i="21" s="1"/>
  <c r="AD197" i="21" s="1"/>
  <c r="AL197" i="21" s="1"/>
  <c r="AT197" i="21" s="1"/>
  <c r="BB197" i="21" s="1"/>
  <c r="BJ197" i="21" s="1"/>
  <c r="O197" i="21"/>
  <c r="W197" i="21" s="1"/>
  <c r="AE197" i="21" s="1"/>
  <c r="AM197" i="21" s="1"/>
  <c r="AU197" i="21" s="1"/>
  <c r="BC197" i="21" s="1"/>
  <c r="BK197" i="21" s="1"/>
  <c r="P197" i="21"/>
  <c r="N198" i="21"/>
  <c r="V198" i="21" s="1"/>
  <c r="AD198" i="21" s="1"/>
  <c r="AL198" i="21" s="1"/>
  <c r="AT198" i="21" s="1"/>
  <c r="O198" i="21"/>
  <c r="W198" i="21" s="1"/>
  <c r="AE198" i="21" s="1"/>
  <c r="AM198" i="21" s="1"/>
  <c r="AU198" i="21" s="1"/>
  <c r="BC198" i="21" s="1"/>
  <c r="BK198" i="21" s="1"/>
  <c r="P198" i="21"/>
  <c r="X198" i="21" s="1"/>
  <c r="AF198" i="21" s="1"/>
  <c r="AN198" i="21" s="1"/>
  <c r="AV198" i="21" s="1"/>
  <c r="BD198" i="21" s="1"/>
  <c r="BL198" i="21" s="1"/>
  <c r="N199" i="21"/>
  <c r="V199" i="21" s="1"/>
  <c r="AD199" i="21" s="1"/>
  <c r="AL199" i="21" s="1"/>
  <c r="AT199" i="21" s="1"/>
  <c r="BB199" i="21" s="1"/>
  <c r="BJ199" i="21" s="1"/>
  <c r="O199" i="21"/>
  <c r="W199" i="21" s="1"/>
  <c r="AE199" i="21" s="1"/>
  <c r="AM199" i="21" s="1"/>
  <c r="AU199" i="21" s="1"/>
  <c r="BC199" i="21" s="1"/>
  <c r="BK199" i="21" s="1"/>
  <c r="P199" i="21"/>
  <c r="N200" i="21"/>
  <c r="V200" i="21" s="1"/>
  <c r="AD200" i="21" s="1"/>
  <c r="AL200" i="21" s="1"/>
  <c r="AT200" i="21" s="1"/>
  <c r="BB200" i="21" s="1"/>
  <c r="BJ200" i="21" s="1"/>
  <c r="O200" i="21"/>
  <c r="W200" i="21" s="1"/>
  <c r="AE200" i="21" s="1"/>
  <c r="AM200" i="21" s="1"/>
  <c r="AU200" i="21" s="1"/>
  <c r="BC200" i="21" s="1"/>
  <c r="BK200" i="21" s="1"/>
  <c r="P200" i="21"/>
  <c r="X200" i="21" s="1"/>
  <c r="AF200" i="21" s="1"/>
  <c r="AN200" i="21" s="1"/>
  <c r="AV200" i="21" s="1"/>
  <c r="N201" i="21"/>
  <c r="V201" i="21" s="1"/>
  <c r="AD201" i="21" s="1"/>
  <c r="AL201" i="21" s="1"/>
  <c r="AT201" i="21" s="1"/>
  <c r="BB201" i="21" s="1"/>
  <c r="BJ201" i="21" s="1"/>
  <c r="O201" i="21"/>
  <c r="W201" i="21" s="1"/>
  <c r="AE201" i="21" s="1"/>
  <c r="AM201" i="21" s="1"/>
  <c r="AU201" i="21" s="1"/>
  <c r="BC201" i="21" s="1"/>
  <c r="BK201" i="21" s="1"/>
  <c r="P201" i="21"/>
  <c r="N202" i="21"/>
  <c r="V202" i="21" s="1"/>
  <c r="AD202" i="21" s="1"/>
  <c r="AL202" i="21" s="1"/>
  <c r="AT202" i="21" s="1"/>
  <c r="BB202" i="21" s="1"/>
  <c r="BJ202" i="21" s="1"/>
  <c r="O202" i="21"/>
  <c r="W202" i="21" s="1"/>
  <c r="AE202" i="21" s="1"/>
  <c r="AM202" i="21" s="1"/>
  <c r="AU202" i="21" s="1"/>
  <c r="BC202" i="21" s="1"/>
  <c r="BK202" i="21" s="1"/>
  <c r="P202" i="21"/>
  <c r="X202" i="21" s="1"/>
  <c r="AF202" i="21" s="1"/>
  <c r="AN202" i="21" s="1"/>
  <c r="N203" i="21"/>
  <c r="V203" i="21" s="1"/>
  <c r="AD203" i="21" s="1"/>
  <c r="AL203" i="21" s="1"/>
  <c r="AT203" i="21" s="1"/>
  <c r="O203" i="21"/>
  <c r="W203" i="21" s="1"/>
  <c r="AE203" i="21" s="1"/>
  <c r="AM203" i="21" s="1"/>
  <c r="AU203" i="21" s="1"/>
  <c r="BC203" i="21" s="1"/>
  <c r="BK203" i="21" s="1"/>
  <c r="P203" i="21"/>
  <c r="N204" i="21"/>
  <c r="V204" i="21" s="1"/>
  <c r="AD204" i="21" s="1"/>
  <c r="AL204" i="21" s="1"/>
  <c r="AT204" i="21" s="1"/>
  <c r="BB204" i="21" s="1"/>
  <c r="BJ204" i="21" s="1"/>
  <c r="O204" i="21"/>
  <c r="W204" i="21" s="1"/>
  <c r="AE204" i="21" s="1"/>
  <c r="AM204" i="21" s="1"/>
  <c r="AU204" i="21" s="1"/>
  <c r="BC204" i="21" s="1"/>
  <c r="BK204" i="21" s="1"/>
  <c r="P204" i="21"/>
  <c r="X204" i="21" s="1"/>
  <c r="AF204" i="21" s="1"/>
  <c r="AN204" i="21" s="1"/>
  <c r="AV204" i="21" s="1"/>
  <c r="N205" i="21"/>
  <c r="V205" i="21" s="1"/>
  <c r="AD205" i="21" s="1"/>
  <c r="AL205" i="21" s="1"/>
  <c r="AT205" i="21" s="1"/>
  <c r="BB205" i="21" s="1"/>
  <c r="BJ205" i="21" s="1"/>
  <c r="O205" i="21"/>
  <c r="W205" i="21" s="1"/>
  <c r="AE205" i="21" s="1"/>
  <c r="AM205" i="21" s="1"/>
  <c r="AU205" i="21" s="1"/>
  <c r="BC205" i="21" s="1"/>
  <c r="BK205" i="21" s="1"/>
  <c r="P205" i="21"/>
  <c r="N207" i="21"/>
  <c r="V207" i="21" s="1"/>
  <c r="AD207" i="21" s="1"/>
  <c r="AL207" i="21" s="1"/>
  <c r="AT207" i="21" s="1"/>
  <c r="O207" i="21"/>
  <c r="W207" i="21" s="1"/>
  <c r="AE207" i="21" s="1"/>
  <c r="AM207" i="21" s="1"/>
  <c r="AU207" i="21" s="1"/>
  <c r="BC207" i="21" s="1"/>
  <c r="BK207" i="21" s="1"/>
  <c r="P207" i="21"/>
  <c r="N208" i="21"/>
  <c r="V208" i="21" s="1"/>
  <c r="AD208" i="21" s="1"/>
  <c r="AL208" i="21" s="1"/>
  <c r="AT208" i="21" s="1"/>
  <c r="BB208" i="21" s="1"/>
  <c r="BJ208" i="21" s="1"/>
  <c r="O208" i="21"/>
  <c r="W208" i="21" s="1"/>
  <c r="AE208" i="21" s="1"/>
  <c r="AM208" i="21" s="1"/>
  <c r="AU208" i="21" s="1"/>
  <c r="BC208" i="21" s="1"/>
  <c r="BK208" i="21" s="1"/>
  <c r="P208" i="21"/>
  <c r="X208" i="21" s="1"/>
  <c r="AF208" i="21" s="1"/>
  <c r="AN208" i="21" s="1"/>
  <c r="AV208" i="21" s="1"/>
  <c r="P209" i="21"/>
  <c r="N210" i="21"/>
  <c r="V210" i="21" s="1"/>
  <c r="AD210" i="21" s="1"/>
  <c r="AL210" i="21" s="1"/>
  <c r="AT210" i="21" s="1"/>
  <c r="BB210" i="21" s="1"/>
  <c r="BJ210" i="21" s="1"/>
  <c r="O210" i="21"/>
  <c r="W210" i="21" s="1"/>
  <c r="AE210" i="21" s="1"/>
  <c r="AM210" i="21" s="1"/>
  <c r="AU210" i="21" s="1"/>
  <c r="BC210" i="21" s="1"/>
  <c r="BK210" i="21" s="1"/>
  <c r="P210" i="21"/>
  <c r="X210" i="21" s="1"/>
  <c r="AF210" i="21" s="1"/>
  <c r="AN210" i="21" s="1"/>
  <c r="AV210" i="21" s="1"/>
  <c r="N211" i="21"/>
  <c r="V211" i="21" s="1"/>
  <c r="AD211" i="21" s="1"/>
  <c r="AL211" i="21" s="1"/>
  <c r="AT211" i="21" s="1"/>
  <c r="BB211" i="21" s="1"/>
  <c r="BJ211" i="21" s="1"/>
  <c r="O211" i="21"/>
  <c r="W211" i="21" s="1"/>
  <c r="AE211" i="21" s="1"/>
  <c r="AM211" i="21" s="1"/>
  <c r="AU211" i="21" s="1"/>
  <c r="BC211" i="21" s="1"/>
  <c r="BK211" i="21" s="1"/>
  <c r="P211" i="21"/>
  <c r="N212" i="21"/>
  <c r="O212" i="21"/>
  <c r="W212" i="21" s="1"/>
  <c r="AE212" i="21" s="1"/>
  <c r="AM212" i="21" s="1"/>
  <c r="AU212" i="21" s="1"/>
  <c r="BC212" i="21" s="1"/>
  <c r="BK212" i="21" s="1"/>
  <c r="P212" i="21"/>
  <c r="X212" i="21" s="1"/>
  <c r="AF212" i="21" s="1"/>
  <c r="AN212" i="21" s="1"/>
  <c r="AV212" i="21" s="1"/>
  <c r="N213" i="21"/>
  <c r="V213" i="21" s="1"/>
  <c r="AD213" i="21" s="1"/>
  <c r="AL213" i="21" s="1"/>
  <c r="AT213" i="21" s="1"/>
  <c r="BB213" i="21" s="1"/>
  <c r="BJ213" i="21" s="1"/>
  <c r="O213" i="21"/>
  <c r="W213" i="21" s="1"/>
  <c r="AE213" i="21" s="1"/>
  <c r="AM213" i="21" s="1"/>
  <c r="AU213" i="21" s="1"/>
  <c r="BC213" i="21" s="1"/>
  <c r="BK213" i="21" s="1"/>
  <c r="P213" i="21"/>
  <c r="N214" i="21"/>
  <c r="V214" i="21" s="1"/>
  <c r="AD214" i="21" s="1"/>
  <c r="AL214" i="21" s="1"/>
  <c r="AT214" i="21" s="1"/>
  <c r="BB214" i="21" s="1"/>
  <c r="BJ214" i="21" s="1"/>
  <c r="O214" i="21"/>
  <c r="W214" i="21" s="1"/>
  <c r="AE214" i="21" s="1"/>
  <c r="AM214" i="21" s="1"/>
  <c r="AU214" i="21" s="1"/>
  <c r="BC214" i="21" s="1"/>
  <c r="BK214" i="21" s="1"/>
  <c r="P214" i="21"/>
  <c r="X214" i="21" s="1"/>
  <c r="AF214" i="21" s="1"/>
  <c r="AN214" i="21" s="1"/>
  <c r="AV214" i="21" s="1"/>
  <c r="N215" i="21"/>
  <c r="V215" i="21" s="1"/>
  <c r="AD215" i="21" s="1"/>
  <c r="AL215" i="21" s="1"/>
  <c r="AT215" i="21" s="1"/>
  <c r="O215" i="21"/>
  <c r="W215" i="21" s="1"/>
  <c r="AE215" i="21" s="1"/>
  <c r="AM215" i="21" s="1"/>
  <c r="AU215" i="21" s="1"/>
  <c r="BC215" i="21" s="1"/>
  <c r="BK215" i="21" s="1"/>
  <c r="P215" i="21"/>
  <c r="N218" i="21"/>
  <c r="V218" i="21" s="1"/>
  <c r="AD218" i="21" s="1"/>
  <c r="AL218" i="21" s="1"/>
  <c r="AT218" i="21" s="1"/>
  <c r="O218" i="21"/>
  <c r="W218" i="21" s="1"/>
  <c r="AE218" i="21" s="1"/>
  <c r="AM218" i="21" s="1"/>
  <c r="AU218" i="21" s="1"/>
  <c r="BC218" i="21" s="1"/>
  <c r="BK218" i="21" s="1"/>
  <c r="P218" i="21"/>
  <c r="N219" i="21"/>
  <c r="V219" i="21" s="1"/>
  <c r="AD219" i="21" s="1"/>
  <c r="AL219" i="21" s="1"/>
  <c r="AT219" i="21" s="1"/>
  <c r="BB219" i="21" s="1"/>
  <c r="BJ219" i="21" s="1"/>
  <c r="O219" i="21"/>
  <c r="W219" i="21" s="1"/>
  <c r="AE219" i="21" s="1"/>
  <c r="AM219" i="21" s="1"/>
  <c r="AU219" i="21" s="1"/>
  <c r="BC219" i="21" s="1"/>
  <c r="BK219" i="21" s="1"/>
  <c r="P219" i="21"/>
  <c r="O220" i="21"/>
  <c r="W220" i="21" s="1"/>
  <c r="AE220" i="21" s="1"/>
  <c r="AM220" i="21" s="1"/>
  <c r="AU220" i="21" s="1"/>
  <c r="BC220" i="21" s="1"/>
  <c r="BK220" i="21" s="1"/>
  <c r="P220" i="21"/>
  <c r="N221" i="21"/>
  <c r="V221" i="21" s="1"/>
  <c r="AD221" i="21" s="1"/>
  <c r="AL221" i="21" s="1"/>
  <c r="AT221" i="21" s="1"/>
  <c r="BB221" i="21" s="1"/>
  <c r="BJ221" i="21" s="1"/>
  <c r="P221" i="21"/>
  <c r="N222" i="21"/>
  <c r="V222" i="21" s="1"/>
  <c r="AD222" i="21" s="1"/>
  <c r="AL222" i="21" s="1"/>
  <c r="AT222" i="21" s="1"/>
  <c r="BB222" i="21" s="1"/>
  <c r="BJ222" i="21" s="1"/>
  <c r="O222" i="21"/>
  <c r="W222" i="21" s="1"/>
  <c r="AE222" i="21" s="1"/>
  <c r="AM222" i="21" s="1"/>
  <c r="AU222" i="21" s="1"/>
  <c r="BC222" i="21" s="1"/>
  <c r="BK222" i="21" s="1"/>
  <c r="P222" i="21"/>
  <c r="N223" i="21"/>
  <c r="V223" i="21" s="1"/>
  <c r="AD223" i="21" s="1"/>
  <c r="AL223" i="21" s="1"/>
  <c r="AT223" i="21" s="1"/>
  <c r="O223" i="21"/>
  <c r="W223" i="21" s="1"/>
  <c r="AE223" i="21" s="1"/>
  <c r="AM223" i="21" s="1"/>
  <c r="AU223" i="21" s="1"/>
  <c r="BC223" i="21" s="1"/>
  <c r="BK223" i="21" s="1"/>
  <c r="P223" i="21"/>
  <c r="N224" i="21"/>
  <c r="V224" i="21" s="1"/>
  <c r="AD224" i="21" s="1"/>
  <c r="AL224" i="21" s="1"/>
  <c r="AT224" i="21" s="1"/>
  <c r="BB224" i="21" s="1"/>
  <c r="BJ224" i="21" s="1"/>
  <c r="O224" i="21"/>
  <c r="W224" i="21" s="1"/>
  <c r="AE224" i="21" s="1"/>
  <c r="AM224" i="21" s="1"/>
  <c r="AU224" i="21" s="1"/>
  <c r="BC224" i="21" s="1"/>
  <c r="BK224" i="21" s="1"/>
  <c r="P224" i="21"/>
  <c r="N225" i="21"/>
  <c r="V225" i="21" s="1"/>
  <c r="AD225" i="21" s="1"/>
  <c r="AL225" i="21" s="1"/>
  <c r="AT225" i="21" s="1"/>
  <c r="BB225" i="21" s="1"/>
  <c r="BJ225" i="21" s="1"/>
  <c r="O225" i="21"/>
  <c r="W225" i="21" s="1"/>
  <c r="AE225" i="21" s="1"/>
  <c r="AM225" i="21" s="1"/>
  <c r="AU225" i="21" s="1"/>
  <c r="BC225" i="21" s="1"/>
  <c r="BK225" i="21" s="1"/>
  <c r="P225" i="21"/>
  <c r="N226" i="21"/>
  <c r="V226" i="21" s="1"/>
  <c r="AD226" i="21" s="1"/>
  <c r="AL226" i="21" s="1"/>
  <c r="AT226" i="21" s="1"/>
  <c r="BB226" i="21" s="1"/>
  <c r="BJ226" i="21" s="1"/>
  <c r="O226" i="21"/>
  <c r="W226" i="21" s="1"/>
  <c r="AE226" i="21" s="1"/>
  <c r="AM226" i="21" s="1"/>
  <c r="AU226" i="21" s="1"/>
  <c r="BC226" i="21" s="1"/>
  <c r="BK226" i="21" s="1"/>
  <c r="P226" i="21"/>
  <c r="N228" i="21"/>
  <c r="V228" i="21" s="1"/>
  <c r="AD228" i="21" s="1"/>
  <c r="AL228" i="21" s="1"/>
  <c r="AT228" i="21" s="1"/>
  <c r="BB228" i="21" s="1"/>
  <c r="BJ228" i="21" s="1"/>
  <c r="O228" i="21"/>
  <c r="W228" i="21" s="1"/>
  <c r="AE228" i="21" s="1"/>
  <c r="AM228" i="21" s="1"/>
  <c r="AU228" i="21" s="1"/>
  <c r="BC228" i="21" s="1"/>
  <c r="BK228" i="21" s="1"/>
  <c r="P228" i="21"/>
  <c r="N229" i="21"/>
  <c r="V229" i="21" s="1"/>
  <c r="AD229" i="21" s="1"/>
  <c r="AL229" i="21" s="1"/>
  <c r="AT229" i="21" s="1"/>
  <c r="O229" i="21"/>
  <c r="W229" i="21" s="1"/>
  <c r="AE229" i="21" s="1"/>
  <c r="AM229" i="21" s="1"/>
  <c r="AU229" i="21" s="1"/>
  <c r="BC229" i="21" s="1"/>
  <c r="BK229" i="21" s="1"/>
  <c r="P229" i="21"/>
  <c r="N230" i="21"/>
  <c r="V230" i="21" s="1"/>
  <c r="AD230" i="21" s="1"/>
  <c r="AL230" i="21" s="1"/>
  <c r="AT230" i="21" s="1"/>
  <c r="BB230" i="21" s="1"/>
  <c r="BJ230" i="21" s="1"/>
  <c r="O230" i="21"/>
  <c r="W230" i="21" s="1"/>
  <c r="AE230" i="21" s="1"/>
  <c r="AM230" i="21" s="1"/>
  <c r="AU230" i="21" s="1"/>
  <c r="BC230" i="21" s="1"/>
  <c r="BK230" i="21" s="1"/>
  <c r="P230" i="21"/>
  <c r="N231" i="21"/>
  <c r="V231" i="21" s="1"/>
  <c r="AD231" i="21" s="1"/>
  <c r="AL231" i="21" s="1"/>
  <c r="AT231" i="21" s="1"/>
  <c r="BB231" i="21" s="1"/>
  <c r="BJ231" i="21" s="1"/>
  <c r="O231" i="21"/>
  <c r="W231" i="21" s="1"/>
  <c r="AE231" i="21" s="1"/>
  <c r="AM231" i="21" s="1"/>
  <c r="AU231" i="21" s="1"/>
  <c r="BC231" i="21" s="1"/>
  <c r="BK231" i="21" s="1"/>
  <c r="P231" i="21"/>
  <c r="N232" i="21"/>
  <c r="V232" i="21" s="1"/>
  <c r="AD232" i="21" s="1"/>
  <c r="AL232" i="21" s="1"/>
  <c r="AT232" i="21" s="1"/>
  <c r="O232" i="21"/>
  <c r="W232" i="21" s="1"/>
  <c r="AE232" i="21" s="1"/>
  <c r="AM232" i="21" s="1"/>
  <c r="AU232" i="21" s="1"/>
  <c r="P232" i="21"/>
  <c r="N233" i="21"/>
  <c r="V233" i="21" s="1"/>
  <c r="AD233" i="21" s="1"/>
  <c r="AL233" i="21" s="1"/>
  <c r="AT233" i="21" s="1"/>
  <c r="BB233" i="21" s="1"/>
  <c r="BJ233" i="21" s="1"/>
  <c r="O233" i="21"/>
  <c r="W233" i="21" s="1"/>
  <c r="AE233" i="21" s="1"/>
  <c r="AM233" i="21" s="1"/>
  <c r="AU233" i="21" s="1"/>
  <c r="BC233" i="21" s="1"/>
  <c r="BK233" i="21" s="1"/>
  <c r="P233" i="21"/>
  <c r="N234" i="21"/>
  <c r="V234" i="21" s="1"/>
  <c r="AD234" i="21" s="1"/>
  <c r="AL234" i="21" s="1"/>
  <c r="AT234" i="21" s="1"/>
  <c r="BB234" i="21" s="1"/>
  <c r="BJ234" i="21" s="1"/>
  <c r="O234" i="21"/>
  <c r="W234" i="21" s="1"/>
  <c r="AE234" i="21" s="1"/>
  <c r="AM234" i="21" s="1"/>
  <c r="AU234" i="21" s="1"/>
  <c r="BC234" i="21" s="1"/>
  <c r="BK234" i="21" s="1"/>
  <c r="P234" i="21"/>
  <c r="N235" i="21"/>
  <c r="V235" i="21" s="1"/>
  <c r="AD235" i="21" s="1"/>
  <c r="AL235" i="21" s="1"/>
  <c r="AT235" i="21" s="1"/>
  <c r="BB235" i="21" s="1"/>
  <c r="BJ235" i="21" s="1"/>
  <c r="O235" i="21"/>
  <c r="W235" i="21" s="1"/>
  <c r="AE235" i="21" s="1"/>
  <c r="AM235" i="21" s="1"/>
  <c r="AU235" i="21" s="1"/>
  <c r="BC235" i="21" s="1"/>
  <c r="BK235" i="21" s="1"/>
  <c r="P235" i="21"/>
  <c r="N236" i="21"/>
  <c r="V236" i="21" s="1"/>
  <c r="AD236" i="21" s="1"/>
  <c r="AL236" i="21" s="1"/>
  <c r="AT236" i="21" s="1"/>
  <c r="BB236" i="21" s="1"/>
  <c r="BJ236" i="21" s="1"/>
  <c r="O236" i="21"/>
  <c r="W236" i="21" s="1"/>
  <c r="AE236" i="21" s="1"/>
  <c r="AM236" i="21" s="1"/>
  <c r="AU236" i="21" s="1"/>
  <c r="BC236" i="21" s="1"/>
  <c r="BK236" i="21" s="1"/>
  <c r="P236" i="21"/>
  <c r="N237" i="21"/>
  <c r="V237" i="21" s="1"/>
  <c r="AD237" i="21" s="1"/>
  <c r="AL237" i="21" s="1"/>
  <c r="AT237" i="21" s="1"/>
  <c r="O237" i="21"/>
  <c r="W237" i="21" s="1"/>
  <c r="AE237" i="21" s="1"/>
  <c r="AM237" i="21" s="1"/>
  <c r="AU237" i="21" s="1"/>
  <c r="BC237" i="21" s="1"/>
  <c r="BK237" i="21" s="1"/>
  <c r="P237" i="21"/>
  <c r="P238" i="21"/>
  <c r="N239" i="21"/>
  <c r="V239" i="21" s="1"/>
  <c r="AD239" i="21" s="1"/>
  <c r="AL239" i="21" s="1"/>
  <c r="AT239" i="21" s="1"/>
  <c r="BB239" i="21" s="1"/>
  <c r="BJ239" i="21" s="1"/>
  <c r="O239" i="21"/>
  <c r="W239" i="21" s="1"/>
  <c r="AE239" i="21" s="1"/>
  <c r="AM239" i="21" s="1"/>
  <c r="AU239" i="21" s="1"/>
  <c r="BC239" i="21" s="1"/>
  <c r="BK239" i="21" s="1"/>
  <c r="P239" i="21"/>
  <c r="P240" i="21"/>
  <c r="N242" i="21"/>
  <c r="V242" i="21" s="1"/>
  <c r="AD242" i="21" s="1"/>
  <c r="AL242" i="21" s="1"/>
  <c r="AT242" i="21" s="1"/>
  <c r="BB242" i="21" s="1"/>
  <c r="BJ242" i="21" s="1"/>
  <c r="O242" i="21"/>
  <c r="W242" i="21" s="1"/>
  <c r="AE242" i="21" s="1"/>
  <c r="AM242" i="21" s="1"/>
  <c r="AU242" i="21" s="1"/>
  <c r="BC242" i="21" s="1"/>
  <c r="BK242" i="21" s="1"/>
  <c r="P242" i="21"/>
  <c r="N243" i="21"/>
  <c r="V243" i="21" s="1"/>
  <c r="AD243" i="21" s="1"/>
  <c r="AL243" i="21" s="1"/>
  <c r="AT243" i="21" s="1"/>
  <c r="BB243" i="21" s="1"/>
  <c r="BJ243" i="21" s="1"/>
  <c r="O243" i="21"/>
  <c r="W243" i="21" s="1"/>
  <c r="AE243" i="21" s="1"/>
  <c r="AM243" i="21" s="1"/>
  <c r="AU243" i="21" s="1"/>
  <c r="BC243" i="21" s="1"/>
  <c r="BK243" i="21" s="1"/>
  <c r="P243" i="21"/>
  <c r="N244" i="21"/>
  <c r="V244" i="21" s="1"/>
  <c r="AD244" i="21" s="1"/>
  <c r="AL244" i="21" s="1"/>
  <c r="AT244" i="21" s="1"/>
  <c r="BB244" i="21" s="1"/>
  <c r="BJ244" i="21" s="1"/>
  <c r="O244" i="21"/>
  <c r="W244" i="21" s="1"/>
  <c r="AE244" i="21" s="1"/>
  <c r="AM244" i="21" s="1"/>
  <c r="AU244" i="21" s="1"/>
  <c r="BC244" i="21" s="1"/>
  <c r="BK244" i="21" s="1"/>
  <c r="P244" i="21"/>
  <c r="N245" i="21"/>
  <c r="V245" i="21" s="1"/>
  <c r="AD245" i="21" s="1"/>
  <c r="AL245" i="21" s="1"/>
  <c r="AT245" i="21" s="1"/>
  <c r="BB245" i="21" s="1"/>
  <c r="BJ245" i="21" s="1"/>
  <c r="O245" i="21"/>
  <c r="W245" i="21" s="1"/>
  <c r="AE245" i="21" s="1"/>
  <c r="AM245" i="21" s="1"/>
  <c r="AU245" i="21" s="1"/>
  <c r="BC245" i="21" s="1"/>
  <c r="BK245" i="21" s="1"/>
  <c r="P245" i="21"/>
  <c r="N246" i="21"/>
  <c r="V246" i="21" s="1"/>
  <c r="AD246" i="21" s="1"/>
  <c r="AL246" i="21" s="1"/>
  <c r="AT246" i="21" s="1"/>
  <c r="O246" i="21"/>
  <c r="W246" i="21" s="1"/>
  <c r="AE246" i="21" s="1"/>
  <c r="AM246" i="21" s="1"/>
  <c r="AU246" i="21" s="1"/>
  <c r="P246" i="21"/>
  <c r="N247" i="21"/>
  <c r="V247" i="21" s="1"/>
  <c r="AD247" i="21" s="1"/>
  <c r="AL247" i="21" s="1"/>
  <c r="AT247" i="21" s="1"/>
  <c r="BB247" i="21" s="1"/>
  <c r="BJ247" i="21" s="1"/>
  <c r="O247" i="21"/>
  <c r="W247" i="21" s="1"/>
  <c r="AE247" i="21" s="1"/>
  <c r="AM247" i="21" s="1"/>
  <c r="AU247" i="21" s="1"/>
  <c r="BC247" i="21" s="1"/>
  <c r="BK247" i="21" s="1"/>
  <c r="P247" i="21"/>
  <c r="N248" i="21"/>
  <c r="V248" i="21" s="1"/>
  <c r="AD248" i="21" s="1"/>
  <c r="AL248" i="21" s="1"/>
  <c r="AT248" i="21" s="1"/>
  <c r="BB248" i="21" s="1"/>
  <c r="BJ248" i="21" s="1"/>
  <c r="O248" i="21"/>
  <c r="W248" i="21" s="1"/>
  <c r="AE248" i="21" s="1"/>
  <c r="AM248" i="21" s="1"/>
  <c r="AU248" i="21" s="1"/>
  <c r="BC248" i="21" s="1"/>
  <c r="BK248" i="21" s="1"/>
  <c r="P248" i="21"/>
  <c r="N249" i="21"/>
  <c r="V249" i="21" s="1"/>
  <c r="AD249" i="21" s="1"/>
  <c r="AL249" i="21" s="1"/>
  <c r="AT249" i="21" s="1"/>
  <c r="O249" i="21"/>
  <c r="W249" i="21" s="1"/>
  <c r="AE249" i="21" s="1"/>
  <c r="AM249" i="21" s="1"/>
  <c r="AU249" i="21" s="1"/>
  <c r="BC249" i="21" s="1"/>
  <c r="BK249" i="21" s="1"/>
  <c r="P249" i="21"/>
  <c r="N250" i="21"/>
  <c r="V250" i="21" s="1"/>
  <c r="AD250" i="21" s="1"/>
  <c r="AL250" i="21" s="1"/>
  <c r="AT250" i="21" s="1"/>
  <c r="BB250" i="21" s="1"/>
  <c r="BJ250" i="21" s="1"/>
  <c r="O250" i="21"/>
  <c r="W250" i="21" s="1"/>
  <c r="AE250" i="21" s="1"/>
  <c r="AM250" i="21" s="1"/>
  <c r="AU250" i="21" s="1"/>
  <c r="BC250" i="21" s="1"/>
  <c r="BK250" i="21" s="1"/>
  <c r="P250" i="21"/>
  <c r="N251" i="21"/>
  <c r="V251" i="21" s="1"/>
  <c r="AD251" i="21" s="1"/>
  <c r="AL251" i="21" s="1"/>
  <c r="AT251" i="21" s="1"/>
  <c r="BB251" i="21" s="1"/>
  <c r="BJ251" i="21" s="1"/>
  <c r="O251" i="21"/>
  <c r="W251" i="21" s="1"/>
  <c r="AE251" i="21" s="1"/>
  <c r="AM251" i="21" s="1"/>
  <c r="AU251" i="21" s="1"/>
  <c r="BC251" i="21" s="1"/>
  <c r="BK251" i="21" s="1"/>
  <c r="P251" i="21"/>
  <c r="N252" i="21"/>
  <c r="V252" i="21" s="1"/>
  <c r="AD252" i="21" s="1"/>
  <c r="AL252" i="21" s="1"/>
  <c r="AT252" i="21" s="1"/>
  <c r="BB252" i="21" s="1"/>
  <c r="BJ252" i="21" s="1"/>
  <c r="O252" i="21"/>
  <c r="W252" i="21" s="1"/>
  <c r="AE252" i="21" s="1"/>
  <c r="AM252" i="21" s="1"/>
  <c r="AU252" i="21" s="1"/>
  <c r="BC252" i="21" s="1"/>
  <c r="BK252" i="21" s="1"/>
  <c r="P252" i="21"/>
  <c r="N253" i="21"/>
  <c r="V253" i="21" s="1"/>
  <c r="AD253" i="21" s="1"/>
  <c r="AL253" i="21" s="1"/>
  <c r="AT253" i="21" s="1"/>
  <c r="BB253" i="21" s="1"/>
  <c r="BJ253" i="21" s="1"/>
  <c r="O253" i="21"/>
  <c r="W253" i="21" s="1"/>
  <c r="AE253" i="21" s="1"/>
  <c r="AM253" i="21" s="1"/>
  <c r="AU253" i="21" s="1"/>
  <c r="BC253" i="21" s="1"/>
  <c r="BK253" i="21" s="1"/>
  <c r="P253" i="21"/>
  <c r="X253" i="21" s="1"/>
  <c r="AF253" i="21" s="1"/>
  <c r="AN253" i="21" s="1"/>
  <c r="AV253" i="21" s="1"/>
  <c r="N255" i="21"/>
  <c r="V255" i="21" s="1"/>
  <c r="AD255" i="21" s="1"/>
  <c r="AL255" i="21" s="1"/>
  <c r="AT255" i="21" s="1"/>
  <c r="O255" i="21"/>
  <c r="W255" i="21" s="1"/>
  <c r="AE255" i="21" s="1"/>
  <c r="AM255" i="21" s="1"/>
  <c r="AU255" i="21" s="1"/>
  <c r="BC255" i="21" s="1"/>
  <c r="BK255" i="21" s="1"/>
  <c r="P255" i="21"/>
  <c r="N256" i="21"/>
  <c r="V256" i="21" s="1"/>
  <c r="AD256" i="21" s="1"/>
  <c r="AL256" i="21" s="1"/>
  <c r="AT256" i="21" s="1"/>
  <c r="BB256" i="21" s="1"/>
  <c r="BJ256" i="21" s="1"/>
  <c r="O256" i="21"/>
  <c r="W256" i="21" s="1"/>
  <c r="AE256" i="21" s="1"/>
  <c r="AM256" i="21" s="1"/>
  <c r="AU256" i="21" s="1"/>
  <c r="BC256" i="21" s="1"/>
  <c r="BK256" i="21" s="1"/>
  <c r="P256" i="21"/>
  <c r="N257" i="21"/>
  <c r="V257" i="21" s="1"/>
  <c r="AD257" i="21" s="1"/>
  <c r="AL257" i="21" s="1"/>
  <c r="AT257" i="21" s="1"/>
  <c r="BB257" i="21" s="1"/>
  <c r="BJ257" i="21" s="1"/>
  <c r="O257" i="21"/>
  <c r="W257" i="21" s="1"/>
  <c r="AE257" i="21" s="1"/>
  <c r="AM257" i="21" s="1"/>
  <c r="AU257" i="21" s="1"/>
  <c r="BC257" i="21" s="1"/>
  <c r="BK257" i="21" s="1"/>
  <c r="P257" i="21"/>
  <c r="P258" i="21"/>
  <c r="N259" i="21"/>
  <c r="V259" i="21" s="1"/>
  <c r="AD259" i="21" s="1"/>
  <c r="AL259" i="21" s="1"/>
  <c r="AT259" i="21" s="1"/>
  <c r="BB259" i="21" s="1"/>
  <c r="BJ259" i="21" s="1"/>
  <c r="O259" i="21"/>
  <c r="W259" i="21" s="1"/>
  <c r="AE259" i="21" s="1"/>
  <c r="AM259" i="21" s="1"/>
  <c r="AU259" i="21" s="1"/>
  <c r="BC259" i="21" s="1"/>
  <c r="BK259" i="21" s="1"/>
  <c r="P259" i="21"/>
  <c r="N260" i="21"/>
  <c r="V260" i="21" s="1"/>
  <c r="AD260" i="21" s="1"/>
  <c r="AL260" i="21" s="1"/>
  <c r="AT260" i="21" s="1"/>
  <c r="BB260" i="21" s="1"/>
  <c r="BJ260" i="21" s="1"/>
  <c r="O260" i="21"/>
  <c r="W260" i="21" s="1"/>
  <c r="AE260" i="21" s="1"/>
  <c r="AM260" i="21" s="1"/>
  <c r="AU260" i="21" s="1"/>
  <c r="BC260" i="21" s="1"/>
  <c r="BK260" i="21" s="1"/>
  <c r="P260" i="21"/>
  <c r="N261" i="21"/>
  <c r="V261" i="21" s="1"/>
  <c r="AD261" i="21" s="1"/>
  <c r="AL261" i="21" s="1"/>
  <c r="AT261" i="21" s="1"/>
  <c r="BB261" i="21" s="1"/>
  <c r="BJ261" i="21" s="1"/>
  <c r="O261" i="21"/>
  <c r="W261" i="21" s="1"/>
  <c r="AE261" i="21" s="1"/>
  <c r="AM261" i="21" s="1"/>
  <c r="AU261" i="21" s="1"/>
  <c r="BC261" i="21" s="1"/>
  <c r="BK261" i="21" s="1"/>
  <c r="P261" i="21"/>
  <c r="N263" i="21"/>
  <c r="V263" i="21" s="1"/>
  <c r="AD263" i="21" s="1"/>
  <c r="AL263" i="21" s="1"/>
  <c r="AT263" i="21" s="1"/>
  <c r="O263" i="21"/>
  <c r="W263" i="21" s="1"/>
  <c r="AE263" i="21" s="1"/>
  <c r="AM263" i="21" s="1"/>
  <c r="AU263" i="21" s="1"/>
  <c r="P263" i="21"/>
  <c r="N266" i="21"/>
  <c r="V266" i="21" s="1"/>
  <c r="AD266" i="21" s="1"/>
  <c r="AL266" i="21" s="1"/>
  <c r="AT266" i="21" s="1"/>
  <c r="BB266" i="21" s="1"/>
  <c r="BJ266" i="21" s="1"/>
  <c r="O266" i="21"/>
  <c r="W266" i="21" s="1"/>
  <c r="AE266" i="21" s="1"/>
  <c r="AM266" i="21" s="1"/>
  <c r="AU266" i="21" s="1"/>
  <c r="BC266" i="21" s="1"/>
  <c r="BK266" i="21" s="1"/>
  <c r="P266" i="21"/>
  <c r="N267" i="21"/>
  <c r="V267" i="21" s="1"/>
  <c r="AD267" i="21" s="1"/>
  <c r="AL267" i="21" s="1"/>
  <c r="AT267" i="21" s="1"/>
  <c r="BB267" i="21" s="1"/>
  <c r="BJ267" i="21" s="1"/>
  <c r="O267" i="21"/>
  <c r="W267" i="21" s="1"/>
  <c r="AE267" i="21" s="1"/>
  <c r="AM267" i="21" s="1"/>
  <c r="AU267" i="21" s="1"/>
  <c r="BC267" i="21" s="1"/>
  <c r="BK267" i="21" s="1"/>
  <c r="P267" i="21"/>
  <c r="N268" i="21"/>
  <c r="V268" i="21" s="1"/>
  <c r="AD268" i="21" s="1"/>
  <c r="AL268" i="21" s="1"/>
  <c r="AT268" i="21" s="1"/>
  <c r="O268" i="21"/>
  <c r="W268" i="21" s="1"/>
  <c r="AE268" i="21" s="1"/>
  <c r="AM268" i="21" s="1"/>
  <c r="AU268" i="21" s="1"/>
  <c r="BC268" i="21" s="1"/>
  <c r="BK268" i="21" s="1"/>
  <c r="P268" i="21"/>
  <c r="N269" i="21"/>
  <c r="V269" i="21" s="1"/>
  <c r="AD269" i="21" s="1"/>
  <c r="AL269" i="21" s="1"/>
  <c r="AT269" i="21" s="1"/>
  <c r="BB269" i="21" s="1"/>
  <c r="BJ269" i="21" s="1"/>
  <c r="O269" i="21"/>
  <c r="W269" i="21" s="1"/>
  <c r="AE269" i="21" s="1"/>
  <c r="AM269" i="21" s="1"/>
  <c r="AU269" i="21" s="1"/>
  <c r="BC269" i="21" s="1"/>
  <c r="BK269" i="21" s="1"/>
  <c r="P269" i="21"/>
  <c r="P270" i="21"/>
  <c r="N271" i="21"/>
  <c r="V271" i="21" s="1"/>
  <c r="AD271" i="21" s="1"/>
  <c r="AL271" i="21" s="1"/>
  <c r="AT271" i="21" s="1"/>
  <c r="BB271" i="21" s="1"/>
  <c r="BJ271" i="21" s="1"/>
  <c r="O271" i="21"/>
  <c r="W271" i="21" s="1"/>
  <c r="AE271" i="21" s="1"/>
  <c r="AM271" i="21" s="1"/>
  <c r="AU271" i="21" s="1"/>
  <c r="BC271" i="21" s="1"/>
  <c r="BK271" i="21" s="1"/>
  <c r="P271" i="21"/>
  <c r="N273" i="21"/>
  <c r="V273" i="21" s="1"/>
  <c r="AD273" i="21" s="1"/>
  <c r="AL273" i="21" s="1"/>
  <c r="AT273" i="21" s="1"/>
  <c r="BB273" i="21" s="1"/>
  <c r="BJ273" i="21" s="1"/>
  <c r="O273" i="21"/>
  <c r="W273" i="21" s="1"/>
  <c r="AE273" i="21" s="1"/>
  <c r="AM273" i="21" s="1"/>
  <c r="AU273" i="21" s="1"/>
  <c r="BC273" i="21" s="1"/>
  <c r="BK273" i="21" s="1"/>
  <c r="P273" i="21"/>
  <c r="N274" i="21"/>
  <c r="V274" i="21" s="1"/>
  <c r="AD274" i="21" s="1"/>
  <c r="AL274" i="21" s="1"/>
  <c r="AT274" i="21" s="1"/>
  <c r="O274" i="21"/>
  <c r="W274" i="21" s="1"/>
  <c r="AE274" i="21" s="1"/>
  <c r="AM274" i="21" s="1"/>
  <c r="AU274" i="21" s="1"/>
  <c r="BC274" i="21" s="1"/>
  <c r="BK274" i="21" s="1"/>
  <c r="P274" i="21"/>
  <c r="N275" i="21"/>
  <c r="V275" i="21" s="1"/>
  <c r="AD275" i="21" s="1"/>
  <c r="AL275" i="21" s="1"/>
  <c r="AT275" i="21" s="1"/>
  <c r="BB275" i="21" s="1"/>
  <c r="BJ275" i="21" s="1"/>
  <c r="O275" i="21"/>
  <c r="W275" i="21" s="1"/>
  <c r="AE275" i="21" s="1"/>
  <c r="AM275" i="21" s="1"/>
  <c r="AU275" i="21" s="1"/>
  <c r="BC275" i="21" s="1"/>
  <c r="BK275" i="21" s="1"/>
  <c r="P275" i="21"/>
  <c r="N276" i="21"/>
  <c r="V276" i="21" s="1"/>
  <c r="AD276" i="21" s="1"/>
  <c r="AL276" i="21" s="1"/>
  <c r="AT276" i="21" s="1"/>
  <c r="BB276" i="21" s="1"/>
  <c r="BJ276" i="21" s="1"/>
  <c r="O276" i="21"/>
  <c r="W276" i="21" s="1"/>
  <c r="AE276" i="21" s="1"/>
  <c r="AM276" i="21" s="1"/>
  <c r="AU276" i="21" s="1"/>
  <c r="BC276" i="21" s="1"/>
  <c r="BK276" i="21" s="1"/>
  <c r="P276" i="21"/>
  <c r="N277" i="21"/>
  <c r="V277" i="21" s="1"/>
  <c r="AD277" i="21" s="1"/>
  <c r="AL277" i="21" s="1"/>
  <c r="AT277" i="21" s="1"/>
  <c r="O277" i="21"/>
  <c r="W277" i="21" s="1"/>
  <c r="AE277" i="21" s="1"/>
  <c r="AM277" i="21" s="1"/>
  <c r="AU277" i="21" s="1"/>
  <c r="BC277" i="21" s="1"/>
  <c r="BK277" i="21" s="1"/>
  <c r="P277" i="21"/>
  <c r="N278" i="21"/>
  <c r="V278" i="21" s="1"/>
  <c r="AD278" i="21" s="1"/>
  <c r="AL278" i="21" s="1"/>
  <c r="AT278" i="21" s="1"/>
  <c r="BB278" i="21" s="1"/>
  <c r="BJ278" i="21" s="1"/>
  <c r="O278" i="21"/>
  <c r="W278" i="21" s="1"/>
  <c r="AE278" i="21" s="1"/>
  <c r="AM278" i="21" s="1"/>
  <c r="AU278" i="21" s="1"/>
  <c r="BC278" i="21" s="1"/>
  <c r="BK278" i="21" s="1"/>
  <c r="P278" i="21"/>
  <c r="N280" i="21"/>
  <c r="V280" i="21" s="1"/>
  <c r="AD280" i="21" s="1"/>
  <c r="AL280" i="21" s="1"/>
  <c r="AT280" i="21" s="1"/>
  <c r="BB280" i="21" s="1"/>
  <c r="BJ280" i="21" s="1"/>
  <c r="O280" i="21"/>
  <c r="W280" i="21" s="1"/>
  <c r="AE280" i="21" s="1"/>
  <c r="AM280" i="21" s="1"/>
  <c r="AU280" i="21" s="1"/>
  <c r="BC280" i="21" s="1"/>
  <c r="BK280" i="21" s="1"/>
  <c r="P280" i="21"/>
  <c r="N281" i="21"/>
  <c r="V281" i="21" s="1"/>
  <c r="AD281" i="21" s="1"/>
  <c r="AL281" i="21" s="1"/>
  <c r="AT281" i="21" s="1"/>
  <c r="BB281" i="21" s="1"/>
  <c r="BJ281" i="21" s="1"/>
  <c r="O281" i="21"/>
  <c r="W281" i="21" s="1"/>
  <c r="AE281" i="21" s="1"/>
  <c r="AM281" i="21" s="1"/>
  <c r="AU281" i="21" s="1"/>
  <c r="BC281" i="21" s="1"/>
  <c r="BK281" i="21" s="1"/>
  <c r="P281" i="21"/>
  <c r="N282" i="21"/>
  <c r="V282" i="21" s="1"/>
  <c r="AD282" i="21" s="1"/>
  <c r="AL282" i="21" s="1"/>
  <c r="AT282" i="21" s="1"/>
  <c r="BB282" i="21" s="1"/>
  <c r="BJ282" i="21" s="1"/>
  <c r="O282" i="21"/>
  <c r="W282" i="21" s="1"/>
  <c r="AE282" i="21" s="1"/>
  <c r="AM282" i="21" s="1"/>
  <c r="AU282" i="21" s="1"/>
  <c r="BC282" i="21" s="1"/>
  <c r="BK282" i="21" s="1"/>
  <c r="P282" i="21"/>
  <c r="N283" i="21"/>
  <c r="V283" i="21" s="1"/>
  <c r="AD283" i="21" s="1"/>
  <c r="AL283" i="21" s="1"/>
  <c r="AT283" i="21" s="1"/>
  <c r="O283" i="21"/>
  <c r="W283" i="21" s="1"/>
  <c r="AE283" i="21" s="1"/>
  <c r="AM283" i="21" s="1"/>
  <c r="AU283" i="21" s="1"/>
  <c r="BC283" i="21" s="1"/>
  <c r="BK283" i="21" s="1"/>
  <c r="P283" i="21"/>
  <c r="P284" i="21"/>
  <c r="N285" i="21"/>
  <c r="V285" i="21" s="1"/>
  <c r="AD285" i="21" s="1"/>
  <c r="AL285" i="21" s="1"/>
  <c r="AT285" i="21" s="1"/>
  <c r="P285" i="21"/>
  <c r="N286" i="21"/>
  <c r="V286" i="21" s="1"/>
  <c r="AD286" i="21" s="1"/>
  <c r="AL286" i="21" s="1"/>
  <c r="AT286" i="21" s="1"/>
  <c r="O286" i="21"/>
  <c r="W286" i="21" s="1"/>
  <c r="AE286" i="21" s="1"/>
  <c r="AM286" i="21" s="1"/>
  <c r="AU286" i="21" s="1"/>
  <c r="BC286" i="21" s="1"/>
  <c r="BK286" i="21" s="1"/>
  <c r="P286" i="21"/>
  <c r="N287" i="21"/>
  <c r="V287" i="21" s="1"/>
  <c r="AD287" i="21" s="1"/>
  <c r="AL287" i="21" s="1"/>
  <c r="AT287" i="21" s="1"/>
  <c r="O287" i="21"/>
  <c r="W287" i="21" s="1"/>
  <c r="AE287" i="21" s="1"/>
  <c r="AM287" i="21" s="1"/>
  <c r="AU287" i="21" s="1"/>
  <c r="BC287" i="21" s="1"/>
  <c r="BK287" i="21" s="1"/>
  <c r="BK322" i="21" s="1"/>
  <c r="P287" i="21"/>
  <c r="N288" i="21"/>
  <c r="V288" i="21" s="1"/>
  <c r="AD288" i="21" s="1"/>
  <c r="AL288" i="21" s="1"/>
  <c r="AT288" i="21" s="1"/>
  <c r="BB288" i="21" s="1"/>
  <c r="BJ288" i="21" s="1"/>
  <c r="O288" i="21"/>
  <c r="W288" i="21" s="1"/>
  <c r="AE288" i="21" s="1"/>
  <c r="AM288" i="21" s="1"/>
  <c r="AU288" i="21" s="1"/>
  <c r="BC288" i="21" s="1"/>
  <c r="BK288" i="21" s="1"/>
  <c r="P288" i="21"/>
  <c r="N289" i="21"/>
  <c r="V289" i="21" s="1"/>
  <c r="AD289" i="21" s="1"/>
  <c r="AL289" i="21" s="1"/>
  <c r="AT289" i="21" s="1"/>
  <c r="BB289" i="21" s="1"/>
  <c r="BJ289" i="21" s="1"/>
  <c r="O289" i="21"/>
  <c r="W289" i="21" s="1"/>
  <c r="AE289" i="21" s="1"/>
  <c r="AM289" i="21" s="1"/>
  <c r="AU289" i="21" s="1"/>
  <c r="BC289" i="21" s="1"/>
  <c r="BK289" i="21" s="1"/>
  <c r="P289" i="21"/>
  <c r="N290" i="21"/>
  <c r="V290" i="21" s="1"/>
  <c r="AD290" i="21" s="1"/>
  <c r="AL290" i="21" s="1"/>
  <c r="AT290" i="21" s="1"/>
  <c r="O290" i="21"/>
  <c r="W290" i="21" s="1"/>
  <c r="AE290" i="21" s="1"/>
  <c r="AM290" i="21" s="1"/>
  <c r="AU290" i="21" s="1"/>
  <c r="BC290" i="21" s="1"/>
  <c r="BK290" i="21" s="1"/>
  <c r="P290" i="21"/>
  <c r="N291" i="21"/>
  <c r="V291" i="21" s="1"/>
  <c r="AD291" i="21" s="1"/>
  <c r="AL291" i="21" s="1"/>
  <c r="AT291" i="21" s="1"/>
  <c r="BB291" i="21" s="1"/>
  <c r="BJ291" i="21" s="1"/>
  <c r="O291" i="21"/>
  <c r="W291" i="21" s="1"/>
  <c r="AE291" i="21" s="1"/>
  <c r="AM291" i="21" s="1"/>
  <c r="AU291" i="21" s="1"/>
  <c r="BC291" i="21" s="1"/>
  <c r="BK291" i="21" s="1"/>
  <c r="P291" i="21"/>
  <c r="N292" i="21"/>
  <c r="V292" i="21" s="1"/>
  <c r="AD292" i="21" s="1"/>
  <c r="AL292" i="21" s="1"/>
  <c r="AT292" i="21" s="1"/>
  <c r="BB292" i="21" s="1"/>
  <c r="BJ292" i="21" s="1"/>
  <c r="O292" i="21"/>
  <c r="W292" i="21" s="1"/>
  <c r="AE292" i="21" s="1"/>
  <c r="AM292" i="21" s="1"/>
  <c r="AU292" i="21" s="1"/>
  <c r="BC292" i="21" s="1"/>
  <c r="BK292" i="21" s="1"/>
  <c r="P292" i="21"/>
  <c r="N293" i="21"/>
  <c r="V293" i="21" s="1"/>
  <c r="AD293" i="21" s="1"/>
  <c r="AL293" i="21" s="1"/>
  <c r="AT293" i="21" s="1"/>
  <c r="BB293" i="21" s="1"/>
  <c r="BJ293" i="21" s="1"/>
  <c r="O293" i="21"/>
  <c r="W293" i="21" s="1"/>
  <c r="AE293" i="21" s="1"/>
  <c r="AM293" i="21" s="1"/>
  <c r="AU293" i="21" s="1"/>
  <c r="BC293" i="21" s="1"/>
  <c r="BK293" i="21" s="1"/>
  <c r="P293" i="21"/>
  <c r="N294" i="21"/>
  <c r="V294" i="21" s="1"/>
  <c r="AD294" i="21" s="1"/>
  <c r="AL294" i="21" s="1"/>
  <c r="AT294" i="21" s="1"/>
  <c r="BB294" i="21" s="1"/>
  <c r="BJ294" i="21" s="1"/>
  <c r="O294" i="21"/>
  <c r="W294" i="21" s="1"/>
  <c r="AE294" i="21" s="1"/>
  <c r="AM294" i="21" s="1"/>
  <c r="AU294" i="21" s="1"/>
  <c r="BC294" i="21" s="1"/>
  <c r="BK294" i="21" s="1"/>
  <c r="P294" i="21"/>
  <c r="N296" i="21"/>
  <c r="V296" i="21" s="1"/>
  <c r="AD296" i="21" s="1"/>
  <c r="AL296" i="21" s="1"/>
  <c r="AT296" i="21" s="1"/>
  <c r="O296" i="21"/>
  <c r="W296" i="21" s="1"/>
  <c r="AE296" i="21" s="1"/>
  <c r="AM296" i="21" s="1"/>
  <c r="AU296" i="21" s="1"/>
  <c r="BC296" i="21" s="1"/>
  <c r="BK296" i="21" s="1"/>
  <c r="P296" i="21"/>
  <c r="N297" i="21"/>
  <c r="V297" i="21" s="1"/>
  <c r="AD297" i="21" s="1"/>
  <c r="AL297" i="21" s="1"/>
  <c r="AT297" i="21" s="1"/>
  <c r="BB297" i="21" s="1"/>
  <c r="BJ297" i="21" s="1"/>
  <c r="O297" i="21"/>
  <c r="W297" i="21" s="1"/>
  <c r="AE297" i="21" s="1"/>
  <c r="AM297" i="21" s="1"/>
  <c r="AU297" i="21" s="1"/>
  <c r="BC297" i="21" s="1"/>
  <c r="BK297" i="21" s="1"/>
  <c r="P297" i="21"/>
  <c r="N298" i="21"/>
  <c r="V298" i="21" s="1"/>
  <c r="AD298" i="21" s="1"/>
  <c r="AL298" i="21" s="1"/>
  <c r="AT298" i="21" s="1"/>
  <c r="BB298" i="21" s="1"/>
  <c r="BJ298" i="21" s="1"/>
  <c r="O298" i="21"/>
  <c r="W298" i="21" s="1"/>
  <c r="AE298" i="21" s="1"/>
  <c r="AM298" i="21" s="1"/>
  <c r="AU298" i="21" s="1"/>
  <c r="BC298" i="21" s="1"/>
  <c r="BK298" i="21" s="1"/>
  <c r="P298" i="21"/>
  <c r="P299" i="21"/>
  <c r="N300" i="21"/>
  <c r="V300" i="21" s="1"/>
  <c r="AD300" i="21" s="1"/>
  <c r="AL300" i="21" s="1"/>
  <c r="AT300" i="21" s="1"/>
  <c r="BB300" i="21" s="1"/>
  <c r="BJ300" i="21" s="1"/>
  <c r="P300" i="21"/>
  <c r="N301" i="21"/>
  <c r="O301" i="21"/>
  <c r="W301" i="21" s="1"/>
  <c r="AE301" i="21" s="1"/>
  <c r="AM301" i="21" s="1"/>
  <c r="AU301" i="21" s="1"/>
  <c r="BC301" i="21" s="1"/>
  <c r="BK301" i="21" s="1"/>
  <c r="P301" i="21"/>
  <c r="X301" i="21" s="1"/>
  <c r="AF301" i="21" s="1"/>
  <c r="AN301" i="21" s="1"/>
  <c r="AV301" i="21" s="1"/>
  <c r="BD301" i="21" s="1"/>
  <c r="BL301" i="21" s="1"/>
  <c r="N302" i="21"/>
  <c r="O302" i="21"/>
  <c r="W302" i="21" s="1"/>
  <c r="AE302" i="21" s="1"/>
  <c r="AM302" i="21" s="1"/>
  <c r="AU302" i="21" s="1"/>
  <c r="BC302" i="21" s="1"/>
  <c r="BK302" i="21" s="1"/>
  <c r="P302" i="21"/>
  <c r="X302" i="21" s="1"/>
  <c r="AF302" i="21" s="1"/>
  <c r="AN302" i="21" s="1"/>
  <c r="AV302" i="21" s="1"/>
  <c r="BD302" i="21" s="1"/>
  <c r="BL302" i="21" s="1"/>
  <c r="N303" i="21"/>
  <c r="O303" i="21"/>
  <c r="W303" i="21" s="1"/>
  <c r="AE303" i="21" s="1"/>
  <c r="AM303" i="21" s="1"/>
  <c r="AU303" i="21" s="1"/>
  <c r="BC303" i="21" s="1"/>
  <c r="BK303" i="21" s="1"/>
  <c r="P303" i="21"/>
  <c r="X303" i="21" s="1"/>
  <c r="AF303" i="21" s="1"/>
  <c r="AN303" i="21" s="1"/>
  <c r="AV303" i="21" s="1"/>
  <c r="N304" i="21"/>
  <c r="V304" i="21" s="1"/>
  <c r="AD304" i="21" s="1"/>
  <c r="AL304" i="21" s="1"/>
  <c r="AT304" i="21" s="1"/>
  <c r="BB304" i="21" s="1"/>
  <c r="BJ304" i="21" s="1"/>
  <c r="O304" i="21"/>
  <c r="W304" i="21" s="1"/>
  <c r="AE304" i="21" s="1"/>
  <c r="AM304" i="21" s="1"/>
  <c r="AU304" i="21" s="1"/>
  <c r="BC304" i="21" s="1"/>
  <c r="BK304" i="21" s="1"/>
  <c r="P304" i="21"/>
  <c r="N305" i="21"/>
  <c r="V305" i="21" s="1"/>
  <c r="AD305" i="21" s="1"/>
  <c r="AL305" i="21" s="1"/>
  <c r="AT305" i="21" s="1"/>
  <c r="O305" i="21"/>
  <c r="W305" i="21" s="1"/>
  <c r="AE305" i="21" s="1"/>
  <c r="AM305" i="21" s="1"/>
  <c r="AU305" i="21" s="1"/>
  <c r="BC305" i="21" s="1"/>
  <c r="BK305" i="21" s="1"/>
  <c r="P305" i="21"/>
  <c r="N306" i="21"/>
  <c r="V306" i="21" s="1"/>
  <c r="AD306" i="21" s="1"/>
  <c r="AL306" i="21" s="1"/>
  <c r="AT306" i="21" s="1"/>
  <c r="BB306" i="21" s="1"/>
  <c r="BJ306" i="21" s="1"/>
  <c r="O306" i="21"/>
  <c r="W306" i="21" s="1"/>
  <c r="AE306" i="21" s="1"/>
  <c r="AM306" i="21" s="1"/>
  <c r="AU306" i="21" s="1"/>
  <c r="BC306" i="21" s="1"/>
  <c r="BK306" i="21" s="1"/>
  <c r="P306" i="21"/>
  <c r="N307" i="21"/>
  <c r="V307" i="21" s="1"/>
  <c r="AD307" i="21" s="1"/>
  <c r="AL307" i="21" s="1"/>
  <c r="AT307" i="21" s="1"/>
  <c r="BB307" i="21" s="1"/>
  <c r="BJ307" i="21" s="1"/>
  <c r="O307" i="21"/>
  <c r="W307" i="21" s="1"/>
  <c r="AE307" i="21" s="1"/>
  <c r="AM307" i="21" s="1"/>
  <c r="AU307" i="21" s="1"/>
  <c r="BC307" i="21" s="1"/>
  <c r="BK307" i="21" s="1"/>
  <c r="P307" i="21"/>
  <c r="N308" i="21"/>
  <c r="V308" i="21" s="1"/>
  <c r="AD308" i="21" s="1"/>
  <c r="AL308" i="21" s="1"/>
  <c r="AT308" i="21" s="1"/>
  <c r="BB308" i="21" s="1"/>
  <c r="BJ308" i="21" s="1"/>
  <c r="O308" i="21"/>
  <c r="W308" i="21" s="1"/>
  <c r="AE308" i="21" s="1"/>
  <c r="AM308" i="21" s="1"/>
  <c r="AU308" i="21" s="1"/>
  <c r="BC308" i="21" s="1"/>
  <c r="BK308" i="21" s="1"/>
  <c r="P308" i="21"/>
  <c r="N310" i="21"/>
  <c r="V310" i="21" s="1"/>
  <c r="AD310" i="21" s="1"/>
  <c r="AL310" i="21" s="1"/>
  <c r="AT310" i="21" s="1"/>
  <c r="BB310" i="21" s="1"/>
  <c r="BJ310" i="21" s="1"/>
  <c r="O310" i="21"/>
  <c r="W310" i="21" s="1"/>
  <c r="AE310" i="21" s="1"/>
  <c r="AM310" i="21" s="1"/>
  <c r="AU310" i="21" s="1"/>
  <c r="BC310" i="21" s="1"/>
  <c r="BK310" i="21" s="1"/>
  <c r="P310" i="21"/>
  <c r="N311" i="21"/>
  <c r="V311" i="21" s="1"/>
  <c r="AD311" i="21" s="1"/>
  <c r="AL311" i="21" s="1"/>
  <c r="AT311" i="21" s="1"/>
  <c r="O311" i="21"/>
  <c r="W311" i="21" s="1"/>
  <c r="AE311" i="21" s="1"/>
  <c r="P311" i="21"/>
  <c r="M337" i="21"/>
  <c r="M336" i="21"/>
  <c r="M314" i="21"/>
  <c r="I337" i="21"/>
  <c r="I336" i="21"/>
  <c r="I335" i="21"/>
  <c r="L331" i="21"/>
  <c r="K331" i="21"/>
  <c r="J331" i="21"/>
  <c r="L330" i="21"/>
  <c r="K330" i="21"/>
  <c r="J330" i="21"/>
  <c r="L329" i="21"/>
  <c r="L328" i="21"/>
  <c r="K328" i="21"/>
  <c r="J328" i="21"/>
  <c r="L327" i="21"/>
  <c r="L326" i="21"/>
  <c r="L325" i="21"/>
  <c r="L324" i="21"/>
  <c r="K324" i="21"/>
  <c r="L322" i="21"/>
  <c r="L321" i="21"/>
  <c r="K321" i="21"/>
  <c r="J321" i="21"/>
  <c r="L319" i="21"/>
  <c r="L318" i="21"/>
  <c r="J318" i="21"/>
  <c r="I314" i="21"/>
  <c r="I311" i="21"/>
  <c r="I310" i="21"/>
  <c r="L309" i="21"/>
  <c r="K309" i="21"/>
  <c r="J309" i="21"/>
  <c r="I308" i="21"/>
  <c r="I307" i="21"/>
  <c r="I306" i="21"/>
  <c r="I305" i="21"/>
  <c r="I304" i="21"/>
  <c r="I303" i="21"/>
  <c r="I302" i="21"/>
  <c r="I301" i="21"/>
  <c r="I300" i="21"/>
  <c r="I298" i="21"/>
  <c r="I297" i="21"/>
  <c r="I296" i="21"/>
  <c r="L295" i="21"/>
  <c r="J295" i="21"/>
  <c r="I294" i="21"/>
  <c r="I293" i="21"/>
  <c r="I292" i="21"/>
  <c r="I291" i="21"/>
  <c r="I290" i="21"/>
  <c r="I289" i="21"/>
  <c r="I288" i="21"/>
  <c r="I287" i="21"/>
  <c r="I286" i="21"/>
  <c r="K279" i="21"/>
  <c r="I285" i="21"/>
  <c r="I284" i="21"/>
  <c r="I283" i="21"/>
  <c r="I282" i="21"/>
  <c r="I281" i="21"/>
  <c r="I280" i="21"/>
  <c r="L279" i="21"/>
  <c r="J279" i="21"/>
  <c r="I278" i="21"/>
  <c r="I277" i="21"/>
  <c r="I276" i="21"/>
  <c r="I275" i="21"/>
  <c r="I274" i="21"/>
  <c r="I273" i="21"/>
  <c r="I271" i="21"/>
  <c r="K327" i="21"/>
  <c r="J327" i="21"/>
  <c r="I269" i="21"/>
  <c r="I268" i="21"/>
  <c r="I267" i="21"/>
  <c r="I266" i="21"/>
  <c r="L265" i="21"/>
  <c r="K265" i="21"/>
  <c r="I263" i="21"/>
  <c r="I261" i="21"/>
  <c r="I260" i="21"/>
  <c r="I259" i="21"/>
  <c r="K254" i="21"/>
  <c r="J254" i="21"/>
  <c r="I257" i="21"/>
  <c r="I256" i="21"/>
  <c r="I255" i="21"/>
  <c r="L254" i="21"/>
  <c r="I253" i="21"/>
  <c r="I252" i="21"/>
  <c r="I251" i="21"/>
  <c r="I250" i="21"/>
  <c r="I249" i="21"/>
  <c r="I248" i="21"/>
  <c r="I247" i="21"/>
  <c r="I246" i="21"/>
  <c r="I245" i="21"/>
  <c r="I244" i="21"/>
  <c r="I243" i="21"/>
  <c r="I242" i="21"/>
  <c r="L241" i="21"/>
  <c r="K241" i="21"/>
  <c r="J241" i="21"/>
  <c r="I239" i="21"/>
  <c r="I238" i="21"/>
  <c r="I237" i="21"/>
  <c r="I236" i="21"/>
  <c r="I235" i="21"/>
  <c r="I234" i="21"/>
  <c r="I233" i="21"/>
  <c r="I232" i="21"/>
  <c r="I231" i="21"/>
  <c r="I230" i="21"/>
  <c r="I229" i="21"/>
  <c r="I228" i="21"/>
  <c r="L227" i="21"/>
  <c r="I226" i="21"/>
  <c r="I225" i="21"/>
  <c r="I223" i="21"/>
  <c r="I222" i="21"/>
  <c r="K217" i="21"/>
  <c r="I221" i="21"/>
  <c r="I219" i="21"/>
  <c r="I218" i="21"/>
  <c r="L217" i="21"/>
  <c r="I215" i="21"/>
  <c r="I214" i="21"/>
  <c r="I213" i="21"/>
  <c r="I212" i="21"/>
  <c r="I211" i="21"/>
  <c r="I210" i="21"/>
  <c r="I209" i="21"/>
  <c r="I208" i="21"/>
  <c r="I207" i="21"/>
  <c r="L206" i="21"/>
  <c r="K206" i="21"/>
  <c r="J206" i="21"/>
  <c r="I205" i="21"/>
  <c r="I204" i="21"/>
  <c r="I203" i="21"/>
  <c r="I202" i="21"/>
  <c r="I201" i="21"/>
  <c r="I200" i="21"/>
  <c r="I199" i="21"/>
  <c r="I198" i="21"/>
  <c r="I197" i="21"/>
  <c r="I196" i="21"/>
  <c r="I195" i="21"/>
  <c r="I194" i="21"/>
  <c r="I193" i="21"/>
  <c r="I192" i="21"/>
  <c r="I191" i="21"/>
  <c r="L190" i="21"/>
  <c r="K190" i="21"/>
  <c r="J190" i="21"/>
  <c r="I189" i="21"/>
  <c r="I188" i="21"/>
  <c r="I187" i="21"/>
  <c r="I186" i="21"/>
  <c r="I185" i="21"/>
  <c r="I184" i="21"/>
  <c r="I183" i="21"/>
  <c r="I182" i="21"/>
  <c r="L181" i="21"/>
  <c r="K181" i="21"/>
  <c r="J181" i="21"/>
  <c r="I180" i="21"/>
  <c r="I179" i="21"/>
  <c r="I178" i="21"/>
  <c r="I177" i="21"/>
  <c r="I176" i="21"/>
  <c r="I175" i="21"/>
  <c r="I174" i="21"/>
  <c r="J170" i="21"/>
  <c r="I172" i="21"/>
  <c r="I171" i="21"/>
  <c r="L170" i="21"/>
  <c r="K170" i="21"/>
  <c r="I169" i="21"/>
  <c r="I168" i="21"/>
  <c r="I167" i="21"/>
  <c r="I166" i="21"/>
  <c r="I165" i="21"/>
  <c r="I164" i="21"/>
  <c r="I163" i="21"/>
  <c r="I162" i="21"/>
  <c r="K158" i="21"/>
  <c r="J158" i="21"/>
  <c r="I160" i="21"/>
  <c r="I159" i="21"/>
  <c r="L158" i="21"/>
  <c r="I157" i="21"/>
  <c r="I156" i="21"/>
  <c r="I155" i="21"/>
  <c r="I154" i="21"/>
  <c r="I153" i="21"/>
  <c r="I152" i="21"/>
  <c r="I151" i="21"/>
  <c r="I150" i="21"/>
  <c r="K146" i="21"/>
  <c r="I149" i="21"/>
  <c r="I148" i="21"/>
  <c r="I147" i="21"/>
  <c r="L146" i="21"/>
  <c r="J146" i="21"/>
  <c r="I145" i="21"/>
  <c r="I144" i="21"/>
  <c r="I143" i="21"/>
  <c r="I142" i="21"/>
  <c r="I141" i="21"/>
  <c r="I140" i="21"/>
  <c r="I139" i="21"/>
  <c r="J135" i="21"/>
  <c r="I138" i="21"/>
  <c r="I137" i="21"/>
  <c r="I136" i="21"/>
  <c r="L135" i="21"/>
  <c r="K135" i="21"/>
  <c r="I134" i="21"/>
  <c r="I133" i="21"/>
  <c r="I132" i="21"/>
  <c r="I131" i="21"/>
  <c r="I130" i="21"/>
  <c r="I129" i="21"/>
  <c r="I128" i="21"/>
  <c r="I126" i="21"/>
  <c r="I125" i="21"/>
  <c r="J121" i="21"/>
  <c r="I123" i="21"/>
  <c r="I122" i="21"/>
  <c r="L121" i="21"/>
  <c r="K121" i="21"/>
  <c r="I119" i="21"/>
  <c r="I118" i="21"/>
  <c r="I117" i="21"/>
  <c r="I116" i="21"/>
  <c r="I115" i="21"/>
  <c r="I114" i="21"/>
  <c r="I113" i="21"/>
  <c r="I112" i="21"/>
  <c r="K108" i="21"/>
  <c r="I111" i="21"/>
  <c r="I110" i="21"/>
  <c r="I109" i="21"/>
  <c r="L108" i="21"/>
  <c r="I107" i="21"/>
  <c r="I105" i="21"/>
  <c r="I104" i="21"/>
  <c r="I103" i="21"/>
  <c r="I102" i="21"/>
  <c r="I101" i="21"/>
  <c r="I100" i="21"/>
  <c r="I99" i="21"/>
  <c r="I98" i="21"/>
  <c r="K94" i="21"/>
  <c r="I97" i="21"/>
  <c r="I96" i="21"/>
  <c r="I95" i="21"/>
  <c r="L94" i="21"/>
  <c r="I93" i="21"/>
  <c r="I92" i="21"/>
  <c r="I91" i="21"/>
  <c r="I90" i="21"/>
  <c r="I89" i="21"/>
  <c r="I88" i="21"/>
  <c r="I87" i="21"/>
  <c r="I85" i="21"/>
  <c r="I84" i="21"/>
  <c r="L83" i="21"/>
  <c r="K83" i="21"/>
  <c r="I82" i="21"/>
  <c r="I80" i="21"/>
  <c r="I79" i="21"/>
  <c r="I78" i="21"/>
  <c r="I77" i="21"/>
  <c r="I76" i="21"/>
  <c r="I75" i="21"/>
  <c r="I74" i="21"/>
  <c r="K70" i="21"/>
  <c r="I73" i="21"/>
  <c r="I72" i="21"/>
  <c r="I71" i="21"/>
  <c r="L70" i="21"/>
  <c r="I69" i="21"/>
  <c r="I68" i="21"/>
  <c r="I67" i="21"/>
  <c r="I66" i="21"/>
  <c r="I65" i="21"/>
  <c r="I64" i="21"/>
  <c r="I63" i="21"/>
  <c r="I62" i="21"/>
  <c r="I61" i="21"/>
  <c r="I60" i="21"/>
  <c r="I59" i="21"/>
  <c r="L58" i="21"/>
  <c r="I56" i="21"/>
  <c r="I55" i="21"/>
  <c r="I54" i="21"/>
  <c r="I53" i="21"/>
  <c r="I52" i="21"/>
  <c r="I51" i="21"/>
  <c r="L332" i="21"/>
  <c r="J332" i="21"/>
  <c r="I49" i="21"/>
  <c r="I48" i="21"/>
  <c r="I47" i="21"/>
  <c r="I46" i="21"/>
  <c r="I45" i="21"/>
  <c r="I44" i="21"/>
  <c r="I43" i="21"/>
  <c r="I42" i="21"/>
  <c r="I41" i="21"/>
  <c r="K320" i="21"/>
  <c r="I40" i="21"/>
  <c r="I39" i="21"/>
  <c r="I38" i="21"/>
  <c r="I37" i="21"/>
  <c r="I35" i="21"/>
  <c r="I33" i="21"/>
  <c r="K326" i="21"/>
  <c r="I32" i="21"/>
  <c r="I30" i="21"/>
  <c r="I29" i="21"/>
  <c r="I28" i="21"/>
  <c r="I27" i="21"/>
  <c r="I26" i="21"/>
  <c r="I25" i="21"/>
  <c r="I24" i="21"/>
  <c r="I23" i="21"/>
  <c r="I22" i="21"/>
  <c r="I21" i="21"/>
  <c r="I20" i="21"/>
  <c r="I18" i="21"/>
  <c r="I17" i="21"/>
  <c r="L16" i="21"/>
  <c r="K16" i="21"/>
  <c r="J16" i="21"/>
  <c r="E337" i="21"/>
  <c r="E336" i="21"/>
  <c r="H335" i="21"/>
  <c r="P335" i="21" s="1"/>
  <c r="X335" i="21" s="1"/>
  <c r="AF335" i="21" s="1"/>
  <c r="AN335" i="21" s="1"/>
  <c r="AV335" i="21" s="1"/>
  <c r="BD335" i="21" s="1"/>
  <c r="BL335" i="21" s="1"/>
  <c r="G335" i="21"/>
  <c r="O335" i="21" s="1"/>
  <c r="W335" i="21" s="1"/>
  <c r="AE335" i="21" s="1"/>
  <c r="AM335" i="21" s="1"/>
  <c r="AU335" i="21" s="1"/>
  <c r="BC335" i="21" s="1"/>
  <c r="BK335" i="21" s="1"/>
  <c r="F335" i="21"/>
  <c r="H331" i="21"/>
  <c r="G331" i="21"/>
  <c r="F331" i="21"/>
  <c r="H330" i="21"/>
  <c r="G330" i="21"/>
  <c r="F330" i="21"/>
  <c r="H329" i="21"/>
  <c r="H328" i="21"/>
  <c r="G328" i="21"/>
  <c r="F328" i="21"/>
  <c r="H327" i="21"/>
  <c r="H326" i="21"/>
  <c r="H325" i="21"/>
  <c r="H324" i="21"/>
  <c r="G324" i="21"/>
  <c r="H322" i="21"/>
  <c r="H321" i="21"/>
  <c r="G321" i="21"/>
  <c r="F321" i="21"/>
  <c r="H319" i="21"/>
  <c r="H318" i="21"/>
  <c r="F318" i="21"/>
  <c r="E314" i="21"/>
  <c r="E311" i="21"/>
  <c r="E310" i="21"/>
  <c r="H309" i="21"/>
  <c r="G309" i="21"/>
  <c r="F309" i="21"/>
  <c r="E308" i="21"/>
  <c r="E307" i="21"/>
  <c r="E306" i="21"/>
  <c r="E305" i="21"/>
  <c r="E304" i="21"/>
  <c r="E303" i="21"/>
  <c r="E302" i="21"/>
  <c r="E301" i="21"/>
  <c r="G300" i="21"/>
  <c r="O300" i="21" s="1"/>
  <c r="E300" i="21"/>
  <c r="G299" i="21"/>
  <c r="F299" i="21"/>
  <c r="E299" i="21" s="1"/>
  <c r="E298" i="21"/>
  <c r="E297" i="21"/>
  <c r="E296" i="21"/>
  <c r="H295" i="21"/>
  <c r="E294" i="21"/>
  <c r="E293" i="21"/>
  <c r="E292" i="21"/>
  <c r="E291" i="21"/>
  <c r="E290" i="21"/>
  <c r="E289" i="21"/>
  <c r="E288" i="21"/>
  <c r="E287" i="21"/>
  <c r="E286" i="21"/>
  <c r="G285" i="21"/>
  <c r="O285" i="21" s="1"/>
  <c r="W285" i="21" s="1"/>
  <c r="AE285" i="21" s="1"/>
  <c r="AM285" i="21" s="1"/>
  <c r="AU285" i="21" s="1"/>
  <c r="BC285" i="21" s="1"/>
  <c r="BK285" i="21" s="1"/>
  <c r="E285" i="21"/>
  <c r="G284" i="21"/>
  <c r="O284" i="21" s="1"/>
  <c r="W284" i="21" s="1"/>
  <c r="AE284" i="21" s="1"/>
  <c r="AM284" i="21" s="1"/>
  <c r="AU284" i="21" s="1"/>
  <c r="BC284" i="21" s="1"/>
  <c r="BK284" i="21" s="1"/>
  <c r="F284" i="21"/>
  <c r="E284" i="21" s="1"/>
  <c r="E283" i="21"/>
  <c r="E282" i="21"/>
  <c r="E281" i="21"/>
  <c r="E280" i="21"/>
  <c r="H279" i="21"/>
  <c r="E278" i="21"/>
  <c r="E277" i="21"/>
  <c r="E276" i="21"/>
  <c r="E275" i="21"/>
  <c r="E274" i="21"/>
  <c r="E273" i="21"/>
  <c r="E271" i="21"/>
  <c r="G270" i="21"/>
  <c r="O270" i="21" s="1"/>
  <c r="W270" i="21" s="1"/>
  <c r="AE270" i="21" s="1"/>
  <c r="AM270" i="21" s="1"/>
  <c r="AU270" i="21" s="1"/>
  <c r="BC270" i="21" s="1"/>
  <c r="BK270" i="21" s="1"/>
  <c r="BK327" i="21" s="1"/>
  <c r="F270" i="21"/>
  <c r="E270" i="21" s="1"/>
  <c r="E269" i="21"/>
  <c r="E268" i="21"/>
  <c r="E267" i="21"/>
  <c r="E266" i="21"/>
  <c r="H265" i="21"/>
  <c r="E263" i="21"/>
  <c r="E261" i="21"/>
  <c r="E260" i="21"/>
  <c r="E259" i="21"/>
  <c r="G258" i="21"/>
  <c r="G254" i="21" s="1"/>
  <c r="F258" i="21"/>
  <c r="F254" i="21" s="1"/>
  <c r="E257" i="21"/>
  <c r="E256" i="21"/>
  <c r="E255" i="21"/>
  <c r="H254" i="21"/>
  <c r="E253" i="21"/>
  <c r="E252" i="21"/>
  <c r="E251" i="21"/>
  <c r="E250" i="21"/>
  <c r="E249" i="21"/>
  <c r="E248" i="21"/>
  <c r="E247" i="21"/>
  <c r="E246" i="21"/>
  <c r="E245" i="21"/>
  <c r="E244" i="21"/>
  <c r="E243" i="21"/>
  <c r="E242" i="21"/>
  <c r="H241" i="21"/>
  <c r="G241" i="21"/>
  <c r="F241" i="21"/>
  <c r="G240" i="21"/>
  <c r="G333" i="21" s="1"/>
  <c r="F240" i="21"/>
  <c r="N240" i="21" s="1"/>
  <c r="V240" i="21" s="1"/>
  <c r="AD240" i="21" s="1"/>
  <c r="AL240" i="21" s="1"/>
  <c r="AT240" i="21" s="1"/>
  <c r="E239" i="21"/>
  <c r="G238" i="21"/>
  <c r="O238" i="21" s="1"/>
  <c r="W238" i="21" s="1"/>
  <c r="AE238" i="21" s="1"/>
  <c r="AM238" i="21" s="1"/>
  <c r="AU238" i="21" s="1"/>
  <c r="BC238" i="21" s="1"/>
  <c r="BK238" i="21" s="1"/>
  <c r="F238" i="21"/>
  <c r="E238" i="21" s="1"/>
  <c r="E237" i="21"/>
  <c r="E236" i="21"/>
  <c r="E235" i="21"/>
  <c r="E234" i="21"/>
  <c r="E233" i="21"/>
  <c r="E232" i="21"/>
  <c r="E231" i="21"/>
  <c r="E230" i="21"/>
  <c r="E229" i="21"/>
  <c r="E228" i="21"/>
  <c r="H227" i="21"/>
  <c r="E226" i="21"/>
  <c r="E225" i="21"/>
  <c r="E223" i="21"/>
  <c r="E222" i="21"/>
  <c r="G221" i="21"/>
  <c r="O221" i="21" s="1"/>
  <c r="W221" i="21" s="1"/>
  <c r="AE221" i="21" s="1"/>
  <c r="AM221" i="21" s="1"/>
  <c r="AU221" i="21" s="1"/>
  <c r="BC221" i="21" s="1"/>
  <c r="BK221" i="21" s="1"/>
  <c r="E221" i="21"/>
  <c r="F220" i="21"/>
  <c r="E220" i="21" s="1"/>
  <c r="E219" i="21"/>
  <c r="E218" i="21"/>
  <c r="H217" i="21"/>
  <c r="E215" i="21"/>
  <c r="E214" i="21"/>
  <c r="E213" i="21"/>
  <c r="E212" i="21"/>
  <c r="E211" i="21"/>
  <c r="E210" i="21"/>
  <c r="G209" i="21"/>
  <c r="O209" i="21" s="1"/>
  <c r="W209" i="21" s="1"/>
  <c r="AE209" i="21" s="1"/>
  <c r="AM209" i="21" s="1"/>
  <c r="AU209" i="21" s="1"/>
  <c r="BC209" i="21" s="1"/>
  <c r="BK209" i="21" s="1"/>
  <c r="F209" i="21"/>
  <c r="N209" i="21" s="1"/>
  <c r="V209" i="21" s="1"/>
  <c r="AD209" i="21" s="1"/>
  <c r="AL209" i="21" s="1"/>
  <c r="AT209" i="21" s="1"/>
  <c r="BB209" i="21" s="1"/>
  <c r="BJ209" i="21" s="1"/>
  <c r="E208" i="21"/>
  <c r="E207" i="21"/>
  <c r="H206" i="21"/>
  <c r="E205" i="21"/>
  <c r="E204" i="21"/>
  <c r="E203" i="21"/>
  <c r="E202" i="21"/>
  <c r="E201" i="21"/>
  <c r="E200" i="21"/>
  <c r="E199" i="21"/>
  <c r="E198" i="21"/>
  <c r="E197" i="21"/>
  <c r="E196" i="21"/>
  <c r="E195" i="21"/>
  <c r="E194" i="21"/>
  <c r="E193" i="21"/>
  <c r="E192" i="21"/>
  <c r="E191" i="21"/>
  <c r="H190" i="21"/>
  <c r="G190" i="21"/>
  <c r="F190" i="21"/>
  <c r="E189" i="21"/>
  <c r="E188" i="21"/>
  <c r="E187" i="21"/>
  <c r="E186" i="21"/>
  <c r="E185" i="21"/>
  <c r="E184" i="21"/>
  <c r="E183" i="21"/>
  <c r="E182" i="21"/>
  <c r="H181" i="21"/>
  <c r="G181" i="21"/>
  <c r="F181" i="21"/>
  <c r="E180" i="21"/>
  <c r="E179" i="21"/>
  <c r="E178" i="21"/>
  <c r="E177" i="21"/>
  <c r="E176" i="21"/>
  <c r="E175" i="21"/>
  <c r="G174" i="21"/>
  <c r="O174" i="21" s="1"/>
  <c r="W174" i="21" s="1"/>
  <c r="AE174" i="21" s="1"/>
  <c r="AM174" i="21" s="1"/>
  <c r="AU174" i="21" s="1"/>
  <c r="BC174" i="21" s="1"/>
  <c r="BK174" i="21" s="1"/>
  <c r="E174" i="21"/>
  <c r="G173" i="21"/>
  <c r="O173" i="21" s="1"/>
  <c r="W173" i="21" s="1"/>
  <c r="AE173" i="21" s="1"/>
  <c r="AM173" i="21" s="1"/>
  <c r="AU173" i="21" s="1"/>
  <c r="BC173" i="21" s="1"/>
  <c r="BK173" i="21" s="1"/>
  <c r="F173" i="21"/>
  <c r="E173" i="21" s="1"/>
  <c r="E172" i="21"/>
  <c r="E171" i="21"/>
  <c r="H170" i="21"/>
  <c r="E169" i="21"/>
  <c r="E168" i="21"/>
  <c r="E167" i="21"/>
  <c r="E166" i="21"/>
  <c r="E165" i="21"/>
  <c r="E164" i="21"/>
  <c r="E163" i="21"/>
  <c r="G162" i="21"/>
  <c r="O162" i="21" s="1"/>
  <c r="W162" i="21" s="1"/>
  <c r="AE162" i="21" s="1"/>
  <c r="AM162" i="21" s="1"/>
  <c r="AU162" i="21" s="1"/>
  <c r="BC162" i="21" s="1"/>
  <c r="BK162" i="21" s="1"/>
  <c r="E162" i="21"/>
  <c r="G161" i="21"/>
  <c r="F161" i="21"/>
  <c r="F158" i="21" s="1"/>
  <c r="E160" i="21"/>
  <c r="E159" i="21"/>
  <c r="H158" i="21"/>
  <c r="E157" i="21"/>
  <c r="E156" i="21"/>
  <c r="E155" i="21"/>
  <c r="E154" i="21"/>
  <c r="E153" i="21"/>
  <c r="E152" i="21"/>
  <c r="E151" i="21"/>
  <c r="G150" i="21"/>
  <c r="O150" i="21" s="1"/>
  <c r="W150" i="21" s="1"/>
  <c r="AE150" i="21" s="1"/>
  <c r="AM150" i="21" s="1"/>
  <c r="AU150" i="21" s="1"/>
  <c r="BC150" i="21" s="1"/>
  <c r="BK150" i="21" s="1"/>
  <c r="E150" i="21"/>
  <c r="G149" i="21"/>
  <c r="F149" i="21"/>
  <c r="F146" i="21" s="1"/>
  <c r="E148" i="21"/>
  <c r="E147" i="21"/>
  <c r="H146" i="21"/>
  <c r="E145" i="21"/>
  <c r="E144" i="21"/>
  <c r="E143" i="21"/>
  <c r="E142" i="21"/>
  <c r="E141" i="21"/>
  <c r="E140" i="21"/>
  <c r="G139" i="21"/>
  <c r="O139" i="21" s="1"/>
  <c r="W139" i="21" s="1"/>
  <c r="AE139" i="21" s="1"/>
  <c r="AM139" i="21" s="1"/>
  <c r="AU139" i="21" s="1"/>
  <c r="BC139" i="21" s="1"/>
  <c r="BK139" i="21" s="1"/>
  <c r="E139" i="21"/>
  <c r="G138" i="21"/>
  <c r="F138" i="21"/>
  <c r="N138" i="21" s="1"/>
  <c r="E137" i="21"/>
  <c r="E136" i="21"/>
  <c r="H135" i="21"/>
  <c r="E134" i="21"/>
  <c r="E133" i="21"/>
  <c r="E132" i="21"/>
  <c r="E131" i="21"/>
  <c r="E130" i="21"/>
  <c r="E129" i="21"/>
  <c r="E128" i="21"/>
  <c r="E126" i="21"/>
  <c r="G125" i="21"/>
  <c r="O125" i="21" s="1"/>
  <c r="W125" i="21" s="1"/>
  <c r="AE125" i="21" s="1"/>
  <c r="AM125" i="21" s="1"/>
  <c r="AU125" i="21" s="1"/>
  <c r="BC125" i="21" s="1"/>
  <c r="BK125" i="21" s="1"/>
  <c r="E125" i="21"/>
  <c r="G124" i="21"/>
  <c r="O124" i="21" s="1"/>
  <c r="W124" i="21" s="1"/>
  <c r="AE124" i="21" s="1"/>
  <c r="AM124" i="21" s="1"/>
  <c r="AU124" i="21" s="1"/>
  <c r="BC124" i="21" s="1"/>
  <c r="BK124" i="21" s="1"/>
  <c r="F124" i="21"/>
  <c r="E124" i="21" s="1"/>
  <c r="E123" i="21"/>
  <c r="E122" i="21"/>
  <c r="H121" i="21"/>
  <c r="E119" i="21"/>
  <c r="E118" i="21"/>
  <c r="E117" i="21"/>
  <c r="E116" i="21"/>
  <c r="E115" i="21"/>
  <c r="E114" i="21"/>
  <c r="F113" i="21"/>
  <c r="E113" i="21" s="1"/>
  <c r="G112" i="21"/>
  <c r="O112" i="21" s="1"/>
  <c r="W112" i="21" s="1"/>
  <c r="AE112" i="21" s="1"/>
  <c r="AM112" i="21" s="1"/>
  <c r="AU112" i="21" s="1"/>
  <c r="BC112" i="21" s="1"/>
  <c r="BK112" i="21" s="1"/>
  <c r="E112" i="21"/>
  <c r="G111" i="21"/>
  <c r="O111" i="21" s="1"/>
  <c r="W111" i="21" s="1"/>
  <c r="AE111" i="21" s="1"/>
  <c r="AM111" i="21" s="1"/>
  <c r="AU111" i="21" s="1"/>
  <c r="BC111" i="21" s="1"/>
  <c r="BK111" i="21" s="1"/>
  <c r="F111" i="21"/>
  <c r="N111" i="21" s="1"/>
  <c r="V111" i="21" s="1"/>
  <c r="AD111" i="21" s="1"/>
  <c r="AL111" i="21" s="1"/>
  <c r="AT111" i="21" s="1"/>
  <c r="BB111" i="21" s="1"/>
  <c r="BJ111" i="21" s="1"/>
  <c r="E110" i="21"/>
  <c r="E109" i="21"/>
  <c r="H108" i="21"/>
  <c r="E107" i="21"/>
  <c r="E105" i="21"/>
  <c r="E104" i="21"/>
  <c r="E103" i="21"/>
  <c r="E102" i="21"/>
  <c r="E101" i="21"/>
  <c r="E100" i="21"/>
  <c r="F99" i="21"/>
  <c r="E99" i="21" s="1"/>
  <c r="G98" i="21"/>
  <c r="O98" i="21" s="1"/>
  <c r="W98" i="21" s="1"/>
  <c r="AE98" i="21" s="1"/>
  <c r="AM98" i="21" s="1"/>
  <c r="AU98" i="21" s="1"/>
  <c r="BC98" i="21" s="1"/>
  <c r="BK98" i="21" s="1"/>
  <c r="E98" i="21"/>
  <c r="G97" i="21"/>
  <c r="O97" i="21" s="1"/>
  <c r="W97" i="21" s="1"/>
  <c r="AE97" i="21" s="1"/>
  <c r="AM97" i="21" s="1"/>
  <c r="AU97" i="21" s="1"/>
  <c r="BC97" i="21" s="1"/>
  <c r="BK97" i="21" s="1"/>
  <c r="F97" i="21"/>
  <c r="E97" i="21" s="1"/>
  <c r="F96" i="21"/>
  <c r="E96" i="21" s="1"/>
  <c r="E95" i="21"/>
  <c r="H94" i="21"/>
  <c r="E93" i="21"/>
  <c r="E92" i="21"/>
  <c r="E91" i="21"/>
  <c r="E90" i="21"/>
  <c r="E89" i="21"/>
  <c r="F88" i="21"/>
  <c r="E88" i="21" s="1"/>
  <c r="G87" i="21"/>
  <c r="O87" i="21" s="1"/>
  <c r="W87" i="21" s="1"/>
  <c r="AE87" i="21" s="1"/>
  <c r="AM87" i="21" s="1"/>
  <c r="AU87" i="21" s="1"/>
  <c r="BC87" i="21" s="1"/>
  <c r="BK87" i="21" s="1"/>
  <c r="E87" i="21"/>
  <c r="G86" i="21"/>
  <c r="O86" i="21" s="1"/>
  <c r="W86" i="21" s="1"/>
  <c r="AE86" i="21" s="1"/>
  <c r="AM86" i="21" s="1"/>
  <c r="AU86" i="21" s="1"/>
  <c r="BC86" i="21" s="1"/>
  <c r="BK86" i="21" s="1"/>
  <c r="F86" i="21"/>
  <c r="N86" i="21" s="1"/>
  <c r="V86" i="21" s="1"/>
  <c r="AD86" i="21" s="1"/>
  <c r="AL86" i="21" s="1"/>
  <c r="AT86" i="21" s="1"/>
  <c r="BB86" i="21" s="1"/>
  <c r="BJ86" i="21" s="1"/>
  <c r="E85" i="21"/>
  <c r="E84" i="21"/>
  <c r="H83" i="21"/>
  <c r="E82" i="21"/>
  <c r="E80" i="21"/>
  <c r="E79" i="21"/>
  <c r="E78" i="21"/>
  <c r="E77" i="21"/>
  <c r="E76" i="21"/>
  <c r="F75" i="21"/>
  <c r="E75" i="21" s="1"/>
  <c r="G74" i="21"/>
  <c r="O74" i="21" s="1"/>
  <c r="W74" i="21" s="1"/>
  <c r="AE74" i="21" s="1"/>
  <c r="AM74" i="21" s="1"/>
  <c r="AU74" i="21" s="1"/>
  <c r="BC74" i="21" s="1"/>
  <c r="BK74" i="21" s="1"/>
  <c r="E74" i="21"/>
  <c r="G73" i="21"/>
  <c r="O73" i="21" s="1"/>
  <c r="W73" i="21" s="1"/>
  <c r="AE73" i="21" s="1"/>
  <c r="AM73" i="21" s="1"/>
  <c r="AU73" i="21" s="1"/>
  <c r="BC73" i="21" s="1"/>
  <c r="BK73" i="21" s="1"/>
  <c r="F73" i="21"/>
  <c r="E72" i="21"/>
  <c r="E71" i="21"/>
  <c r="H70" i="21"/>
  <c r="E69" i="21"/>
  <c r="E68" i="21"/>
  <c r="E67" i="21"/>
  <c r="E66" i="21"/>
  <c r="E65" i="21"/>
  <c r="E64" i="21"/>
  <c r="F63" i="21"/>
  <c r="E63" i="21" s="1"/>
  <c r="G62" i="21"/>
  <c r="O62" i="21" s="1"/>
  <c r="E62" i="21"/>
  <c r="G61" i="21"/>
  <c r="O61" i="21" s="1"/>
  <c r="W61" i="21" s="1"/>
  <c r="AE61" i="21" s="1"/>
  <c r="AM61" i="21" s="1"/>
  <c r="AU61" i="21" s="1"/>
  <c r="BC61" i="21" s="1"/>
  <c r="BK61" i="21" s="1"/>
  <c r="F61" i="21"/>
  <c r="E61" i="21" s="1"/>
  <c r="E60" i="21"/>
  <c r="E59" i="21"/>
  <c r="H58" i="21"/>
  <c r="E57" i="21"/>
  <c r="H56" i="21"/>
  <c r="H320" i="21" s="1"/>
  <c r="H55" i="21"/>
  <c r="F55" i="21"/>
  <c r="N55" i="21" s="1"/>
  <c r="V55" i="21" s="1"/>
  <c r="AD55" i="21" s="1"/>
  <c r="AL55" i="21" s="1"/>
  <c r="E54" i="21"/>
  <c r="E53" i="21"/>
  <c r="F52" i="21"/>
  <c r="E51" i="21"/>
  <c r="H50" i="21"/>
  <c r="H332" i="21" s="1"/>
  <c r="F50" i="21"/>
  <c r="N50" i="21" s="1"/>
  <c r="V50" i="21" s="1"/>
  <c r="AD50" i="21" s="1"/>
  <c r="AL50" i="21" s="1"/>
  <c r="AT50" i="21" s="1"/>
  <c r="E49" i="21"/>
  <c r="E48" i="21"/>
  <c r="E47" i="21"/>
  <c r="E46" i="21"/>
  <c r="E45" i="21"/>
  <c r="E44" i="21"/>
  <c r="E43" i="21"/>
  <c r="E42" i="21"/>
  <c r="E41" i="21"/>
  <c r="G40" i="21"/>
  <c r="O40" i="21" s="1"/>
  <c r="F40" i="21"/>
  <c r="N40" i="21" s="1"/>
  <c r="V40" i="21" s="1"/>
  <c r="AD40" i="21" s="1"/>
  <c r="AL40" i="21" s="1"/>
  <c r="AT40" i="21" s="1"/>
  <c r="BB40" i="21" s="1"/>
  <c r="BJ40" i="21" s="1"/>
  <c r="E39" i="21"/>
  <c r="E38" i="21"/>
  <c r="E37" i="21"/>
  <c r="E35" i="21"/>
  <c r="F33" i="21"/>
  <c r="E33" i="21" s="1"/>
  <c r="G32" i="21"/>
  <c r="G326" i="21" s="1"/>
  <c r="F32" i="21"/>
  <c r="E32" i="21" s="1"/>
  <c r="E30" i="21"/>
  <c r="E29" i="21"/>
  <c r="G28" i="21"/>
  <c r="O28" i="21" s="1"/>
  <c r="W28" i="21" s="1"/>
  <c r="AE28" i="21" s="1"/>
  <c r="AM28" i="21" s="1"/>
  <c r="AU28" i="21" s="1"/>
  <c r="BC28" i="21" s="1"/>
  <c r="BK28" i="21" s="1"/>
  <c r="F28" i="21"/>
  <c r="F319" i="21" s="1"/>
  <c r="E27" i="21"/>
  <c r="E26" i="21"/>
  <c r="E25" i="21"/>
  <c r="E24" i="21"/>
  <c r="F23" i="21"/>
  <c r="E23" i="21" s="1"/>
  <c r="E22" i="21"/>
  <c r="F21" i="21"/>
  <c r="N21" i="21" s="1"/>
  <c r="V21" i="21" s="1"/>
  <c r="AD21" i="21" s="1"/>
  <c r="AL21" i="21" s="1"/>
  <c r="AT21" i="21" s="1"/>
  <c r="E20" i="21"/>
  <c r="E18" i="21"/>
  <c r="E17" i="21"/>
  <c r="H16" i="21"/>
  <c r="G16" i="21"/>
  <c r="F16" i="21"/>
  <c r="BA336" i="21" l="1"/>
  <c r="BJ336" i="21"/>
  <c r="BI336" i="21" s="1"/>
  <c r="BA216" i="21"/>
  <c r="BJ216" i="21"/>
  <c r="BI216" i="21" s="1"/>
  <c r="BA31" i="21"/>
  <c r="BL31" i="21"/>
  <c r="BI31" i="21" s="1"/>
  <c r="BA264" i="21"/>
  <c r="BL264" i="21"/>
  <c r="BI264" i="21" s="1"/>
  <c r="BA337" i="21"/>
  <c r="BB285" i="21"/>
  <c r="BJ285" i="21" s="1"/>
  <c r="BB232" i="21"/>
  <c r="BJ232" i="21" s="1"/>
  <c r="AK166" i="21"/>
  <c r="AV166" i="21"/>
  <c r="BD166" i="21" s="1"/>
  <c r="BL166" i="21" s="1"/>
  <c r="AS208" i="21"/>
  <c r="BD208" i="21"/>
  <c r="BL208" i="21" s="1"/>
  <c r="BB169" i="21"/>
  <c r="BJ169" i="21" s="1"/>
  <c r="AS204" i="21"/>
  <c r="BD204" i="21"/>
  <c r="AS196" i="21"/>
  <c r="BD196" i="21"/>
  <c r="AS168" i="21"/>
  <c r="BD168" i="21"/>
  <c r="BB166" i="21"/>
  <c r="BJ166" i="21" s="1"/>
  <c r="BI166" i="21" s="1"/>
  <c r="AS150" i="21"/>
  <c r="BD150" i="21"/>
  <c r="BD130" i="21"/>
  <c r="BL130" i="21" s="1"/>
  <c r="AU321" i="21"/>
  <c r="BC43" i="21"/>
  <c r="BB100" i="21"/>
  <c r="BJ100" i="21" s="1"/>
  <c r="BB237" i="21"/>
  <c r="BJ237" i="21" s="1"/>
  <c r="BD123" i="21"/>
  <c r="AS123" i="21"/>
  <c r="BB305" i="21"/>
  <c r="BJ305" i="21" s="1"/>
  <c r="BB296" i="21"/>
  <c r="BJ296" i="21" s="1"/>
  <c r="BB287" i="21"/>
  <c r="BJ287" i="21" s="1"/>
  <c r="BB277" i="21"/>
  <c r="BJ277" i="21" s="1"/>
  <c r="AS184" i="21"/>
  <c r="BD184" i="21"/>
  <c r="BB143" i="21"/>
  <c r="BJ143" i="21" s="1"/>
  <c r="BB91" i="21"/>
  <c r="BJ91" i="21" s="1"/>
  <c r="BB64" i="21"/>
  <c r="BJ64" i="21" s="1"/>
  <c r="AS134" i="21"/>
  <c r="BB134" i="21"/>
  <c r="AS114" i="21"/>
  <c r="BB114" i="21"/>
  <c r="BB268" i="21"/>
  <c r="BJ268" i="21" s="1"/>
  <c r="BB229" i="21"/>
  <c r="BJ229" i="21" s="1"/>
  <c r="BB311" i="21"/>
  <c r="BJ311" i="21" s="1"/>
  <c r="BB283" i="21"/>
  <c r="BJ283" i="21" s="1"/>
  <c r="BB274" i="21"/>
  <c r="BJ274" i="21" s="1"/>
  <c r="BB249" i="21"/>
  <c r="BJ249" i="21" s="1"/>
  <c r="BC246" i="21"/>
  <c r="BK246" i="21" s="1"/>
  <c r="BD180" i="21"/>
  <c r="AS180" i="21"/>
  <c r="AK162" i="21"/>
  <c r="AV162" i="21"/>
  <c r="AK130" i="21"/>
  <c r="AT130" i="21"/>
  <c r="BB130" i="21" s="1"/>
  <c r="BJ130" i="21" s="1"/>
  <c r="BI130" i="21" s="1"/>
  <c r="BB69" i="21"/>
  <c r="BJ69" i="21" s="1"/>
  <c r="BB21" i="21"/>
  <c r="BJ21" i="21" s="1"/>
  <c r="AK128" i="21"/>
  <c r="AV128" i="21"/>
  <c r="AS110" i="21"/>
  <c r="BB110" i="21"/>
  <c r="BJ110" i="21" s="1"/>
  <c r="BI110" i="21" s="1"/>
  <c r="AS182" i="21"/>
  <c r="BD182" i="21"/>
  <c r="BB50" i="21"/>
  <c r="BJ50" i="21" s="1"/>
  <c r="BB255" i="21"/>
  <c r="BJ255" i="21" s="1"/>
  <c r="BB246" i="21"/>
  <c r="BJ246" i="21" s="1"/>
  <c r="BB218" i="21"/>
  <c r="BJ218" i="21" s="1"/>
  <c r="AS210" i="21"/>
  <c r="BD210" i="21"/>
  <c r="BL210" i="21" s="1"/>
  <c r="BI210" i="21" s="1"/>
  <c r="BB175" i="21"/>
  <c r="BJ175" i="21" s="1"/>
  <c r="BD148" i="21"/>
  <c r="AS148" i="21"/>
  <c r="BB126" i="21"/>
  <c r="BJ126" i="21" s="1"/>
  <c r="BB115" i="21"/>
  <c r="BJ115" i="21" s="1"/>
  <c r="AU328" i="21"/>
  <c r="BC35" i="21"/>
  <c r="BB215" i="21"/>
  <c r="BJ215" i="21" s="1"/>
  <c r="AK194" i="21"/>
  <c r="AV194" i="21"/>
  <c r="BD176" i="21"/>
  <c r="BL176" i="21" s="1"/>
  <c r="AK156" i="21"/>
  <c r="AV156" i="21"/>
  <c r="BB131" i="21"/>
  <c r="BJ131" i="21" s="1"/>
  <c r="AT55" i="21"/>
  <c r="BB55" i="21" s="1"/>
  <c r="BJ55" i="21" s="1"/>
  <c r="BB286" i="21"/>
  <c r="BJ286" i="21" s="1"/>
  <c r="BD253" i="21"/>
  <c r="BL253" i="21" s="1"/>
  <c r="BI253" i="21" s="1"/>
  <c r="AS253" i="21"/>
  <c r="BB207" i="21"/>
  <c r="BJ207" i="21" s="1"/>
  <c r="BD200" i="21"/>
  <c r="AS200" i="21"/>
  <c r="AS198" i="21"/>
  <c r="BB198" i="21"/>
  <c r="BD192" i="21"/>
  <c r="BL192" i="21" s="1"/>
  <c r="BB189" i="21"/>
  <c r="BJ189" i="21" s="1"/>
  <c r="AS164" i="21"/>
  <c r="BD164" i="21"/>
  <c r="BB152" i="21"/>
  <c r="BJ152" i="21" s="1"/>
  <c r="BD125" i="21"/>
  <c r="AS125" i="21"/>
  <c r="BA110" i="21"/>
  <c r="BC50" i="21"/>
  <c r="AU332" i="21"/>
  <c r="AT328" i="21"/>
  <c r="BB35" i="21"/>
  <c r="BC29" i="21"/>
  <c r="BK29" i="21" s="1"/>
  <c r="BB223" i="21"/>
  <c r="BJ223" i="21" s="1"/>
  <c r="AK202" i="21"/>
  <c r="AV202" i="21"/>
  <c r="AS214" i="21"/>
  <c r="BD214" i="21"/>
  <c r="BB240" i="21"/>
  <c r="BJ240" i="21" s="1"/>
  <c r="E21" i="21"/>
  <c r="BD303" i="21"/>
  <c r="BL303" i="21" s="1"/>
  <c r="BC232" i="21"/>
  <c r="BK232" i="21" s="1"/>
  <c r="BD212" i="21"/>
  <c r="BL212" i="21" s="1"/>
  <c r="BB203" i="21"/>
  <c r="BJ203" i="21" s="1"/>
  <c r="BB195" i="21"/>
  <c r="BJ195" i="21" s="1"/>
  <c r="AK188" i="21"/>
  <c r="AV188" i="21"/>
  <c r="AS186" i="21"/>
  <c r="BB186" i="21"/>
  <c r="BB157" i="21"/>
  <c r="BJ157" i="21" s="1"/>
  <c r="BD138" i="21"/>
  <c r="BL138" i="21" s="1"/>
  <c r="BC100" i="21"/>
  <c r="BK100" i="21" s="1"/>
  <c r="BB47" i="21"/>
  <c r="BJ47" i="21" s="1"/>
  <c r="BJ331" i="21" s="1"/>
  <c r="BB29" i="21"/>
  <c r="BJ29" i="21" s="1"/>
  <c r="AS337" i="21"/>
  <c r="BB290" i="21"/>
  <c r="BJ290" i="21" s="1"/>
  <c r="BC263" i="21"/>
  <c r="BK263" i="21" s="1"/>
  <c r="BB263" i="21"/>
  <c r="BJ263" i="21" s="1"/>
  <c r="AS178" i="21"/>
  <c r="BB178" i="21"/>
  <c r="BD154" i="21"/>
  <c r="AS154" i="21"/>
  <c r="BB118" i="21"/>
  <c r="BJ118" i="21" s="1"/>
  <c r="AK116" i="21"/>
  <c r="AV116" i="21"/>
  <c r="AS103" i="21"/>
  <c r="BD103" i="21"/>
  <c r="BB79" i="21"/>
  <c r="BJ79" i="21" s="1"/>
  <c r="BB78" i="21"/>
  <c r="BJ78" i="21" s="1"/>
  <c r="BC79" i="21"/>
  <c r="BK79" i="21" s="1"/>
  <c r="AU330" i="21"/>
  <c r="BC80" i="21"/>
  <c r="AU331" i="21"/>
  <c r="BB80" i="21"/>
  <c r="BJ80" i="21" s="1"/>
  <c r="AT331" i="21"/>
  <c r="AV99" i="21"/>
  <c r="BD99" i="21" s="1"/>
  <c r="BL99" i="21" s="1"/>
  <c r="AU99" i="21"/>
  <c r="BC99" i="21" s="1"/>
  <c r="BK99" i="21" s="1"/>
  <c r="AK186" i="21"/>
  <c r="AK103" i="21"/>
  <c r="AK125" i="21"/>
  <c r="E335" i="21"/>
  <c r="AK214" i="21"/>
  <c r="AK208" i="21"/>
  <c r="AK182" i="21"/>
  <c r="AK123" i="21"/>
  <c r="AK148" i="21"/>
  <c r="AC142" i="21"/>
  <c r="AN142" i="21"/>
  <c r="AC132" i="21"/>
  <c r="AN132" i="21"/>
  <c r="AM328" i="21"/>
  <c r="K333" i="21"/>
  <c r="AK253" i="21"/>
  <c r="AK200" i="21"/>
  <c r="AK198" i="21"/>
  <c r="AK180" i="21"/>
  <c r="AK164" i="21"/>
  <c r="AK154" i="21"/>
  <c r="AK134" i="21"/>
  <c r="AK114" i="21"/>
  <c r="AK110" i="21"/>
  <c r="AM332" i="21"/>
  <c r="AL328" i="21"/>
  <c r="AK210" i="21"/>
  <c r="AC169" i="21"/>
  <c r="AN169" i="21"/>
  <c r="AC160" i="21"/>
  <c r="AN160" i="21"/>
  <c r="AC105" i="21"/>
  <c r="AN105" i="21"/>
  <c r="AM330" i="21"/>
  <c r="AC152" i="21"/>
  <c r="AN152" i="21"/>
  <c r="AK204" i="21"/>
  <c r="AK196" i="21"/>
  <c r="AK178" i="21"/>
  <c r="AC176" i="21"/>
  <c r="AL176" i="21"/>
  <c r="AK168" i="21"/>
  <c r="AM321" i="21"/>
  <c r="AC140" i="21"/>
  <c r="AL140" i="21"/>
  <c r="AL331" i="21"/>
  <c r="AC76" i="21"/>
  <c r="AN76" i="21"/>
  <c r="P181" i="21"/>
  <c r="X181" i="21" s="1"/>
  <c r="AF181" i="21" s="1"/>
  <c r="P227" i="21"/>
  <c r="N190" i="21"/>
  <c r="V190" i="21" s="1"/>
  <c r="AD190" i="21" s="1"/>
  <c r="AL190" i="21" s="1"/>
  <c r="AT190" i="21" s="1"/>
  <c r="BB190" i="21" s="1"/>
  <c r="BJ190" i="21" s="1"/>
  <c r="O241" i="21"/>
  <c r="W241" i="21" s="1"/>
  <c r="AE241" i="21" s="1"/>
  <c r="AM241" i="21" s="1"/>
  <c r="AU241" i="21" s="1"/>
  <c r="BC241" i="21" s="1"/>
  <c r="BK241" i="21" s="1"/>
  <c r="K322" i="21"/>
  <c r="AE324" i="21"/>
  <c r="AM311" i="21"/>
  <c r="AK184" i="21"/>
  <c r="AK150" i="21"/>
  <c r="AC136" i="21"/>
  <c r="AN136" i="21"/>
  <c r="AM331" i="21"/>
  <c r="AC112" i="21"/>
  <c r="AN112" i="21"/>
  <c r="AC39" i="21"/>
  <c r="AN39" i="21"/>
  <c r="AM119" i="21"/>
  <c r="AU119" i="21" s="1"/>
  <c r="BC119" i="21" s="1"/>
  <c r="BK119" i="21" s="1"/>
  <c r="AC253" i="21"/>
  <c r="AC154" i="21"/>
  <c r="AC134" i="21"/>
  <c r="AC114" i="21"/>
  <c r="AC110" i="21"/>
  <c r="AD318" i="21"/>
  <c r="E16" i="21"/>
  <c r="AC166" i="21"/>
  <c r="AE321" i="21"/>
  <c r="I57" i="21"/>
  <c r="AC210" i="21"/>
  <c r="AC186" i="21"/>
  <c r="AC162" i="21"/>
  <c r="AC148" i="21"/>
  <c r="AC103" i="21"/>
  <c r="AE328" i="21"/>
  <c r="U174" i="21"/>
  <c r="AF174" i="21"/>
  <c r="U144" i="21"/>
  <c r="AF144" i="21"/>
  <c r="AC125" i="21"/>
  <c r="U101" i="21"/>
  <c r="AF101" i="21"/>
  <c r="AC164" i="21"/>
  <c r="AC156" i="21"/>
  <c r="AC128" i="21"/>
  <c r="AC116" i="21"/>
  <c r="F121" i="21"/>
  <c r="N121" i="21" s="1"/>
  <c r="V121" i="21" s="1"/>
  <c r="AD121" i="21" s="1"/>
  <c r="AL121" i="21" s="1"/>
  <c r="AT121" i="21" s="1"/>
  <c r="BB121" i="21" s="1"/>
  <c r="BJ121" i="21" s="1"/>
  <c r="N241" i="21"/>
  <c r="V241" i="21" s="1"/>
  <c r="AD241" i="21" s="1"/>
  <c r="AL241" i="21" s="1"/>
  <c r="AT241" i="21" s="1"/>
  <c r="BB241" i="21" s="1"/>
  <c r="BJ241" i="21" s="1"/>
  <c r="AC214" i="21"/>
  <c r="AC208" i="21"/>
  <c r="AE332" i="21"/>
  <c r="AD328" i="21"/>
  <c r="U172" i="21"/>
  <c r="AF172" i="21"/>
  <c r="AC123" i="21"/>
  <c r="AC178" i="21"/>
  <c r="AC168" i="21"/>
  <c r="AC150" i="21"/>
  <c r="AC130" i="21"/>
  <c r="U118" i="21"/>
  <c r="AF118" i="21"/>
  <c r="E319" i="21"/>
  <c r="AC194" i="21"/>
  <c r="AC180" i="21"/>
  <c r="AC200" i="21"/>
  <c r="AC182" i="21"/>
  <c r="AD331" i="21"/>
  <c r="AC204" i="21"/>
  <c r="AE330" i="21"/>
  <c r="AC196" i="21"/>
  <c r="AC184" i="21"/>
  <c r="AC198" i="21"/>
  <c r="AC188" i="21"/>
  <c r="AC202" i="21"/>
  <c r="AD192" i="21"/>
  <c r="AL192" i="21" s="1"/>
  <c r="AE331" i="21"/>
  <c r="P241" i="21"/>
  <c r="P94" i="21"/>
  <c r="X94" i="21" s="1"/>
  <c r="AF94" i="21" s="1"/>
  <c r="AN94" i="21" s="1"/>
  <c r="AV94" i="21" s="1"/>
  <c r="BD94" i="21" s="1"/>
  <c r="BL94" i="21" s="1"/>
  <c r="N254" i="21"/>
  <c r="V254" i="21" s="1"/>
  <c r="AD254" i="21" s="1"/>
  <c r="AL254" i="21" s="1"/>
  <c r="AT254" i="21" s="1"/>
  <c r="U132" i="21"/>
  <c r="U148" i="21"/>
  <c r="U253" i="21"/>
  <c r="P146" i="21"/>
  <c r="X146" i="21" s="1"/>
  <c r="AF146" i="21" s="1"/>
  <c r="AN146" i="21" s="1"/>
  <c r="AV146" i="21" s="1"/>
  <c r="U188" i="21"/>
  <c r="G295" i="21"/>
  <c r="O309" i="21"/>
  <c r="W309" i="21" s="1"/>
  <c r="AE309" i="21" s="1"/>
  <c r="AM309" i="21" s="1"/>
  <c r="AU309" i="21" s="1"/>
  <c r="BC309" i="21" s="1"/>
  <c r="BK309" i="21" s="1"/>
  <c r="U194" i="21"/>
  <c r="I158" i="21"/>
  <c r="N158" i="21"/>
  <c r="V158" i="21" s="1"/>
  <c r="AD158" i="21" s="1"/>
  <c r="AL158" i="21" s="1"/>
  <c r="AT158" i="21" s="1"/>
  <c r="U130" i="21"/>
  <c r="V333" i="21"/>
  <c r="M150" i="21"/>
  <c r="U200" i="21"/>
  <c r="E190" i="21"/>
  <c r="F206" i="21"/>
  <c r="E206" i="21" s="1"/>
  <c r="M164" i="21"/>
  <c r="P326" i="21"/>
  <c r="F279" i="21"/>
  <c r="E279" i="21" s="1"/>
  <c r="N309" i="21"/>
  <c r="V309" i="21" s="1"/>
  <c r="AD309" i="21" s="1"/>
  <c r="AL309" i="21" s="1"/>
  <c r="AT309" i="21" s="1"/>
  <c r="BB309" i="21" s="1"/>
  <c r="BJ309" i="21" s="1"/>
  <c r="M154" i="21"/>
  <c r="U156" i="21"/>
  <c r="U134" i="21"/>
  <c r="U125" i="21"/>
  <c r="F265" i="21"/>
  <c r="U152" i="21"/>
  <c r="E309" i="21"/>
  <c r="O16" i="21"/>
  <c r="W16" i="21" s="1"/>
  <c r="AE16" i="21" s="1"/>
  <c r="AM16" i="21" s="1"/>
  <c r="AU16" i="21" s="1"/>
  <c r="BC16" i="21" s="1"/>
  <c r="BK16" i="21" s="1"/>
  <c r="I190" i="21"/>
  <c r="M134" i="21"/>
  <c r="M180" i="21"/>
  <c r="N16" i="21"/>
  <c r="V16" i="21" s="1"/>
  <c r="AD16" i="21" s="1"/>
  <c r="AL16" i="21" s="1"/>
  <c r="AT16" i="21" s="1"/>
  <c r="BB16" i="21" s="1"/>
  <c r="BJ16" i="21" s="1"/>
  <c r="F135" i="21"/>
  <c r="N135" i="21" s="1"/>
  <c r="V135" i="21" s="1"/>
  <c r="AD135" i="21" s="1"/>
  <c r="AL135" i="21" s="1"/>
  <c r="AT135" i="21" s="1"/>
  <c r="BB135" i="21" s="1"/>
  <c r="BJ135" i="21" s="1"/>
  <c r="N181" i="21"/>
  <c r="V181" i="21" s="1"/>
  <c r="AD181" i="21" s="1"/>
  <c r="O254" i="21"/>
  <c r="W254" i="21" s="1"/>
  <c r="AE254" i="21" s="1"/>
  <c r="AM254" i="21" s="1"/>
  <c r="AU254" i="21" s="1"/>
  <c r="BC254" i="21" s="1"/>
  <c r="BK254" i="21" s="1"/>
  <c r="N299" i="21"/>
  <c r="V299" i="21" s="1"/>
  <c r="AD299" i="21" s="1"/>
  <c r="AL299" i="21" s="1"/>
  <c r="AT299" i="21" s="1"/>
  <c r="U196" i="21"/>
  <c r="M194" i="21"/>
  <c r="M116" i="21"/>
  <c r="M208" i="21"/>
  <c r="E265" i="21"/>
  <c r="M136" i="21"/>
  <c r="E40" i="21"/>
  <c r="P108" i="21"/>
  <c r="X108" i="21" s="1"/>
  <c r="AF108" i="21" s="1"/>
  <c r="AN108" i="21" s="1"/>
  <c r="AV108" i="21" s="1"/>
  <c r="P121" i="21"/>
  <c r="X121" i="21" s="1"/>
  <c r="AF121" i="21" s="1"/>
  <c r="AN121" i="21" s="1"/>
  <c r="AV121" i="21" s="1"/>
  <c r="P135" i="21"/>
  <c r="G158" i="21"/>
  <c r="O158" i="21" s="1"/>
  <c r="W158" i="21" s="1"/>
  <c r="AE158" i="21" s="1"/>
  <c r="AM158" i="21" s="1"/>
  <c r="AU158" i="21" s="1"/>
  <c r="BC158" i="21" s="1"/>
  <c r="BK158" i="21" s="1"/>
  <c r="O181" i="21"/>
  <c r="W181" i="21" s="1"/>
  <c r="AE181" i="21" s="1"/>
  <c r="AM181" i="21" s="1"/>
  <c r="AU181" i="21" s="1"/>
  <c r="BC181" i="21" s="1"/>
  <c r="BK181" i="21" s="1"/>
  <c r="E209" i="21"/>
  <c r="O328" i="21"/>
  <c r="N284" i="21"/>
  <c r="V284" i="21" s="1"/>
  <c r="AD284" i="21" s="1"/>
  <c r="AL284" i="21" s="1"/>
  <c r="AT284" i="21" s="1"/>
  <c r="BB284" i="21" s="1"/>
  <c r="BJ284" i="21" s="1"/>
  <c r="M196" i="21"/>
  <c r="U176" i="21"/>
  <c r="M162" i="21"/>
  <c r="M118" i="21"/>
  <c r="U112" i="21"/>
  <c r="N61" i="21"/>
  <c r="V61" i="21" s="1"/>
  <c r="AD61" i="21" s="1"/>
  <c r="AL61" i="21" s="1"/>
  <c r="AT61" i="21" s="1"/>
  <c r="BB61" i="21" s="1"/>
  <c r="BJ61" i="21" s="1"/>
  <c r="N23" i="21"/>
  <c r="V23" i="21" s="1"/>
  <c r="AD23" i="21" s="1"/>
  <c r="AL23" i="21" s="1"/>
  <c r="AT23" i="21" s="1"/>
  <c r="BB23" i="21" s="1"/>
  <c r="BJ23" i="21" s="1"/>
  <c r="P309" i="21"/>
  <c r="M198" i="21"/>
  <c r="M182" i="21"/>
  <c r="P254" i="21"/>
  <c r="U214" i="21"/>
  <c r="U160" i="21"/>
  <c r="U128" i="21"/>
  <c r="O32" i="21"/>
  <c r="O322" i="21" s="1"/>
  <c r="P206" i="21"/>
  <c r="X206" i="21" s="1"/>
  <c r="AF206" i="21" s="1"/>
  <c r="AN206" i="21" s="1"/>
  <c r="AV206" i="21" s="1"/>
  <c r="G265" i="21"/>
  <c r="O265" i="21" s="1"/>
  <c r="W265" i="21" s="1"/>
  <c r="AE265" i="21" s="1"/>
  <c r="AM265" i="21" s="1"/>
  <c r="AU265" i="21" s="1"/>
  <c r="BC265" i="21" s="1"/>
  <c r="BK265" i="21" s="1"/>
  <c r="M103" i="21"/>
  <c r="P58" i="21"/>
  <c r="X58" i="21" s="1"/>
  <c r="AF58" i="21" s="1"/>
  <c r="AN58" i="21" s="1"/>
  <c r="AV58" i="21" s="1"/>
  <c r="E146" i="21"/>
  <c r="P217" i="21"/>
  <c r="X217" i="21" s="1"/>
  <c r="AF217" i="21" s="1"/>
  <c r="AN217" i="21" s="1"/>
  <c r="AV217" i="21" s="1"/>
  <c r="G83" i="21"/>
  <c r="O83" i="21" s="1"/>
  <c r="W83" i="21" s="1"/>
  <c r="AE83" i="21" s="1"/>
  <c r="AM83" i="21" s="1"/>
  <c r="AU83" i="21" s="1"/>
  <c r="BC83" i="21" s="1"/>
  <c r="BK83" i="21" s="1"/>
  <c r="G146" i="21"/>
  <c r="O146" i="21" s="1"/>
  <c r="W146" i="21" s="1"/>
  <c r="AE146" i="21" s="1"/>
  <c r="AM146" i="21" s="1"/>
  <c r="AU146" i="21" s="1"/>
  <c r="BC146" i="21" s="1"/>
  <c r="BK146" i="21" s="1"/>
  <c r="P170" i="21"/>
  <c r="X170" i="21" s="1"/>
  <c r="AF170" i="21" s="1"/>
  <c r="AN170" i="21" s="1"/>
  <c r="AV170" i="21" s="1"/>
  <c r="H317" i="21"/>
  <c r="P83" i="21"/>
  <c r="X83" i="21" s="1"/>
  <c r="AF83" i="21" s="1"/>
  <c r="AN83" i="21" s="1"/>
  <c r="AV83" i="21" s="1"/>
  <c r="BD83" i="21" s="1"/>
  <c r="BL83" i="21" s="1"/>
  <c r="E111" i="21"/>
  <c r="E138" i="21"/>
  <c r="O190" i="21"/>
  <c r="W190" i="21" s="1"/>
  <c r="AE190" i="21" s="1"/>
  <c r="AM190" i="21" s="1"/>
  <c r="AU190" i="21" s="1"/>
  <c r="BC190" i="21" s="1"/>
  <c r="BK190" i="21" s="1"/>
  <c r="G322" i="21"/>
  <c r="I16" i="21"/>
  <c r="O240" i="21"/>
  <c r="W240" i="21" s="1"/>
  <c r="AE240" i="21" s="1"/>
  <c r="AM240" i="21" s="1"/>
  <c r="AU240" i="21" s="1"/>
  <c r="BC240" i="21" s="1"/>
  <c r="BK240" i="21" s="1"/>
  <c r="M166" i="21"/>
  <c r="M152" i="21"/>
  <c r="O149" i="21"/>
  <c r="W149" i="21" s="1"/>
  <c r="AE149" i="21" s="1"/>
  <c r="AM149" i="21" s="1"/>
  <c r="AU149" i="21" s="1"/>
  <c r="BC149" i="21" s="1"/>
  <c r="BK149" i="21" s="1"/>
  <c r="U114" i="21"/>
  <c r="U110" i="21"/>
  <c r="U39" i="21"/>
  <c r="U105" i="21"/>
  <c r="N331" i="21"/>
  <c r="W300" i="21"/>
  <c r="AE300" i="21" s="1"/>
  <c r="W40" i="21"/>
  <c r="O320" i="21"/>
  <c r="W62" i="21"/>
  <c r="O319" i="21"/>
  <c r="V138" i="21"/>
  <c r="AD138" i="21" s="1"/>
  <c r="M138" i="21"/>
  <c r="M306" i="21"/>
  <c r="X306" i="21"/>
  <c r="M281" i="21"/>
  <c r="X281" i="21"/>
  <c r="M223" i="21"/>
  <c r="X223" i="21"/>
  <c r="M195" i="21"/>
  <c r="X195" i="21"/>
  <c r="M117" i="21"/>
  <c r="X117" i="21"/>
  <c r="O321" i="21"/>
  <c r="M245" i="21"/>
  <c r="X245" i="21"/>
  <c r="M207" i="21"/>
  <c r="X207" i="21"/>
  <c r="M200" i="21"/>
  <c r="M168" i="21"/>
  <c r="M165" i="21"/>
  <c r="X165" i="21"/>
  <c r="M153" i="21"/>
  <c r="X153" i="21"/>
  <c r="N149" i="21"/>
  <c r="V149" i="21" s="1"/>
  <c r="AD149" i="21" s="1"/>
  <c r="AL149" i="21" s="1"/>
  <c r="AT149" i="21" s="1"/>
  <c r="M105" i="21"/>
  <c r="M102" i="21"/>
  <c r="X102" i="21"/>
  <c r="E181" i="21"/>
  <c r="O332" i="21"/>
  <c r="W324" i="21"/>
  <c r="M308" i="21"/>
  <c r="X308" i="21"/>
  <c r="M300" i="21"/>
  <c r="X300" i="21"/>
  <c r="AF300" i="21" s="1"/>
  <c r="M291" i="21"/>
  <c r="X291" i="21"/>
  <c r="M283" i="21"/>
  <c r="X283" i="21"/>
  <c r="AF283" i="21" s="1"/>
  <c r="M277" i="21"/>
  <c r="X277" i="21"/>
  <c r="M268" i="21"/>
  <c r="X268" i="21"/>
  <c r="X258" i="21"/>
  <c r="AF258" i="21" s="1"/>
  <c r="AN258" i="21" s="1"/>
  <c r="M250" i="21"/>
  <c r="X250" i="21"/>
  <c r="M242" i="21"/>
  <c r="X242" i="21"/>
  <c r="M234" i="21"/>
  <c r="X234" i="21"/>
  <c r="M225" i="21"/>
  <c r="X225" i="21"/>
  <c r="M212" i="21"/>
  <c r="V212" i="21"/>
  <c r="M209" i="21"/>
  <c r="X209" i="21"/>
  <c r="U204" i="21"/>
  <c r="M202" i="21"/>
  <c r="M199" i="21"/>
  <c r="X199" i="21"/>
  <c r="M186" i="21"/>
  <c r="M183" i="21"/>
  <c r="X183" i="21"/>
  <c r="M167" i="21"/>
  <c r="X167" i="21"/>
  <c r="M155" i="21"/>
  <c r="X155" i="21"/>
  <c r="M142" i="21"/>
  <c r="M139" i="21"/>
  <c r="X139" i="21"/>
  <c r="M125" i="21"/>
  <c r="M122" i="21"/>
  <c r="X122" i="21"/>
  <c r="M104" i="21"/>
  <c r="X104" i="21"/>
  <c r="X97" i="21"/>
  <c r="AF97" i="21" s="1"/>
  <c r="AN97" i="21" s="1"/>
  <c r="AV97" i="21" s="1"/>
  <c r="M89" i="21"/>
  <c r="X89" i="21"/>
  <c r="M79" i="21"/>
  <c r="X79" i="21"/>
  <c r="M71" i="21"/>
  <c r="X71" i="21"/>
  <c r="M65" i="21"/>
  <c r="X65" i="21"/>
  <c r="N63" i="21"/>
  <c r="V63" i="21" s="1"/>
  <c r="AD63" i="21" s="1"/>
  <c r="AL63" i="21" s="1"/>
  <c r="AT63" i="21" s="1"/>
  <c r="BB63" i="21" s="1"/>
  <c r="BJ63" i="21" s="1"/>
  <c r="M57" i="21"/>
  <c r="X57" i="21"/>
  <c r="M49" i="21"/>
  <c r="X49" i="21"/>
  <c r="M41" i="21"/>
  <c r="X41" i="21"/>
  <c r="AF41" i="21" s="1"/>
  <c r="W328" i="21"/>
  <c r="M30" i="21"/>
  <c r="X30" i="21"/>
  <c r="N28" i="21"/>
  <c r="V28" i="21" s="1"/>
  <c r="M22" i="21"/>
  <c r="X22" i="21"/>
  <c r="M298" i="21"/>
  <c r="X298" i="21"/>
  <c r="M266" i="21"/>
  <c r="X266" i="21"/>
  <c r="M248" i="21"/>
  <c r="X248" i="21"/>
  <c r="N238" i="21"/>
  <c r="V238" i="21" s="1"/>
  <c r="AD238" i="21" s="1"/>
  <c r="AL238" i="21" s="1"/>
  <c r="AT238" i="21" s="1"/>
  <c r="BB238" i="21" s="1"/>
  <c r="BJ238" i="21" s="1"/>
  <c r="M232" i="21"/>
  <c r="X232" i="21"/>
  <c r="AF232" i="21" s="1"/>
  <c r="AN232" i="21" s="1"/>
  <c r="AV232" i="21" s="1"/>
  <c r="M100" i="21"/>
  <c r="X100" i="21"/>
  <c r="AF100" i="21" s="1"/>
  <c r="AN100" i="21" s="1"/>
  <c r="M87" i="21"/>
  <c r="X87" i="21"/>
  <c r="M77" i="21"/>
  <c r="X77" i="21"/>
  <c r="N75" i="21"/>
  <c r="V75" i="21" s="1"/>
  <c r="AD75" i="21" s="1"/>
  <c r="AL75" i="21" s="1"/>
  <c r="AT75" i="21" s="1"/>
  <c r="X63" i="21"/>
  <c r="AF63" i="21" s="1"/>
  <c r="AN63" i="21" s="1"/>
  <c r="AV63" i="21" s="1"/>
  <c r="E328" i="21"/>
  <c r="O331" i="21"/>
  <c r="M311" i="21"/>
  <c r="X311" i="21"/>
  <c r="AF311" i="21" s="1"/>
  <c r="AN311" i="21" s="1"/>
  <c r="AV311" i="21" s="1"/>
  <c r="AS311" i="21" s="1"/>
  <c r="V301" i="21"/>
  <c r="M294" i="21"/>
  <c r="X294" i="21"/>
  <c r="M286" i="21"/>
  <c r="X286" i="21"/>
  <c r="M271" i="21"/>
  <c r="X271" i="21"/>
  <c r="M261" i="21"/>
  <c r="X261" i="21"/>
  <c r="M237" i="21"/>
  <c r="X237" i="21"/>
  <c r="M229" i="21"/>
  <c r="X229" i="21"/>
  <c r="X220" i="21"/>
  <c r="AF220" i="21" s="1"/>
  <c r="AN220" i="21" s="1"/>
  <c r="M210" i="21"/>
  <c r="M197" i="21"/>
  <c r="X197" i="21"/>
  <c r="P190" i="21"/>
  <c r="M184" i="21"/>
  <c r="M156" i="21"/>
  <c r="M140" i="21"/>
  <c r="M137" i="21"/>
  <c r="X137" i="21"/>
  <c r="M123" i="21"/>
  <c r="M119" i="21"/>
  <c r="X119" i="21"/>
  <c r="M92" i="21"/>
  <c r="X92" i="21"/>
  <c r="M84" i="21"/>
  <c r="X84" i="21"/>
  <c r="M74" i="21"/>
  <c r="X74" i="21"/>
  <c r="M68" i="21"/>
  <c r="X68" i="21"/>
  <c r="M60" i="21"/>
  <c r="X60" i="21"/>
  <c r="X52" i="21"/>
  <c r="AF52" i="21" s="1"/>
  <c r="AN52" i="21" s="1"/>
  <c r="AV52" i="21" s="1"/>
  <c r="M44" i="21"/>
  <c r="X44" i="21"/>
  <c r="M35" i="21"/>
  <c r="X35" i="21"/>
  <c r="AF35" i="21" s="1"/>
  <c r="AN35" i="21" s="1"/>
  <c r="AV35" i="21" s="1"/>
  <c r="N32" i="21"/>
  <c r="V32" i="21" s="1"/>
  <c r="X25" i="21"/>
  <c r="AF25" i="21" s="1"/>
  <c r="AN25" i="21" s="1"/>
  <c r="F170" i="21"/>
  <c r="F322" i="21"/>
  <c r="E322" i="21" s="1"/>
  <c r="F70" i="21"/>
  <c r="E70" i="21" s="1"/>
  <c r="E86" i="21"/>
  <c r="E158" i="21"/>
  <c r="E330" i="21"/>
  <c r="M305" i="21"/>
  <c r="X305" i="21"/>
  <c r="N330" i="21"/>
  <c r="V303" i="21"/>
  <c r="M297" i="21"/>
  <c r="X297" i="21"/>
  <c r="M288" i="21"/>
  <c r="X288" i="21"/>
  <c r="M280" i="21"/>
  <c r="X280" i="21"/>
  <c r="AF280" i="21" s="1"/>
  <c r="M274" i="21"/>
  <c r="X274" i="21"/>
  <c r="P265" i="21"/>
  <c r="O258" i="21"/>
  <c r="W258" i="21" s="1"/>
  <c r="M255" i="21"/>
  <c r="X255" i="21"/>
  <c r="M247" i="21"/>
  <c r="X247" i="21"/>
  <c r="M231" i="21"/>
  <c r="X231" i="21"/>
  <c r="M222" i="21"/>
  <c r="X222" i="21"/>
  <c r="N220" i="21"/>
  <c r="V220" i="21" s="1"/>
  <c r="AD220" i="21" s="1"/>
  <c r="AL220" i="21" s="1"/>
  <c r="AT220" i="21" s="1"/>
  <c r="BB220" i="21" s="1"/>
  <c r="BJ220" i="21" s="1"/>
  <c r="M211" i="21"/>
  <c r="X211" i="21"/>
  <c r="M204" i="21"/>
  <c r="M201" i="21"/>
  <c r="X201" i="21"/>
  <c r="M188" i="21"/>
  <c r="M185" i="21"/>
  <c r="X185" i="21"/>
  <c r="M172" i="21"/>
  <c r="U162" i="21"/>
  <c r="M157" i="21"/>
  <c r="X157" i="21"/>
  <c r="U150" i="21"/>
  <c r="N146" i="21"/>
  <c r="V146" i="21" s="1"/>
  <c r="M144" i="21"/>
  <c r="M141" i="21"/>
  <c r="X141" i="21"/>
  <c r="M128" i="21"/>
  <c r="X124" i="21"/>
  <c r="AF124" i="21" s="1"/>
  <c r="AN124" i="21" s="1"/>
  <c r="AV124" i="21" s="1"/>
  <c r="U116" i="21"/>
  <c r="M110" i="21"/>
  <c r="M107" i="21"/>
  <c r="X107" i="21"/>
  <c r="M86" i="21"/>
  <c r="X86" i="21"/>
  <c r="U76" i="21"/>
  <c r="M62" i="21"/>
  <c r="X62" i="21"/>
  <c r="M54" i="21"/>
  <c r="X54" i="21"/>
  <c r="N52" i="21"/>
  <c r="V52" i="21" s="1"/>
  <c r="AD52" i="21" s="1"/>
  <c r="M46" i="21"/>
  <c r="X46" i="21"/>
  <c r="AF46" i="21" s="1"/>
  <c r="W330" i="21"/>
  <c r="M38" i="21"/>
  <c r="X38" i="21"/>
  <c r="V328" i="21"/>
  <c r="M27" i="21"/>
  <c r="X27" i="21"/>
  <c r="N25" i="21"/>
  <c r="V25" i="21" s="1"/>
  <c r="AD25" i="21" s="1"/>
  <c r="AL25" i="21" s="1"/>
  <c r="AT25" i="21" s="1"/>
  <c r="BB25" i="21" s="1"/>
  <c r="BJ25" i="21" s="1"/>
  <c r="M18" i="21"/>
  <c r="X18" i="21"/>
  <c r="AF18" i="21" s="1"/>
  <c r="P16" i="21"/>
  <c r="X16" i="21" s="1"/>
  <c r="AF16" i="21" s="1"/>
  <c r="AN16" i="21" s="1"/>
  <c r="AV16" i="21" s="1"/>
  <c r="M256" i="21"/>
  <c r="X256" i="21"/>
  <c r="M179" i="21"/>
  <c r="X179" i="21"/>
  <c r="M95" i="21"/>
  <c r="X95" i="21"/>
  <c r="P55" i="21"/>
  <c r="M47" i="21"/>
  <c r="X47" i="21"/>
  <c r="M20" i="21"/>
  <c r="X20" i="21"/>
  <c r="N161" i="21"/>
  <c r="V161" i="21" s="1"/>
  <c r="AD161" i="21" s="1"/>
  <c r="AL161" i="21" s="1"/>
  <c r="AT161" i="21" s="1"/>
  <c r="G135" i="21"/>
  <c r="O135" i="21" s="1"/>
  <c r="W135" i="21" s="1"/>
  <c r="AE135" i="21" s="1"/>
  <c r="AM135" i="21" s="1"/>
  <c r="AU135" i="21" s="1"/>
  <c r="BC135" i="21" s="1"/>
  <c r="BK135" i="21" s="1"/>
  <c r="F326" i="21"/>
  <c r="E326" i="21" s="1"/>
  <c r="I121" i="21"/>
  <c r="I181" i="21"/>
  <c r="I241" i="21"/>
  <c r="I309" i="21"/>
  <c r="N318" i="21"/>
  <c r="O324" i="21"/>
  <c r="N328" i="21"/>
  <c r="M310" i="21"/>
  <c r="X310" i="21"/>
  <c r="AF310" i="21" s="1"/>
  <c r="M293" i="21"/>
  <c r="X293" i="21"/>
  <c r="M285" i="21"/>
  <c r="X285" i="21"/>
  <c r="X270" i="21"/>
  <c r="AF270" i="21" s="1"/>
  <c r="AN270" i="21" s="1"/>
  <c r="AV270" i="21" s="1"/>
  <c r="M260" i="21"/>
  <c r="X260" i="21"/>
  <c r="N258" i="21"/>
  <c r="V258" i="21" s="1"/>
  <c r="AD258" i="21" s="1"/>
  <c r="AL258" i="21" s="1"/>
  <c r="AT258" i="21" s="1"/>
  <c r="M252" i="21"/>
  <c r="X252" i="21"/>
  <c r="M244" i="21"/>
  <c r="X244" i="21"/>
  <c r="M236" i="21"/>
  <c r="X236" i="21"/>
  <c r="M228" i="21"/>
  <c r="X228" i="21"/>
  <c r="M219" i="21"/>
  <c r="X219" i="21"/>
  <c r="M214" i="21"/>
  <c r="M203" i="21"/>
  <c r="X203" i="21"/>
  <c r="U192" i="21"/>
  <c r="M187" i="21"/>
  <c r="X187" i="21"/>
  <c r="U180" i="21"/>
  <c r="M174" i="21"/>
  <c r="M171" i="21"/>
  <c r="X171" i="21"/>
  <c r="U164" i="21"/>
  <c r="M143" i="21"/>
  <c r="X143" i="21"/>
  <c r="AF143" i="21" s="1"/>
  <c r="U136" i="21"/>
  <c r="M130" i="21"/>
  <c r="M126" i="21"/>
  <c r="X126" i="21"/>
  <c r="M112" i="21"/>
  <c r="M109" i="21"/>
  <c r="X109" i="21"/>
  <c r="N97" i="21"/>
  <c r="V97" i="21" s="1"/>
  <c r="AD97" i="21" s="1"/>
  <c r="AL97" i="21" s="1"/>
  <c r="AT97" i="21" s="1"/>
  <c r="BB97" i="21" s="1"/>
  <c r="BJ97" i="21" s="1"/>
  <c r="M91" i="21"/>
  <c r="X91" i="21"/>
  <c r="M82" i="21"/>
  <c r="X82" i="21"/>
  <c r="X73" i="21"/>
  <c r="AF73" i="21" s="1"/>
  <c r="AN73" i="21" s="1"/>
  <c r="AV73" i="21" s="1"/>
  <c r="BD73" i="21" s="1"/>
  <c r="BL73" i="21" s="1"/>
  <c r="M67" i="21"/>
  <c r="X67" i="21"/>
  <c r="M59" i="21"/>
  <c r="X59" i="21"/>
  <c r="M51" i="21"/>
  <c r="X51" i="21"/>
  <c r="W331" i="21"/>
  <c r="M43" i="21"/>
  <c r="X43" i="21"/>
  <c r="AF43" i="21" s="1"/>
  <c r="AN43" i="21" s="1"/>
  <c r="AV43" i="21" s="1"/>
  <c r="X33" i="21"/>
  <c r="AF33" i="21" s="1"/>
  <c r="AN33" i="21" s="1"/>
  <c r="AV33" i="21" s="1"/>
  <c r="M24" i="21"/>
  <c r="X24" i="21"/>
  <c r="O161" i="21"/>
  <c r="W161" i="21" s="1"/>
  <c r="M151" i="21"/>
  <c r="X151" i="21"/>
  <c r="N113" i="21"/>
  <c r="V113" i="21" s="1"/>
  <c r="AD113" i="21" s="1"/>
  <c r="AL113" i="21" s="1"/>
  <c r="AT113" i="21" s="1"/>
  <c r="BB113" i="21" s="1"/>
  <c r="BJ113" i="21" s="1"/>
  <c r="P70" i="21"/>
  <c r="X70" i="21" s="1"/>
  <c r="AF70" i="21" s="1"/>
  <c r="AN70" i="21" s="1"/>
  <c r="AV70" i="21" s="1"/>
  <c r="BD70" i="21" s="1"/>
  <c r="BL70" i="21" s="1"/>
  <c r="O318" i="21"/>
  <c r="M307" i="21"/>
  <c r="X307" i="21"/>
  <c r="X299" i="21"/>
  <c r="AF299" i="21" s="1"/>
  <c r="M290" i="21"/>
  <c r="X290" i="21"/>
  <c r="M282" i="21"/>
  <c r="X282" i="21"/>
  <c r="M276" i="21"/>
  <c r="X276" i="21"/>
  <c r="M267" i="21"/>
  <c r="X267" i="21"/>
  <c r="M257" i="21"/>
  <c r="X257" i="21"/>
  <c r="M249" i="21"/>
  <c r="X249" i="21"/>
  <c r="V318" i="21"/>
  <c r="P328" i="21"/>
  <c r="X233" i="21"/>
  <c r="M224" i="21"/>
  <c r="X224" i="21"/>
  <c r="M213" i="21"/>
  <c r="X213" i="21"/>
  <c r="U208" i="21"/>
  <c r="M205" i="21"/>
  <c r="X205" i="21"/>
  <c r="U198" i="21"/>
  <c r="M192" i="21"/>
  <c r="M189" i="21"/>
  <c r="X189" i="21"/>
  <c r="U182" i="21"/>
  <c r="U178" i="21"/>
  <c r="M176" i="21"/>
  <c r="X173" i="21"/>
  <c r="AF173" i="21" s="1"/>
  <c r="AN173" i="21" s="1"/>
  <c r="AV173" i="21" s="1"/>
  <c r="U169" i="21"/>
  <c r="U166" i="21"/>
  <c r="M160" i="21"/>
  <c r="U154" i="21"/>
  <c r="M148" i="21"/>
  <c r="M145" i="21"/>
  <c r="X145" i="21"/>
  <c r="M132" i="21"/>
  <c r="M129" i="21"/>
  <c r="X129" i="21"/>
  <c r="N124" i="21"/>
  <c r="V124" i="21" s="1"/>
  <c r="AD124" i="21" s="1"/>
  <c r="AL124" i="21" s="1"/>
  <c r="AT124" i="21" s="1"/>
  <c r="BB124" i="21" s="1"/>
  <c r="BJ124" i="21" s="1"/>
  <c r="M114" i="21"/>
  <c r="M111" i="21"/>
  <c r="X111" i="21"/>
  <c r="U103" i="21"/>
  <c r="N99" i="21"/>
  <c r="X96" i="21"/>
  <c r="AF96" i="21" s="1"/>
  <c r="AN96" i="21" s="1"/>
  <c r="AV96" i="21" s="1"/>
  <c r="X88" i="21"/>
  <c r="AF88" i="21" s="1"/>
  <c r="AN88" i="21" s="1"/>
  <c r="AV88" i="21" s="1"/>
  <c r="M78" i="21"/>
  <c r="X78" i="21"/>
  <c r="M64" i="21"/>
  <c r="X64" i="21"/>
  <c r="P56" i="21"/>
  <c r="P320" i="21" s="1"/>
  <c r="M48" i="21"/>
  <c r="X48" i="21"/>
  <c r="V331" i="21"/>
  <c r="W321" i="21"/>
  <c r="M40" i="21"/>
  <c r="X40" i="21"/>
  <c r="M29" i="21"/>
  <c r="X29" i="21"/>
  <c r="AF29" i="21" s="1"/>
  <c r="AN29" i="21" s="1"/>
  <c r="AV29" i="21" s="1"/>
  <c r="M21" i="21"/>
  <c r="X21" i="21"/>
  <c r="M289" i="21"/>
  <c r="X289" i="21"/>
  <c r="M275" i="21"/>
  <c r="X275" i="21"/>
  <c r="M163" i="21"/>
  <c r="X163" i="21"/>
  <c r="X28" i="21"/>
  <c r="F324" i="21"/>
  <c r="E324" i="21" s="1"/>
  <c r="H19" i="21"/>
  <c r="H313" i="21" s="1"/>
  <c r="H315" i="21" s="1"/>
  <c r="E161" i="21"/>
  <c r="F327" i="21"/>
  <c r="E327" i="21" s="1"/>
  <c r="M304" i="21"/>
  <c r="X304" i="21"/>
  <c r="V302" i="21"/>
  <c r="O299" i="21"/>
  <c r="W299" i="21" s="1"/>
  <c r="AE299" i="21" s="1"/>
  <c r="AM299" i="21" s="1"/>
  <c r="AU299" i="21" s="1"/>
  <c r="BC299" i="21" s="1"/>
  <c r="BK299" i="21" s="1"/>
  <c r="M296" i="21"/>
  <c r="X296" i="21"/>
  <c r="M287" i="21"/>
  <c r="X287" i="21"/>
  <c r="P279" i="21"/>
  <c r="X279" i="21" s="1"/>
  <c r="AF279" i="21" s="1"/>
  <c r="AN279" i="21" s="1"/>
  <c r="AV279" i="21" s="1"/>
  <c r="BD279" i="21" s="1"/>
  <c r="BL279" i="21" s="1"/>
  <c r="M273" i="21"/>
  <c r="X273" i="21"/>
  <c r="N270" i="21"/>
  <c r="M270" i="21" s="1"/>
  <c r="M263" i="21"/>
  <c r="X263" i="21"/>
  <c r="M246" i="21"/>
  <c r="X246" i="21"/>
  <c r="M230" i="21"/>
  <c r="X230" i="21"/>
  <c r="AF230" i="21" s="1"/>
  <c r="P319" i="21"/>
  <c r="X221" i="21"/>
  <c r="M215" i="21"/>
  <c r="X215" i="21"/>
  <c r="U210" i="21"/>
  <c r="M191" i="21"/>
  <c r="X191" i="21"/>
  <c r="U184" i="21"/>
  <c r="M178" i="21"/>
  <c r="M175" i="21"/>
  <c r="X175" i="21"/>
  <c r="U168" i="21"/>
  <c r="M159" i="21"/>
  <c r="X159" i="21"/>
  <c r="M147" i="21"/>
  <c r="X147" i="21"/>
  <c r="U140" i="21"/>
  <c r="O138" i="21"/>
  <c r="W138" i="21" s="1"/>
  <c r="AE138" i="21" s="1"/>
  <c r="AM138" i="21" s="1"/>
  <c r="AU138" i="21" s="1"/>
  <c r="BC138" i="21" s="1"/>
  <c r="BK138" i="21" s="1"/>
  <c r="M131" i="21"/>
  <c r="X131" i="21"/>
  <c r="U123" i="21"/>
  <c r="X113" i="21"/>
  <c r="M93" i="21"/>
  <c r="X93" i="21"/>
  <c r="M85" i="21"/>
  <c r="X85" i="21"/>
  <c r="X75" i="21"/>
  <c r="AF75" i="21" s="1"/>
  <c r="AN75" i="21" s="1"/>
  <c r="N73" i="21"/>
  <c r="V73" i="21" s="1"/>
  <c r="AD73" i="21" s="1"/>
  <c r="AL73" i="21" s="1"/>
  <c r="AT73" i="21" s="1"/>
  <c r="M69" i="21"/>
  <c r="X69" i="21"/>
  <c r="X61" i="21"/>
  <c r="AF61" i="21" s="1"/>
  <c r="M53" i="21"/>
  <c r="X53" i="21"/>
  <c r="M45" i="21"/>
  <c r="X45" i="21"/>
  <c r="M37" i="21"/>
  <c r="X37" i="21"/>
  <c r="N33" i="21"/>
  <c r="V33" i="21" s="1"/>
  <c r="AD33" i="21" s="1"/>
  <c r="AL33" i="21" s="1"/>
  <c r="AT33" i="21" s="1"/>
  <c r="BB33" i="21" s="1"/>
  <c r="BJ33" i="21" s="1"/>
  <c r="M26" i="21"/>
  <c r="X26" i="21"/>
  <c r="M17" i="21"/>
  <c r="X17" i="21"/>
  <c r="I206" i="21"/>
  <c r="O330" i="21"/>
  <c r="M292" i="21"/>
  <c r="X292" i="21"/>
  <c r="X284" i="21"/>
  <c r="AF284" i="21" s="1"/>
  <c r="AN284" i="21" s="1"/>
  <c r="M278" i="21"/>
  <c r="X278" i="21"/>
  <c r="M269" i="21"/>
  <c r="X269" i="21"/>
  <c r="M259" i="21"/>
  <c r="X259" i="21"/>
  <c r="M251" i="21"/>
  <c r="X251" i="21"/>
  <c r="M243" i="21"/>
  <c r="X243" i="21"/>
  <c r="M235" i="21"/>
  <c r="X235" i="21"/>
  <c r="M226" i="21"/>
  <c r="X226" i="21"/>
  <c r="M218" i="21"/>
  <c r="X218" i="21"/>
  <c r="U202" i="21"/>
  <c r="M193" i="21"/>
  <c r="X193" i="21"/>
  <c r="U186" i="21"/>
  <c r="M177" i="21"/>
  <c r="X177" i="21"/>
  <c r="N173" i="21"/>
  <c r="V173" i="21" s="1"/>
  <c r="AD173" i="21" s="1"/>
  <c r="AL173" i="21" s="1"/>
  <c r="AT173" i="21" s="1"/>
  <c r="BB173" i="21" s="1"/>
  <c r="BJ173" i="21" s="1"/>
  <c r="X161" i="21"/>
  <c r="AF161" i="21" s="1"/>
  <c r="AN161" i="21" s="1"/>
  <c r="AV161" i="21" s="1"/>
  <c r="BD161" i="21" s="1"/>
  <c r="BL161" i="21" s="1"/>
  <c r="X149" i="21"/>
  <c r="AF149" i="21" s="1"/>
  <c r="U142" i="21"/>
  <c r="M133" i="21"/>
  <c r="X133" i="21"/>
  <c r="M115" i="21"/>
  <c r="X115" i="21"/>
  <c r="M101" i="21"/>
  <c r="M98" i="21"/>
  <c r="X98" i="21"/>
  <c r="N96" i="21"/>
  <c r="O333" i="21"/>
  <c r="W93" i="21"/>
  <c r="M90" i="21"/>
  <c r="X90" i="21"/>
  <c r="N88" i="21"/>
  <c r="V88" i="21" s="1"/>
  <c r="AD88" i="21" s="1"/>
  <c r="AL88" i="21" s="1"/>
  <c r="AT88" i="21" s="1"/>
  <c r="BB88" i="21" s="1"/>
  <c r="BJ88" i="21" s="1"/>
  <c r="M80" i="21"/>
  <c r="X80" i="21"/>
  <c r="M72" i="21"/>
  <c r="X72" i="21"/>
  <c r="M66" i="21"/>
  <c r="X66" i="21"/>
  <c r="P50" i="21"/>
  <c r="P332" i="21" s="1"/>
  <c r="M42" i="21"/>
  <c r="X42" i="21"/>
  <c r="AF42" i="21" s="1"/>
  <c r="AN42" i="21" s="1"/>
  <c r="X32" i="21"/>
  <c r="X23" i="21"/>
  <c r="N335" i="21"/>
  <c r="X227" i="21"/>
  <c r="AF227" i="21" s="1"/>
  <c r="AN227" i="21" s="1"/>
  <c r="AV227" i="21" s="1"/>
  <c r="M240" i="21"/>
  <c r="X240" i="21"/>
  <c r="AF240" i="21" s="1"/>
  <c r="N333" i="21"/>
  <c r="M239" i="21"/>
  <c r="X239" i="21"/>
  <c r="X238" i="21"/>
  <c r="AF238" i="21" s="1"/>
  <c r="AN238" i="21" s="1"/>
  <c r="W332" i="21"/>
  <c r="I279" i="21"/>
  <c r="M303" i="21"/>
  <c r="N321" i="21"/>
  <c r="P295" i="21"/>
  <c r="X295" i="21" s="1"/>
  <c r="AF295" i="21" s="1"/>
  <c r="AN295" i="21" s="1"/>
  <c r="AV295" i="21" s="1"/>
  <c r="M302" i="21"/>
  <c r="E321" i="21"/>
  <c r="M301" i="21"/>
  <c r="E318" i="21"/>
  <c r="P158" i="21"/>
  <c r="M169" i="21"/>
  <c r="E331" i="21"/>
  <c r="M76" i="21"/>
  <c r="M39" i="21"/>
  <c r="P329" i="21"/>
  <c r="P324" i="21"/>
  <c r="P318" i="21"/>
  <c r="P327" i="21"/>
  <c r="M253" i="21"/>
  <c r="M233" i="21"/>
  <c r="M221" i="21"/>
  <c r="P321" i="21"/>
  <c r="P330" i="21"/>
  <c r="P325" i="21"/>
  <c r="P322" i="21"/>
  <c r="P331" i="21"/>
  <c r="I295" i="21"/>
  <c r="I331" i="21"/>
  <c r="I170" i="21"/>
  <c r="I146" i="21"/>
  <c r="I330" i="21"/>
  <c r="E254" i="21"/>
  <c r="J325" i="21"/>
  <c r="I325" i="21" s="1"/>
  <c r="F19" i="21"/>
  <c r="E52" i="21"/>
  <c r="G58" i="21"/>
  <c r="E73" i="21"/>
  <c r="K19" i="21"/>
  <c r="L317" i="21"/>
  <c r="J70" i="21"/>
  <c r="I86" i="21"/>
  <c r="I124" i="21"/>
  <c r="K318" i="21"/>
  <c r="E241" i="21"/>
  <c r="F320" i="21"/>
  <c r="E320" i="21" s="1"/>
  <c r="I318" i="21"/>
  <c r="I328" i="21"/>
  <c r="G325" i="21"/>
  <c r="F58" i="21"/>
  <c r="G319" i="21"/>
  <c r="G70" i="21"/>
  <c r="O70" i="21" s="1"/>
  <c r="W70" i="21" s="1"/>
  <c r="AE70" i="21" s="1"/>
  <c r="AM70" i="21" s="1"/>
  <c r="AU70" i="21" s="1"/>
  <c r="BC70" i="21" s="1"/>
  <c r="BK70" i="21" s="1"/>
  <c r="F83" i="21"/>
  <c r="N83" i="21" s="1"/>
  <c r="V83" i="21" s="1"/>
  <c r="AD83" i="21" s="1"/>
  <c r="G94" i="21"/>
  <c r="O94" i="21" s="1"/>
  <c r="W94" i="21" s="1"/>
  <c r="AE94" i="21" s="1"/>
  <c r="AM94" i="21" s="1"/>
  <c r="AU94" i="21" s="1"/>
  <c r="BC94" i="21" s="1"/>
  <c r="BK94" i="21" s="1"/>
  <c r="F108" i="21"/>
  <c r="E108" i="21" s="1"/>
  <c r="F217" i="21"/>
  <c r="F227" i="21"/>
  <c r="I161" i="21"/>
  <c r="J217" i="21"/>
  <c r="I217" i="21" s="1"/>
  <c r="K227" i="21"/>
  <c r="J265" i="21"/>
  <c r="I265" i="21" s="1"/>
  <c r="E28" i="21"/>
  <c r="G19" i="21"/>
  <c r="G108" i="21"/>
  <c r="O108" i="21" s="1"/>
  <c r="W108" i="21" s="1"/>
  <c r="AE108" i="21" s="1"/>
  <c r="AM108" i="21" s="1"/>
  <c r="AU108" i="21" s="1"/>
  <c r="BC108" i="21" s="1"/>
  <c r="BK108" i="21" s="1"/>
  <c r="G317" i="21"/>
  <c r="G227" i="21"/>
  <c r="E258" i="21"/>
  <c r="G279" i="21"/>
  <c r="O279" i="21" s="1"/>
  <c r="W279" i="21" s="1"/>
  <c r="AE279" i="21" s="1"/>
  <c r="AM279" i="21" s="1"/>
  <c r="AU279" i="21" s="1"/>
  <c r="BC279" i="21" s="1"/>
  <c r="BK279" i="21" s="1"/>
  <c r="L19" i="21"/>
  <c r="J322" i="21"/>
  <c r="I322" i="21" s="1"/>
  <c r="J58" i="21"/>
  <c r="I58" i="21" s="1"/>
  <c r="K319" i="21"/>
  <c r="I173" i="21"/>
  <c r="K317" i="21"/>
  <c r="I258" i="21"/>
  <c r="J94" i="21"/>
  <c r="I94" i="21" s="1"/>
  <c r="J333" i="21"/>
  <c r="I254" i="21"/>
  <c r="J329" i="21"/>
  <c r="I329" i="21" s="1"/>
  <c r="G121" i="21"/>
  <c r="O121" i="21" s="1"/>
  <c r="W121" i="21" s="1"/>
  <c r="AE121" i="21" s="1"/>
  <c r="AM121" i="21" s="1"/>
  <c r="AU121" i="21" s="1"/>
  <c r="BC121" i="21" s="1"/>
  <c r="BK121" i="21" s="1"/>
  <c r="G170" i="21"/>
  <c r="O170" i="21" s="1"/>
  <c r="W170" i="21" s="1"/>
  <c r="AE170" i="21" s="1"/>
  <c r="AM170" i="21" s="1"/>
  <c r="AU170" i="21" s="1"/>
  <c r="BC170" i="21" s="1"/>
  <c r="BK170" i="21" s="1"/>
  <c r="F333" i="21"/>
  <c r="J320" i="21"/>
  <c r="K329" i="21"/>
  <c r="F332" i="21"/>
  <c r="E332" i="21" s="1"/>
  <c r="E56" i="21"/>
  <c r="G329" i="21"/>
  <c r="I50" i="21"/>
  <c r="I321" i="21"/>
  <c r="I332" i="21"/>
  <c r="I83" i="21"/>
  <c r="I135" i="21"/>
  <c r="I327" i="21"/>
  <c r="L333" i="21"/>
  <c r="K325" i="21"/>
  <c r="K295" i="21"/>
  <c r="L320" i="21"/>
  <c r="J317" i="21"/>
  <c r="J319" i="21"/>
  <c r="I319" i="21" s="1"/>
  <c r="J324" i="21"/>
  <c r="I324" i="21" s="1"/>
  <c r="J326" i="21"/>
  <c r="I326" i="21" s="1"/>
  <c r="J19" i="21"/>
  <c r="K58" i="21"/>
  <c r="I220" i="21"/>
  <c r="K332" i="21"/>
  <c r="J108" i="21"/>
  <c r="I108" i="21" s="1"/>
  <c r="J227" i="21"/>
  <c r="I227" i="21" s="1"/>
  <c r="I240" i="21"/>
  <c r="I299" i="21"/>
  <c r="I270" i="21"/>
  <c r="F329" i="21"/>
  <c r="E329" i="21" s="1"/>
  <c r="G217" i="21"/>
  <c r="O217" i="21" s="1"/>
  <c r="W217" i="21" s="1"/>
  <c r="AE217" i="21" s="1"/>
  <c r="AM217" i="21" s="1"/>
  <c r="AU217" i="21" s="1"/>
  <c r="BC217" i="21" s="1"/>
  <c r="BK217" i="21" s="1"/>
  <c r="F295" i="21"/>
  <c r="N295" i="21" s="1"/>
  <c r="G318" i="21"/>
  <c r="G320" i="21"/>
  <c r="G327" i="21"/>
  <c r="E50" i="21"/>
  <c r="E55" i="21"/>
  <c r="E149" i="21"/>
  <c r="G206" i="21"/>
  <c r="O206" i="21" s="1"/>
  <c r="W206" i="21" s="1"/>
  <c r="AE206" i="21" s="1"/>
  <c r="AM206" i="21" s="1"/>
  <c r="AU206" i="21" s="1"/>
  <c r="BC206" i="21" s="1"/>
  <c r="BK206" i="21" s="1"/>
  <c r="H333" i="21"/>
  <c r="F325" i="21"/>
  <c r="E325" i="21" s="1"/>
  <c r="F317" i="21"/>
  <c r="F94" i="21"/>
  <c r="G332" i="21"/>
  <c r="E240" i="21"/>
  <c r="BA154" i="21" l="1"/>
  <c r="BL154" i="21"/>
  <c r="BI154" i="21" s="1"/>
  <c r="BC332" i="21"/>
  <c r="BK50" i="21"/>
  <c r="BK332" i="21" s="1"/>
  <c r="BC328" i="21"/>
  <c r="BK35" i="21"/>
  <c r="BK328" i="21" s="1"/>
  <c r="BA123" i="21"/>
  <c r="BL123" i="21"/>
  <c r="BI123" i="21" s="1"/>
  <c r="BA103" i="21"/>
  <c r="BL103" i="21"/>
  <c r="BI103" i="21" s="1"/>
  <c r="BA168" i="21"/>
  <c r="BL168" i="21"/>
  <c r="BI168" i="21" s="1"/>
  <c r="BA125" i="21"/>
  <c r="BL125" i="21"/>
  <c r="BI125" i="21" s="1"/>
  <c r="BA114" i="21"/>
  <c r="BJ114" i="21"/>
  <c r="BI114" i="21" s="1"/>
  <c r="BC321" i="21"/>
  <c r="BK43" i="21"/>
  <c r="BC331" i="21"/>
  <c r="BK80" i="21"/>
  <c r="BK331" i="21" s="1"/>
  <c r="BB328" i="21"/>
  <c r="BJ35" i="21"/>
  <c r="BJ328" i="21" s="1"/>
  <c r="BA164" i="21"/>
  <c r="BL164" i="21"/>
  <c r="BI164" i="21" s="1"/>
  <c r="BA134" i="21"/>
  <c r="BJ134" i="21"/>
  <c r="BI134" i="21" s="1"/>
  <c r="BA148" i="21"/>
  <c r="BL148" i="21"/>
  <c r="BI148" i="21" s="1"/>
  <c r="BA150" i="21"/>
  <c r="BL150" i="21"/>
  <c r="BI150" i="21" s="1"/>
  <c r="BA180" i="21"/>
  <c r="BL180" i="21"/>
  <c r="BI180" i="21" s="1"/>
  <c r="BA178" i="21"/>
  <c r="BJ178" i="21"/>
  <c r="BA214" i="21"/>
  <c r="BL214" i="21"/>
  <c r="BI214" i="21" s="1"/>
  <c r="BA210" i="21"/>
  <c r="BA198" i="21"/>
  <c r="BJ198" i="21"/>
  <c r="BI198" i="21" s="1"/>
  <c r="BI208" i="21"/>
  <c r="BA184" i="21"/>
  <c r="BL184" i="21"/>
  <c r="BA186" i="21"/>
  <c r="BJ186" i="21"/>
  <c r="BA200" i="21"/>
  <c r="BL200" i="21"/>
  <c r="BI200" i="21" s="1"/>
  <c r="BA196" i="21"/>
  <c r="BL196" i="21"/>
  <c r="BA182" i="21"/>
  <c r="BL182" i="21"/>
  <c r="BI182" i="21" s="1"/>
  <c r="BA204" i="21"/>
  <c r="BL204" i="21"/>
  <c r="BA253" i="21"/>
  <c r="BA208" i="21"/>
  <c r="BB331" i="21"/>
  <c r="U143" i="21"/>
  <c r="M241" i="21"/>
  <c r="W318" i="21"/>
  <c r="BA166" i="21"/>
  <c r="U18" i="21"/>
  <c r="AK284" i="21"/>
  <c r="AV284" i="21"/>
  <c r="BD88" i="21"/>
  <c r="AS88" i="21"/>
  <c r="BB158" i="21"/>
  <c r="BJ158" i="21" s="1"/>
  <c r="AM324" i="21"/>
  <c r="AU311" i="21"/>
  <c r="AK160" i="21"/>
  <c r="AV160" i="21"/>
  <c r="BD96" i="21"/>
  <c r="BL96" i="21" s="1"/>
  <c r="BD16" i="21"/>
  <c r="AS16" i="21"/>
  <c r="AS124" i="21"/>
  <c r="BD124" i="21"/>
  <c r="AK25" i="21"/>
  <c r="AV25" i="21"/>
  <c r="AS63" i="21"/>
  <c r="BD63" i="21"/>
  <c r="BD232" i="21"/>
  <c r="BL232" i="21" s="1"/>
  <c r="BI232" i="21" s="1"/>
  <c r="AS232" i="21"/>
  <c r="AK112" i="21"/>
  <c r="AV112" i="21"/>
  <c r="AS162" i="21"/>
  <c r="BD162" i="21"/>
  <c r="BD173" i="21"/>
  <c r="AS173" i="21"/>
  <c r="BB258" i="21"/>
  <c r="BJ258" i="21" s="1"/>
  <c r="AK140" i="21"/>
  <c r="AT140" i="21"/>
  <c r="AK169" i="21"/>
  <c r="AV169" i="21"/>
  <c r="AK132" i="21"/>
  <c r="AV132" i="21"/>
  <c r="BD202" i="21"/>
  <c r="AS202" i="21"/>
  <c r="BD156" i="21"/>
  <c r="AS156" i="21"/>
  <c r="BD227" i="21"/>
  <c r="BL227" i="21" s="1"/>
  <c r="U310" i="21"/>
  <c r="BD29" i="21"/>
  <c r="BL29" i="21" s="1"/>
  <c r="AS29" i="21"/>
  <c r="AS33" i="21"/>
  <c r="BD33" i="21"/>
  <c r="BD35" i="21"/>
  <c r="BL35" i="21" s="1"/>
  <c r="AS35" i="21"/>
  <c r="AK152" i="21"/>
  <c r="AV152" i="21"/>
  <c r="N326" i="21"/>
  <c r="M326" i="21" s="1"/>
  <c r="BD43" i="21"/>
  <c r="BL43" i="21" s="1"/>
  <c r="AS43" i="21"/>
  <c r="AK136" i="21"/>
  <c r="AV136" i="21"/>
  <c r="AK142" i="21"/>
  <c r="AV142" i="21"/>
  <c r="AS166" i="21"/>
  <c r="AK42" i="21"/>
  <c r="AV42" i="21"/>
  <c r="BD217" i="21"/>
  <c r="BL217" i="21" s="1"/>
  <c r="AK75" i="21"/>
  <c r="AV75" i="21"/>
  <c r="BD75" i="21" s="1"/>
  <c r="BL75" i="21" s="1"/>
  <c r="BD270" i="21"/>
  <c r="BL270" i="21" s="1"/>
  <c r="AS161" i="21"/>
  <c r="BB161" i="21"/>
  <c r="BJ161" i="21" s="1"/>
  <c r="BI161" i="21" s="1"/>
  <c r="BD311" i="21"/>
  <c r="BL311" i="21" s="1"/>
  <c r="BD121" i="21"/>
  <c r="AS121" i="21"/>
  <c r="AS130" i="21"/>
  <c r="AS75" i="21"/>
  <c r="BB75" i="21"/>
  <c r="BJ75" i="21" s="1"/>
  <c r="BB149" i="21"/>
  <c r="BJ149" i="21" s="1"/>
  <c r="AS73" i="21"/>
  <c r="BB73" i="21"/>
  <c r="AK238" i="21"/>
  <c r="AV238" i="21"/>
  <c r="E121" i="21"/>
  <c r="BB299" i="21"/>
  <c r="BJ299" i="21" s="1"/>
  <c r="AK192" i="21"/>
  <c r="AT192" i="21"/>
  <c r="AL318" i="21"/>
  <c r="AT176" i="21"/>
  <c r="AK105" i="21"/>
  <c r="AV105" i="21"/>
  <c r="BD105" i="21" s="1"/>
  <c r="AS188" i="21"/>
  <c r="BD188" i="21"/>
  <c r="BD194" i="21"/>
  <c r="AS194" i="21"/>
  <c r="BA130" i="21"/>
  <c r="BD295" i="21"/>
  <c r="BL295" i="21" s="1"/>
  <c r="M32" i="21"/>
  <c r="BD52" i="21"/>
  <c r="BL52" i="21" s="1"/>
  <c r="AK220" i="21"/>
  <c r="AV220" i="21"/>
  <c r="BD97" i="21"/>
  <c r="AS97" i="21"/>
  <c r="AK258" i="21"/>
  <c r="AV258" i="21"/>
  <c r="BD258" i="21" s="1"/>
  <c r="BL258" i="21" s="1"/>
  <c r="BI258" i="21" s="1"/>
  <c r="BD206" i="21"/>
  <c r="BL206" i="21" s="1"/>
  <c r="AK39" i="21"/>
  <c r="AV39" i="21"/>
  <c r="AK76" i="21"/>
  <c r="AV76" i="21"/>
  <c r="BD128" i="21"/>
  <c r="AS128" i="21"/>
  <c r="BB254" i="21"/>
  <c r="BJ254" i="21" s="1"/>
  <c r="M254" i="21"/>
  <c r="BD170" i="21"/>
  <c r="BL170" i="21" s="1"/>
  <c r="BD146" i="21"/>
  <c r="AS116" i="21"/>
  <c r="BD116" i="21"/>
  <c r="BD108" i="21"/>
  <c r="BL108" i="21" s="1"/>
  <c r="BD58" i="21"/>
  <c r="BL58" i="21" s="1"/>
  <c r="BC330" i="21"/>
  <c r="AK100" i="21"/>
  <c r="AV100" i="21"/>
  <c r="BD100" i="21" s="1"/>
  <c r="BL100" i="21" s="1"/>
  <c r="BI100" i="21" s="1"/>
  <c r="U138" i="21"/>
  <c r="M23" i="21"/>
  <c r="AK73" i="21"/>
  <c r="AK63" i="21"/>
  <c r="AC149" i="21"/>
  <c r="AN149" i="21"/>
  <c r="AC174" i="21"/>
  <c r="AN174" i="21"/>
  <c r="AC83" i="21"/>
  <c r="AL83" i="21"/>
  <c r="AC240" i="21"/>
  <c r="AN240" i="21"/>
  <c r="AK161" i="21"/>
  <c r="AC61" i="21"/>
  <c r="AN61" i="21"/>
  <c r="AV61" i="21" s="1"/>
  <c r="AC230" i="21"/>
  <c r="AN230" i="21"/>
  <c r="AV230" i="21" s="1"/>
  <c r="AK88" i="21"/>
  <c r="M28" i="21"/>
  <c r="AC299" i="21"/>
  <c r="AN299" i="21"/>
  <c r="AC41" i="21"/>
  <c r="AN41" i="21"/>
  <c r="AV41" i="21" s="1"/>
  <c r="AC101" i="21"/>
  <c r="AN101" i="21"/>
  <c r="AK176" i="21"/>
  <c r="AK124" i="21"/>
  <c r="AC280" i="21"/>
  <c r="AN280" i="21"/>
  <c r="AC181" i="21"/>
  <c r="AN181" i="21"/>
  <c r="AV181" i="21" s="1"/>
  <c r="AK232" i="21"/>
  <c r="AC138" i="21"/>
  <c r="AL138" i="21"/>
  <c r="AD333" i="21"/>
  <c r="AL181" i="21"/>
  <c r="AK97" i="21"/>
  <c r="AC143" i="21"/>
  <c r="AN143" i="21"/>
  <c r="AC310" i="21"/>
  <c r="AN310" i="21"/>
  <c r="AC18" i="21"/>
  <c r="AN18" i="21"/>
  <c r="AD332" i="21"/>
  <c r="AL52" i="21"/>
  <c r="AK311" i="21"/>
  <c r="AK29" i="21"/>
  <c r="AK173" i="21"/>
  <c r="AK33" i="21"/>
  <c r="AC46" i="21"/>
  <c r="AN46" i="21"/>
  <c r="AK35" i="21"/>
  <c r="AK16" i="21"/>
  <c r="AC144" i="21"/>
  <c r="AN144" i="21"/>
  <c r="AK43" i="21"/>
  <c r="AC283" i="21"/>
  <c r="AN283" i="21"/>
  <c r="AC172" i="21"/>
  <c r="AN172" i="21"/>
  <c r="AC118" i="21"/>
  <c r="AN118" i="21"/>
  <c r="AV118" i="21" s="1"/>
  <c r="AK121" i="21"/>
  <c r="AE318" i="21"/>
  <c r="AM300" i="21"/>
  <c r="AU300" i="21" s="1"/>
  <c r="AC300" i="21"/>
  <c r="AN300" i="21"/>
  <c r="AV300" i="21" s="1"/>
  <c r="AC25" i="21"/>
  <c r="AC284" i="21"/>
  <c r="U280" i="21"/>
  <c r="AC33" i="21"/>
  <c r="AC73" i="21"/>
  <c r="X254" i="21"/>
  <c r="AF254" i="21" s="1"/>
  <c r="AC63" i="21"/>
  <c r="AC220" i="21"/>
  <c r="AC100" i="21"/>
  <c r="AC97" i="21"/>
  <c r="AC258" i="21"/>
  <c r="AC121" i="21"/>
  <c r="E135" i="21"/>
  <c r="M135" i="21"/>
  <c r="U249" i="21"/>
  <c r="AF249" i="21"/>
  <c r="U67" i="21"/>
  <c r="AF67" i="21"/>
  <c r="U95" i="21"/>
  <c r="AF95" i="21"/>
  <c r="U86" i="21"/>
  <c r="AF86" i="21"/>
  <c r="U141" i="21"/>
  <c r="AF141" i="21"/>
  <c r="U255" i="21"/>
  <c r="AF255" i="21"/>
  <c r="U77" i="21"/>
  <c r="AF77" i="21"/>
  <c r="U79" i="21"/>
  <c r="AF79" i="21"/>
  <c r="U209" i="21"/>
  <c r="AF209" i="21"/>
  <c r="AN209" i="21" s="1"/>
  <c r="U242" i="21"/>
  <c r="AF242" i="21"/>
  <c r="AC88" i="21"/>
  <c r="AC161" i="21"/>
  <c r="U218" i="21"/>
  <c r="AF218" i="21"/>
  <c r="U251" i="21"/>
  <c r="AF251" i="21"/>
  <c r="U26" i="21"/>
  <c r="AF26" i="21"/>
  <c r="U93" i="21"/>
  <c r="AF93" i="21"/>
  <c r="U78" i="21"/>
  <c r="AF78" i="21"/>
  <c r="U213" i="21"/>
  <c r="AF213" i="21"/>
  <c r="U282" i="21"/>
  <c r="AF282" i="21"/>
  <c r="AN282" i="21" s="1"/>
  <c r="AC43" i="21"/>
  <c r="U74" i="21"/>
  <c r="AF74" i="21"/>
  <c r="U261" i="21"/>
  <c r="AF261" i="21"/>
  <c r="U301" i="21"/>
  <c r="AD301" i="21"/>
  <c r="U248" i="21"/>
  <c r="AF248" i="21"/>
  <c r="V319" i="21"/>
  <c r="AD28" i="21"/>
  <c r="U57" i="21"/>
  <c r="AF57" i="21"/>
  <c r="U153" i="21"/>
  <c r="AF153" i="21"/>
  <c r="U245" i="21"/>
  <c r="AF245" i="21"/>
  <c r="W319" i="21"/>
  <c r="AE62" i="21"/>
  <c r="U109" i="21"/>
  <c r="AF109" i="21"/>
  <c r="U236" i="21"/>
  <c r="AF236" i="21"/>
  <c r="U30" i="21"/>
  <c r="AF30" i="21"/>
  <c r="U212" i="21"/>
  <c r="AD212" i="21"/>
  <c r="AL212" i="21" s="1"/>
  <c r="AT212" i="21" s="1"/>
  <c r="U66" i="21"/>
  <c r="AF66" i="21"/>
  <c r="U177" i="21"/>
  <c r="AF177" i="21"/>
  <c r="U259" i="21"/>
  <c r="AF259" i="21"/>
  <c r="U69" i="21"/>
  <c r="AF69" i="21"/>
  <c r="U113" i="21"/>
  <c r="AF113" i="21"/>
  <c r="U147" i="21"/>
  <c r="AF147" i="21"/>
  <c r="U304" i="21"/>
  <c r="AF304" i="21"/>
  <c r="U28" i="21"/>
  <c r="AF28" i="21"/>
  <c r="AN28" i="21" s="1"/>
  <c r="AV28" i="21" s="1"/>
  <c r="U151" i="21"/>
  <c r="AF151" i="21"/>
  <c r="U82" i="21"/>
  <c r="AF82" i="21"/>
  <c r="U126" i="21"/>
  <c r="AF126" i="21"/>
  <c r="U244" i="21"/>
  <c r="AF244" i="21"/>
  <c r="U285" i="21"/>
  <c r="AF285" i="21"/>
  <c r="U20" i="21"/>
  <c r="AF20" i="21"/>
  <c r="U54" i="21"/>
  <c r="AF54" i="21"/>
  <c r="U146" i="21"/>
  <c r="AD146" i="21"/>
  <c r="U84" i="21"/>
  <c r="AF84" i="21"/>
  <c r="U271" i="21"/>
  <c r="AF271" i="21"/>
  <c r="U266" i="21"/>
  <c r="AF266" i="21"/>
  <c r="U165" i="21"/>
  <c r="AF165" i="21"/>
  <c r="X241" i="21"/>
  <c r="U107" i="21"/>
  <c r="AF107" i="21"/>
  <c r="U87" i="21"/>
  <c r="AF87" i="21"/>
  <c r="U281" i="21"/>
  <c r="AF281" i="21"/>
  <c r="U23" i="21"/>
  <c r="AF23" i="21"/>
  <c r="U48" i="21"/>
  <c r="AF48" i="21"/>
  <c r="U219" i="21"/>
  <c r="AF219" i="21"/>
  <c r="U256" i="21"/>
  <c r="AF256" i="21"/>
  <c r="U231" i="21"/>
  <c r="AF231" i="21"/>
  <c r="U274" i="21"/>
  <c r="AF274" i="21"/>
  <c r="U303" i="21"/>
  <c r="AD303" i="21"/>
  <c r="AC52" i="21"/>
  <c r="U65" i="21"/>
  <c r="AF65" i="21"/>
  <c r="U117" i="21"/>
  <c r="AF117" i="21"/>
  <c r="U306" i="21"/>
  <c r="AF306" i="21"/>
  <c r="U53" i="21"/>
  <c r="AF53" i="21"/>
  <c r="U115" i="21"/>
  <c r="AF115" i="21"/>
  <c r="U292" i="21"/>
  <c r="AF292" i="21"/>
  <c r="U273" i="21"/>
  <c r="AF273" i="21"/>
  <c r="U171" i="21"/>
  <c r="AF171" i="21"/>
  <c r="U27" i="21"/>
  <c r="AF27" i="21"/>
  <c r="W327" i="21"/>
  <c r="AE258" i="21"/>
  <c r="U44" i="21"/>
  <c r="AF44" i="21"/>
  <c r="U89" i="21"/>
  <c r="AF89" i="21"/>
  <c r="M113" i="21"/>
  <c r="U21" i="21"/>
  <c r="AF21" i="21"/>
  <c r="U267" i="21"/>
  <c r="AF267" i="21"/>
  <c r="U51" i="21"/>
  <c r="AF51" i="21"/>
  <c r="U239" i="21"/>
  <c r="AF239" i="21"/>
  <c r="U72" i="21"/>
  <c r="AF72" i="21"/>
  <c r="U133" i="21"/>
  <c r="AF133" i="21"/>
  <c r="U235" i="21"/>
  <c r="AF235" i="21"/>
  <c r="U269" i="21"/>
  <c r="AF269" i="21"/>
  <c r="U159" i="21"/>
  <c r="AF159" i="21"/>
  <c r="U246" i="21"/>
  <c r="AF246" i="21"/>
  <c r="AN246" i="21" s="1"/>
  <c r="AV246" i="21" s="1"/>
  <c r="U287" i="21"/>
  <c r="AF287" i="21"/>
  <c r="U163" i="21"/>
  <c r="AF163" i="21"/>
  <c r="U233" i="21"/>
  <c r="AF233" i="21"/>
  <c r="W325" i="21"/>
  <c r="AE161" i="21"/>
  <c r="U91" i="21"/>
  <c r="AF91" i="21"/>
  <c r="U252" i="21"/>
  <c r="AF252" i="21"/>
  <c r="U293" i="21"/>
  <c r="AF293" i="21"/>
  <c r="U47" i="21"/>
  <c r="AF47" i="21"/>
  <c r="U38" i="21"/>
  <c r="AF38" i="21"/>
  <c r="U62" i="21"/>
  <c r="AF62" i="21"/>
  <c r="U157" i="21"/>
  <c r="AF157" i="21"/>
  <c r="U60" i="21"/>
  <c r="AF60" i="21"/>
  <c r="U92" i="21"/>
  <c r="AF92" i="21"/>
  <c r="U229" i="21"/>
  <c r="AF229" i="21"/>
  <c r="U286" i="21"/>
  <c r="AF286" i="21"/>
  <c r="U298" i="21"/>
  <c r="AF298" i="21"/>
  <c r="U104" i="21"/>
  <c r="AF104" i="21"/>
  <c r="U155" i="21"/>
  <c r="AF155" i="21"/>
  <c r="U268" i="21"/>
  <c r="AF268" i="21"/>
  <c r="U102" i="21"/>
  <c r="AF102" i="21"/>
  <c r="W320" i="21"/>
  <c r="AE40" i="21"/>
  <c r="V322" i="21"/>
  <c r="AC42" i="21"/>
  <c r="U175" i="21"/>
  <c r="AF175" i="21"/>
  <c r="U297" i="21"/>
  <c r="AF297" i="21"/>
  <c r="U139" i="21"/>
  <c r="AF139" i="21"/>
  <c r="AC238" i="21"/>
  <c r="W333" i="21"/>
  <c r="AE93" i="21"/>
  <c r="U37" i="21"/>
  <c r="AF37" i="21"/>
  <c r="U32" i="21"/>
  <c r="AF32" i="21"/>
  <c r="AN32" i="21" s="1"/>
  <c r="AV32" i="21" s="1"/>
  <c r="U45" i="21"/>
  <c r="AF45" i="21"/>
  <c r="AC29" i="21"/>
  <c r="AC173" i="21"/>
  <c r="U307" i="21"/>
  <c r="AF307" i="21"/>
  <c r="U24" i="21"/>
  <c r="AF24" i="21"/>
  <c r="AN24" i="21" s="1"/>
  <c r="AV24" i="21" s="1"/>
  <c r="U59" i="21"/>
  <c r="AF59" i="21"/>
  <c r="U228" i="21"/>
  <c r="AF228" i="21"/>
  <c r="AC16" i="21"/>
  <c r="AC124" i="21"/>
  <c r="U247" i="21"/>
  <c r="AF247" i="21"/>
  <c r="U305" i="21"/>
  <c r="AF305" i="21"/>
  <c r="AC232" i="21"/>
  <c r="U71" i="21"/>
  <c r="AF71" i="21"/>
  <c r="U234" i="21"/>
  <c r="AF234" i="21"/>
  <c r="X135" i="21"/>
  <c r="AF135" i="21" s="1"/>
  <c r="AC35" i="21"/>
  <c r="U40" i="21"/>
  <c r="AF40" i="21"/>
  <c r="U260" i="21"/>
  <c r="AF260" i="21"/>
  <c r="U90" i="21"/>
  <c r="AF90" i="21"/>
  <c r="U302" i="21"/>
  <c r="AD302" i="21"/>
  <c r="U257" i="21"/>
  <c r="AF257" i="21"/>
  <c r="U137" i="21"/>
  <c r="AF137" i="21"/>
  <c r="AC311" i="21"/>
  <c r="U250" i="21"/>
  <c r="AF250" i="21"/>
  <c r="N206" i="21"/>
  <c r="V206" i="21" s="1"/>
  <c r="AD206" i="21" s="1"/>
  <c r="AL206" i="21" s="1"/>
  <c r="U80" i="21"/>
  <c r="AF80" i="21"/>
  <c r="U98" i="21"/>
  <c r="AF98" i="21"/>
  <c r="U243" i="21"/>
  <c r="AF243" i="21"/>
  <c r="U17" i="21"/>
  <c r="AF17" i="21"/>
  <c r="U85" i="21"/>
  <c r="AF85" i="21"/>
  <c r="U215" i="21"/>
  <c r="AF215" i="21"/>
  <c r="U263" i="21"/>
  <c r="AF263" i="21"/>
  <c r="U296" i="21"/>
  <c r="AF296" i="21"/>
  <c r="U275" i="21"/>
  <c r="AF275" i="21"/>
  <c r="U64" i="21"/>
  <c r="AF64" i="21"/>
  <c r="U111" i="21"/>
  <c r="AF111" i="21"/>
  <c r="U145" i="21"/>
  <c r="AF145" i="21"/>
  <c r="U211" i="21"/>
  <c r="AF211" i="21"/>
  <c r="V326" i="21"/>
  <c r="AD32" i="21"/>
  <c r="U68" i="21"/>
  <c r="AF68" i="21"/>
  <c r="U119" i="21"/>
  <c r="AF119" i="21"/>
  <c r="U237" i="21"/>
  <c r="AF237" i="21"/>
  <c r="U294" i="21"/>
  <c r="AF294" i="21"/>
  <c r="AC75" i="21"/>
  <c r="U22" i="21"/>
  <c r="AF22" i="21"/>
  <c r="U49" i="21"/>
  <c r="AF49" i="21"/>
  <c r="U122" i="21"/>
  <c r="AF122" i="21"/>
  <c r="U167" i="21"/>
  <c r="AF167" i="21"/>
  <c r="U308" i="21"/>
  <c r="AF308" i="21"/>
  <c r="U207" i="21"/>
  <c r="AF207" i="21"/>
  <c r="U289" i="21"/>
  <c r="AF289" i="21"/>
  <c r="U288" i="21"/>
  <c r="AF288" i="21"/>
  <c r="U290" i="21"/>
  <c r="AF290" i="21"/>
  <c r="U291" i="21"/>
  <c r="AF291" i="21"/>
  <c r="U131" i="21"/>
  <c r="AF131" i="21"/>
  <c r="U129" i="21"/>
  <c r="AF129" i="21"/>
  <c r="U225" i="21"/>
  <c r="AF225" i="21"/>
  <c r="U223" i="21"/>
  <c r="AF223" i="21"/>
  <c r="U221" i="21"/>
  <c r="AF221" i="21"/>
  <c r="AN221" i="21" s="1"/>
  <c r="U222" i="21"/>
  <c r="AF222" i="21"/>
  <c r="U226" i="21"/>
  <c r="AF226" i="21"/>
  <c r="U224" i="21"/>
  <c r="AF224" i="21"/>
  <c r="AC192" i="21"/>
  <c r="U191" i="21"/>
  <c r="AF191" i="21"/>
  <c r="U201" i="21"/>
  <c r="AF201" i="21"/>
  <c r="U199" i="21"/>
  <c r="AF199" i="21"/>
  <c r="AN199" i="21" s="1"/>
  <c r="U193" i="21"/>
  <c r="AF193" i="21"/>
  <c r="AN193" i="21" s="1"/>
  <c r="U195" i="21"/>
  <c r="AF195" i="21"/>
  <c r="U205" i="21"/>
  <c r="AF205" i="21"/>
  <c r="U187" i="21"/>
  <c r="AF187" i="21"/>
  <c r="M331" i="21"/>
  <c r="U203" i="21"/>
  <c r="AF203" i="21"/>
  <c r="U185" i="21"/>
  <c r="AF185" i="21"/>
  <c r="U197" i="21"/>
  <c r="AF197" i="21"/>
  <c r="U183" i="21"/>
  <c r="AF183" i="21"/>
  <c r="U189" i="21"/>
  <c r="AF189" i="21"/>
  <c r="U179" i="21"/>
  <c r="AF179" i="21"/>
  <c r="AN179" i="21" s="1"/>
  <c r="U276" i="21"/>
  <c r="AF276" i="21"/>
  <c r="AN276" i="21" s="1"/>
  <c r="U278" i="21"/>
  <c r="AF278" i="21"/>
  <c r="AN278" i="21" s="1"/>
  <c r="U277" i="21"/>
  <c r="AF277" i="21"/>
  <c r="AN277" i="21" s="1"/>
  <c r="M309" i="21"/>
  <c r="X326" i="21"/>
  <c r="O295" i="21"/>
  <c r="W295" i="21" s="1"/>
  <c r="AE295" i="21" s="1"/>
  <c r="AM295" i="21" s="1"/>
  <c r="AU295" i="21" s="1"/>
  <c r="BC295" i="21" s="1"/>
  <c r="BK295" i="21" s="1"/>
  <c r="BK313" i="21" s="1"/>
  <c r="BK315" i="21" s="1"/>
  <c r="W317" i="21"/>
  <c r="M238" i="21"/>
  <c r="U254" i="21"/>
  <c r="M330" i="21"/>
  <c r="E19" i="21"/>
  <c r="M284" i="21"/>
  <c r="U283" i="21"/>
  <c r="E333" i="21"/>
  <c r="X309" i="21"/>
  <c r="M318" i="21"/>
  <c r="U61" i="21"/>
  <c r="N279" i="21"/>
  <c r="V279" i="21" s="1"/>
  <c r="U149" i="21"/>
  <c r="M61" i="21"/>
  <c r="U33" i="21"/>
  <c r="U16" i="21"/>
  <c r="U25" i="21"/>
  <c r="U181" i="21"/>
  <c r="U88" i="21"/>
  <c r="M149" i="21"/>
  <c r="V330" i="21"/>
  <c r="M181" i="21"/>
  <c r="U284" i="21"/>
  <c r="V321" i="21"/>
  <c r="N332" i="21"/>
  <c r="M332" i="21" s="1"/>
  <c r="M161" i="21"/>
  <c r="N319" i="21"/>
  <c r="M319" i="21" s="1"/>
  <c r="W32" i="21"/>
  <c r="O326" i="21"/>
  <c r="N317" i="21"/>
  <c r="N329" i="21"/>
  <c r="M329" i="21" s="1"/>
  <c r="U121" i="21"/>
  <c r="U52" i="21"/>
  <c r="M52" i="21"/>
  <c r="O58" i="21"/>
  <c r="W58" i="21" s="1"/>
  <c r="AE58" i="21" s="1"/>
  <c r="AM58" i="21" s="1"/>
  <c r="AU58" i="21" s="1"/>
  <c r="BC58" i="21" s="1"/>
  <c r="BK58" i="21" s="1"/>
  <c r="V332" i="21"/>
  <c r="U299" i="21"/>
  <c r="E317" i="21"/>
  <c r="N320" i="21"/>
  <c r="M320" i="21" s="1"/>
  <c r="U173" i="21"/>
  <c r="N322" i="21"/>
  <c r="M322" i="21" s="1"/>
  <c r="M173" i="21"/>
  <c r="M299" i="21"/>
  <c r="U73" i="21"/>
  <c r="O327" i="21"/>
  <c r="M321" i="21"/>
  <c r="M25" i="21"/>
  <c r="X318" i="21"/>
  <c r="U318" i="21" s="1"/>
  <c r="V96" i="21"/>
  <c r="U96" i="21" s="1"/>
  <c r="N324" i="21"/>
  <c r="M324" i="21" s="1"/>
  <c r="O325" i="21"/>
  <c r="M328" i="21"/>
  <c r="X190" i="21"/>
  <c r="M190" i="21"/>
  <c r="U232" i="21"/>
  <c r="X327" i="21"/>
  <c r="X329" i="21"/>
  <c r="U300" i="21"/>
  <c r="O329" i="21"/>
  <c r="U311" i="21"/>
  <c r="X324" i="21"/>
  <c r="M55" i="21"/>
  <c r="X55" i="21"/>
  <c r="P317" i="21"/>
  <c r="N265" i="21"/>
  <c r="V265" i="21" s="1"/>
  <c r="AD265" i="21" s="1"/>
  <c r="AL265" i="21" s="1"/>
  <c r="AT265" i="21" s="1"/>
  <c r="BB265" i="21" s="1"/>
  <c r="W329" i="21"/>
  <c r="P333" i="21"/>
  <c r="M333" i="21" s="1"/>
  <c r="V335" i="21"/>
  <c r="M335" i="21"/>
  <c r="M50" i="21"/>
  <c r="X50" i="21"/>
  <c r="V270" i="21"/>
  <c r="AD270" i="21" s="1"/>
  <c r="N327" i="21"/>
  <c r="M327" i="21" s="1"/>
  <c r="M33" i="21"/>
  <c r="U161" i="21"/>
  <c r="M83" i="21"/>
  <c r="X330" i="21"/>
  <c r="U41" i="21"/>
  <c r="M97" i="21"/>
  <c r="E58" i="21"/>
  <c r="N58" i="21"/>
  <c r="M158" i="21"/>
  <c r="X158" i="21"/>
  <c r="E94" i="21"/>
  <c r="N94" i="21"/>
  <c r="E217" i="21"/>
  <c r="N217" i="21"/>
  <c r="V217" i="21" s="1"/>
  <c r="AD217" i="21" s="1"/>
  <c r="M16" i="21"/>
  <c r="U75" i="21"/>
  <c r="U29" i="21"/>
  <c r="M88" i="21"/>
  <c r="U97" i="21"/>
  <c r="U46" i="21"/>
  <c r="X331" i="21"/>
  <c r="U331" i="21" s="1"/>
  <c r="U124" i="21"/>
  <c r="X265" i="21"/>
  <c r="AF265" i="21" s="1"/>
  <c r="AN265" i="21" s="1"/>
  <c r="AV265" i="21" s="1"/>
  <c r="X328" i="21"/>
  <c r="U328" i="21" s="1"/>
  <c r="U35" i="21"/>
  <c r="U83" i="21"/>
  <c r="N108" i="21"/>
  <c r="O19" i="21"/>
  <c r="W19" i="21" s="1"/>
  <c r="AE19" i="21" s="1"/>
  <c r="AM19" i="21" s="1"/>
  <c r="AU19" i="21" s="1"/>
  <c r="BC19" i="21" s="1"/>
  <c r="BK19" i="21" s="1"/>
  <c r="M75" i="21"/>
  <c r="U230" i="21"/>
  <c r="X325" i="21"/>
  <c r="M56" i="21"/>
  <c r="X56" i="21"/>
  <c r="X321" i="21"/>
  <c r="U43" i="21"/>
  <c r="M124" i="21"/>
  <c r="U220" i="21"/>
  <c r="U258" i="21"/>
  <c r="V329" i="21"/>
  <c r="E170" i="21"/>
  <c r="N170" i="21"/>
  <c r="M96" i="21"/>
  <c r="N325" i="21"/>
  <c r="M325" i="21" s="1"/>
  <c r="U42" i="21"/>
  <c r="M220" i="21"/>
  <c r="U63" i="21"/>
  <c r="U100" i="21"/>
  <c r="X322" i="21"/>
  <c r="M258" i="21"/>
  <c r="M121" i="21"/>
  <c r="M295" i="21"/>
  <c r="V295" i="21"/>
  <c r="O317" i="21"/>
  <c r="X319" i="21"/>
  <c r="V99" i="21"/>
  <c r="M99" i="21"/>
  <c r="M73" i="21"/>
  <c r="M146" i="21"/>
  <c r="M63" i="21"/>
  <c r="O227" i="21"/>
  <c r="W227" i="21" s="1"/>
  <c r="AE227" i="21" s="1"/>
  <c r="AM227" i="21" s="1"/>
  <c r="AU227" i="21" s="1"/>
  <c r="BC227" i="21" s="1"/>
  <c r="BK227" i="21" s="1"/>
  <c r="U240" i="21"/>
  <c r="E227" i="21"/>
  <c r="N227" i="21"/>
  <c r="U238" i="21"/>
  <c r="E83" i="21"/>
  <c r="I70" i="21"/>
  <c r="N70" i="21"/>
  <c r="L313" i="21"/>
  <c r="L315" i="21" s="1"/>
  <c r="P19" i="21"/>
  <c r="I19" i="21"/>
  <c r="N19" i="21"/>
  <c r="V19" i="21" s="1"/>
  <c r="AD19" i="21" s="1"/>
  <c r="AL19" i="21" s="1"/>
  <c r="AT19" i="21" s="1"/>
  <c r="BB19" i="21" s="1"/>
  <c r="BJ19" i="21" s="1"/>
  <c r="G313" i="21"/>
  <c r="G315" i="21" s="1"/>
  <c r="I317" i="21"/>
  <c r="I333" i="21"/>
  <c r="I320" i="21"/>
  <c r="J313" i="21"/>
  <c r="J315" i="21" s="1"/>
  <c r="K313" i="21"/>
  <c r="K315" i="21" s="1"/>
  <c r="F313" i="21"/>
  <c r="E295" i="21"/>
  <c r="BA73" i="21" l="1"/>
  <c r="BJ73" i="21"/>
  <c r="BI73" i="21" s="1"/>
  <c r="BI311" i="21"/>
  <c r="BI29" i="21"/>
  <c r="BA162" i="21"/>
  <c r="BL162" i="21"/>
  <c r="BI162" i="21" s="1"/>
  <c r="BA128" i="21"/>
  <c r="BL128" i="21"/>
  <c r="BI128" i="21" s="1"/>
  <c r="BA124" i="21"/>
  <c r="BL124" i="21"/>
  <c r="BI124" i="21" s="1"/>
  <c r="BK321" i="21"/>
  <c r="BK330" i="21"/>
  <c r="BA116" i="21"/>
  <c r="BL116" i="21"/>
  <c r="BI116" i="21" s="1"/>
  <c r="BA97" i="21"/>
  <c r="BL97" i="21"/>
  <c r="BI97" i="21" s="1"/>
  <c r="BI75" i="21"/>
  <c r="BI35" i="21"/>
  <c r="BA156" i="21"/>
  <c r="BL156" i="21"/>
  <c r="BI156" i="21" s="1"/>
  <c r="BA33" i="21"/>
  <c r="BL33" i="21"/>
  <c r="BI33" i="21" s="1"/>
  <c r="BA16" i="21"/>
  <c r="BL16" i="21"/>
  <c r="BI16" i="21" s="1"/>
  <c r="BA88" i="21"/>
  <c r="BL88" i="21"/>
  <c r="BI88" i="21" s="1"/>
  <c r="BA105" i="21"/>
  <c r="BL105" i="21"/>
  <c r="BI105" i="21" s="1"/>
  <c r="BA63" i="21"/>
  <c r="BL63" i="21"/>
  <c r="BI63" i="21" s="1"/>
  <c r="BA121" i="21"/>
  <c r="BL121" i="21"/>
  <c r="BI121" i="21" s="1"/>
  <c r="BI43" i="21"/>
  <c r="BA173" i="21"/>
  <c r="BL173" i="21"/>
  <c r="BI173" i="21" s="1"/>
  <c r="BI204" i="21"/>
  <c r="BA194" i="21"/>
  <c r="BL194" i="21"/>
  <c r="BI194" i="21" s="1"/>
  <c r="BA188" i="21"/>
  <c r="BL188" i="21"/>
  <c r="BI186" i="21"/>
  <c r="BA202" i="21"/>
  <c r="BL202" i="21"/>
  <c r="BI178" i="21"/>
  <c r="BI196" i="21"/>
  <c r="BI184" i="21"/>
  <c r="U322" i="21"/>
  <c r="AK61" i="21"/>
  <c r="BA258" i="21"/>
  <c r="BD169" i="21"/>
  <c r="BL169" i="21" s="1"/>
  <c r="BI169" i="21" s="1"/>
  <c r="AS169" i="21"/>
  <c r="AK276" i="21"/>
  <c r="AV276" i="21"/>
  <c r="BD24" i="21"/>
  <c r="AS24" i="21"/>
  <c r="BD32" i="21"/>
  <c r="BL32" i="21" s="1"/>
  <c r="AK172" i="21"/>
  <c r="AV172" i="21"/>
  <c r="AK280" i="21"/>
  <c r="AV280" i="21"/>
  <c r="AK299" i="21"/>
  <c r="AV299" i="21"/>
  <c r="BD152" i="21"/>
  <c r="AS152" i="21"/>
  <c r="AK199" i="21"/>
  <c r="AV199" i="21"/>
  <c r="AK282" i="21"/>
  <c r="AV282" i="21"/>
  <c r="AK149" i="21"/>
  <c r="AV149" i="21"/>
  <c r="BD42" i="21"/>
  <c r="BL42" i="21" s="1"/>
  <c r="AS42" i="21"/>
  <c r="BD265" i="21"/>
  <c r="AS265" i="21"/>
  <c r="BD246" i="21"/>
  <c r="BL246" i="21" s="1"/>
  <c r="BI246" i="21" s="1"/>
  <c r="AS246" i="21"/>
  <c r="AK209" i="21"/>
  <c r="AV209" i="21"/>
  <c r="BD300" i="21"/>
  <c r="BL300" i="21" s="1"/>
  <c r="AS300" i="21"/>
  <c r="AK46" i="21"/>
  <c r="AV46" i="21"/>
  <c r="AT181" i="21"/>
  <c r="AS181" i="21" s="1"/>
  <c r="AL333" i="21"/>
  <c r="AS140" i="21"/>
  <c r="BB140" i="21"/>
  <c r="AK283" i="21"/>
  <c r="AV283" i="21"/>
  <c r="AK18" i="21"/>
  <c r="AV18" i="21"/>
  <c r="AS76" i="21"/>
  <c r="BD76" i="21"/>
  <c r="BA43" i="21"/>
  <c r="BA29" i="21"/>
  <c r="BD25" i="21"/>
  <c r="AS25" i="21"/>
  <c r="AK206" i="21"/>
  <c r="AT206" i="21"/>
  <c r="BA232" i="21"/>
  <c r="BC300" i="21"/>
  <c r="BK300" i="21" s="1"/>
  <c r="AU318" i="21"/>
  <c r="AK138" i="21"/>
  <c r="AT138" i="21"/>
  <c r="AK83" i="21"/>
  <c r="AT83" i="21"/>
  <c r="AS105" i="21"/>
  <c r="BA75" i="21"/>
  <c r="BD112" i="21"/>
  <c r="AS112" i="21"/>
  <c r="AS160" i="21"/>
  <c r="BD160" i="21"/>
  <c r="BD284" i="21"/>
  <c r="AS284" i="21"/>
  <c r="BB192" i="21"/>
  <c r="AS192" i="21"/>
  <c r="AK240" i="21"/>
  <c r="AV240" i="21"/>
  <c r="AK277" i="21"/>
  <c r="AV277" i="21"/>
  <c r="AK221" i="21"/>
  <c r="AV221" i="21"/>
  <c r="BD28" i="21"/>
  <c r="BL28" i="21" s="1"/>
  <c r="BB212" i="21"/>
  <c r="AS212" i="21"/>
  <c r="AK310" i="21"/>
  <c r="AV310" i="21"/>
  <c r="AS230" i="21"/>
  <c r="BD230" i="21"/>
  <c r="BL230" i="21" s="1"/>
  <c r="BI230" i="21" s="1"/>
  <c r="BD39" i="21"/>
  <c r="AS39" i="21"/>
  <c r="BD238" i="21"/>
  <c r="AS238" i="21"/>
  <c r="AS142" i="21"/>
  <c r="BD142" i="21"/>
  <c r="BA161" i="21"/>
  <c r="BA35" i="21"/>
  <c r="AS258" i="21"/>
  <c r="AK193" i="21"/>
  <c r="AV193" i="21"/>
  <c r="AK144" i="21"/>
  <c r="AV144" i="21"/>
  <c r="AK174" i="21"/>
  <c r="AV174" i="21"/>
  <c r="BA100" i="21"/>
  <c r="BD220" i="21"/>
  <c r="AS220" i="21"/>
  <c r="BB176" i="21"/>
  <c r="BJ176" i="21" s="1"/>
  <c r="AS176" i="21"/>
  <c r="AT318" i="21"/>
  <c r="BA311" i="21"/>
  <c r="AS132" i="21"/>
  <c r="BD132" i="21"/>
  <c r="BC311" i="21"/>
  <c r="AU324" i="21"/>
  <c r="AL332" i="21"/>
  <c r="AT52" i="21"/>
  <c r="BC313" i="21"/>
  <c r="BC315" i="21" s="1"/>
  <c r="AK278" i="21"/>
  <c r="AV278" i="21"/>
  <c r="AK143" i="21"/>
  <c r="AV143" i="21"/>
  <c r="BD181" i="21"/>
  <c r="BL181" i="21" s="1"/>
  <c r="AS41" i="21"/>
  <c r="BD41" i="21"/>
  <c r="BD61" i="21"/>
  <c r="AS61" i="21"/>
  <c r="AS136" i="21"/>
  <c r="BD136" i="21"/>
  <c r="AK179" i="21"/>
  <c r="AV179" i="21"/>
  <c r="BD118" i="21"/>
  <c r="AS118" i="21"/>
  <c r="AU313" i="21"/>
  <c r="AU315" i="21" s="1"/>
  <c r="AK101" i="21"/>
  <c r="AV101" i="21"/>
  <c r="BD101" i="21" s="1"/>
  <c r="AS100" i="21"/>
  <c r="AK212" i="21"/>
  <c r="AK181" i="21"/>
  <c r="U326" i="21"/>
  <c r="AK52" i="21"/>
  <c r="AC187" i="21"/>
  <c r="AN187" i="21"/>
  <c r="AC145" i="21"/>
  <c r="AN145" i="21"/>
  <c r="AC296" i="21"/>
  <c r="AN296" i="21"/>
  <c r="AC17" i="21"/>
  <c r="AN17" i="21"/>
  <c r="AC305" i="21"/>
  <c r="AN305" i="21"/>
  <c r="AC59" i="21"/>
  <c r="AN59" i="21"/>
  <c r="AC45" i="21"/>
  <c r="AN45" i="21"/>
  <c r="AC89" i="21"/>
  <c r="AN89" i="21"/>
  <c r="AC171" i="21"/>
  <c r="AN171" i="21"/>
  <c r="AC53" i="21"/>
  <c r="AN53" i="21"/>
  <c r="AC266" i="21"/>
  <c r="AN266" i="21"/>
  <c r="AC54" i="21"/>
  <c r="AN54" i="21"/>
  <c r="AC126" i="21"/>
  <c r="AN126" i="21"/>
  <c r="AC304" i="21"/>
  <c r="AN304" i="21"/>
  <c r="AC259" i="21"/>
  <c r="AN259" i="21"/>
  <c r="AC30" i="21"/>
  <c r="AN30" i="21"/>
  <c r="AC245" i="21"/>
  <c r="AN245" i="21"/>
  <c r="AC248" i="21"/>
  <c r="AN248" i="21"/>
  <c r="AC207" i="21"/>
  <c r="AN207" i="21"/>
  <c r="AC77" i="21"/>
  <c r="AN77" i="21"/>
  <c r="AC197" i="21"/>
  <c r="AN197" i="21"/>
  <c r="AC226" i="21"/>
  <c r="AN226" i="21"/>
  <c r="AC225" i="21"/>
  <c r="AN225" i="21"/>
  <c r="AC290" i="21"/>
  <c r="AN290" i="21"/>
  <c r="AC308" i="21"/>
  <c r="AN308" i="21"/>
  <c r="AC22" i="21"/>
  <c r="AN22" i="21"/>
  <c r="AC250" i="21"/>
  <c r="AN250" i="21"/>
  <c r="AC135" i="21"/>
  <c r="AN135" i="21"/>
  <c r="AC139" i="21"/>
  <c r="AN139" i="21"/>
  <c r="AE320" i="21"/>
  <c r="AM40" i="21"/>
  <c r="AC104" i="21"/>
  <c r="AN104" i="21"/>
  <c r="AC92" i="21"/>
  <c r="AN92" i="21"/>
  <c r="AC38" i="21"/>
  <c r="AN38" i="21"/>
  <c r="AC91" i="21"/>
  <c r="AN91" i="21"/>
  <c r="AC287" i="21"/>
  <c r="AN287" i="21"/>
  <c r="AC235" i="21"/>
  <c r="AN235" i="21"/>
  <c r="AC51" i="21"/>
  <c r="AN51" i="21"/>
  <c r="AD321" i="21"/>
  <c r="AL303" i="21"/>
  <c r="AT303" i="21" s="1"/>
  <c r="AC219" i="21"/>
  <c r="AN219" i="21"/>
  <c r="AC87" i="21"/>
  <c r="AN87" i="21"/>
  <c r="AC26" i="21"/>
  <c r="AN26" i="21"/>
  <c r="AC242" i="21"/>
  <c r="AN242" i="21"/>
  <c r="AC255" i="21"/>
  <c r="AN255" i="21"/>
  <c r="AC67" i="21"/>
  <c r="AN67" i="21"/>
  <c r="AK230" i="21"/>
  <c r="AC183" i="21"/>
  <c r="AN183" i="21"/>
  <c r="AC291" i="21"/>
  <c r="AN291" i="21"/>
  <c r="AC62" i="21"/>
  <c r="AN62" i="21"/>
  <c r="AC269" i="21"/>
  <c r="AN269" i="21"/>
  <c r="AC281" i="21"/>
  <c r="AN281" i="21"/>
  <c r="AC217" i="21"/>
  <c r="AL217" i="21"/>
  <c r="X317" i="21"/>
  <c r="AM313" i="21"/>
  <c r="AM315" i="21" s="1"/>
  <c r="AC205" i="21"/>
  <c r="AN205" i="21"/>
  <c r="AC201" i="21"/>
  <c r="AN201" i="21"/>
  <c r="AC68" i="21"/>
  <c r="AN68" i="21"/>
  <c r="AC111" i="21"/>
  <c r="AN111" i="21"/>
  <c r="AC263" i="21"/>
  <c r="AN263" i="21"/>
  <c r="AC243" i="21"/>
  <c r="AN243" i="21"/>
  <c r="AC90" i="21"/>
  <c r="AN90" i="21"/>
  <c r="AC234" i="21"/>
  <c r="AN234" i="21"/>
  <c r="AC247" i="21"/>
  <c r="AN247" i="21"/>
  <c r="AK24" i="21"/>
  <c r="AC44" i="21"/>
  <c r="AN44" i="21"/>
  <c r="AC273" i="21"/>
  <c r="AN273" i="21"/>
  <c r="AC306" i="21"/>
  <c r="AN306" i="21"/>
  <c r="AC271" i="21"/>
  <c r="AN271" i="21"/>
  <c r="AV271" i="21" s="1"/>
  <c r="AC20" i="21"/>
  <c r="AN20" i="21"/>
  <c r="AC82" i="21"/>
  <c r="AN82" i="21"/>
  <c r="AC147" i="21"/>
  <c r="AN147" i="21"/>
  <c r="AC177" i="21"/>
  <c r="AN177" i="21"/>
  <c r="AC236" i="21"/>
  <c r="AN236" i="21"/>
  <c r="AC153" i="21"/>
  <c r="AN153" i="21"/>
  <c r="AC224" i="21"/>
  <c r="AN224" i="21"/>
  <c r="AC229" i="21"/>
  <c r="AN229" i="21"/>
  <c r="AV229" i="21" s="1"/>
  <c r="AK41" i="21"/>
  <c r="AC185" i="21"/>
  <c r="AN185" i="21"/>
  <c r="AC222" i="21"/>
  <c r="AN222" i="21"/>
  <c r="AC129" i="21"/>
  <c r="AN129" i="21"/>
  <c r="AC288" i="21"/>
  <c r="AN288" i="21"/>
  <c r="AC167" i="21"/>
  <c r="AN167" i="21"/>
  <c r="AC297" i="21"/>
  <c r="AN297" i="21"/>
  <c r="AC102" i="21"/>
  <c r="AN102" i="21"/>
  <c r="AC298" i="21"/>
  <c r="AN298" i="21"/>
  <c r="AC60" i="21"/>
  <c r="AN60" i="21"/>
  <c r="AC47" i="21"/>
  <c r="AN47" i="21"/>
  <c r="AV47" i="21" s="1"/>
  <c r="AM161" i="21"/>
  <c r="AU161" i="21" s="1"/>
  <c r="AE325" i="21"/>
  <c r="AK246" i="21"/>
  <c r="AC133" i="21"/>
  <c r="AN133" i="21"/>
  <c r="AC267" i="21"/>
  <c r="AN267" i="21"/>
  <c r="AC274" i="21"/>
  <c r="AN274" i="21"/>
  <c r="AC48" i="21"/>
  <c r="AN48" i="21"/>
  <c r="AC107" i="21"/>
  <c r="AN107" i="21"/>
  <c r="AC213" i="21"/>
  <c r="AN213" i="21"/>
  <c r="AC251" i="21"/>
  <c r="AN251" i="21"/>
  <c r="AC141" i="21"/>
  <c r="AN141" i="21"/>
  <c r="AC249" i="21"/>
  <c r="AN249" i="21"/>
  <c r="AC239" i="21"/>
  <c r="AN239" i="21"/>
  <c r="AC195" i="21"/>
  <c r="AN195" i="21"/>
  <c r="AC191" i="21"/>
  <c r="AN191" i="21"/>
  <c r="AC294" i="21"/>
  <c r="AN294" i="21"/>
  <c r="AD326" i="21"/>
  <c r="AL32" i="21"/>
  <c r="AC64" i="21"/>
  <c r="AN64" i="21"/>
  <c r="AC215" i="21"/>
  <c r="AN215" i="21"/>
  <c r="AC98" i="21"/>
  <c r="AN98" i="21"/>
  <c r="AC137" i="21"/>
  <c r="AN137" i="21"/>
  <c r="AC260" i="21"/>
  <c r="AN260" i="21"/>
  <c r="AC71" i="21"/>
  <c r="AN71" i="21"/>
  <c r="AC307" i="21"/>
  <c r="AN307" i="21"/>
  <c r="AC37" i="21"/>
  <c r="AN37" i="21"/>
  <c r="AE327" i="21"/>
  <c r="AM258" i="21"/>
  <c r="AC292" i="21"/>
  <c r="AN292" i="21"/>
  <c r="AC117" i="21"/>
  <c r="AN117" i="21"/>
  <c r="AC84" i="21"/>
  <c r="AN84" i="21"/>
  <c r="AC285" i="21"/>
  <c r="AN285" i="21"/>
  <c r="AC151" i="21"/>
  <c r="AN151" i="21"/>
  <c r="AC113" i="21"/>
  <c r="AN113" i="21"/>
  <c r="AC66" i="21"/>
  <c r="AN66" i="21"/>
  <c r="AC109" i="21"/>
  <c r="AN109" i="21"/>
  <c r="AC57" i="21"/>
  <c r="AN57" i="21"/>
  <c r="AC261" i="21"/>
  <c r="AN261" i="21"/>
  <c r="AC252" i="21"/>
  <c r="AN252" i="21"/>
  <c r="AC256" i="21"/>
  <c r="AN256" i="21"/>
  <c r="AC189" i="21"/>
  <c r="AN189" i="21"/>
  <c r="AC289" i="21"/>
  <c r="AN289" i="21"/>
  <c r="AC122" i="21"/>
  <c r="AN122" i="21"/>
  <c r="AC175" i="21"/>
  <c r="AN175" i="21"/>
  <c r="AC268" i="21"/>
  <c r="AN268" i="21"/>
  <c r="AC286" i="21"/>
  <c r="AN286" i="21"/>
  <c r="AC157" i="21"/>
  <c r="AN157" i="21"/>
  <c r="AC293" i="21"/>
  <c r="AN293" i="21"/>
  <c r="AC233" i="21"/>
  <c r="AN233" i="21"/>
  <c r="AV233" i="21" s="1"/>
  <c r="AC159" i="21"/>
  <c r="AN159" i="21"/>
  <c r="AC72" i="21"/>
  <c r="AN72" i="21"/>
  <c r="AC21" i="21"/>
  <c r="AN21" i="21"/>
  <c r="AC231" i="21"/>
  <c r="AN231" i="21"/>
  <c r="AV231" i="21" s="1"/>
  <c r="AC23" i="21"/>
  <c r="AN23" i="21"/>
  <c r="AC78" i="21"/>
  <c r="AN78" i="21"/>
  <c r="AC218" i="21"/>
  <c r="AN218" i="21"/>
  <c r="AC79" i="21"/>
  <c r="AN79" i="21"/>
  <c r="AC86" i="21"/>
  <c r="AN86" i="21"/>
  <c r="AC254" i="21"/>
  <c r="AN254" i="21"/>
  <c r="AC223" i="21"/>
  <c r="AN223" i="21"/>
  <c r="AC49" i="21"/>
  <c r="AN49" i="21"/>
  <c r="AC155" i="21"/>
  <c r="AN155" i="21"/>
  <c r="AC163" i="21"/>
  <c r="AN163" i="21"/>
  <c r="AC93" i="21"/>
  <c r="AN93" i="21"/>
  <c r="AC95" i="21"/>
  <c r="AN95" i="21"/>
  <c r="AK265" i="21"/>
  <c r="AL270" i="21"/>
  <c r="AT270" i="21" s="1"/>
  <c r="AC203" i="21"/>
  <c r="AN203" i="21"/>
  <c r="AC131" i="21"/>
  <c r="AN131" i="21"/>
  <c r="AC237" i="21"/>
  <c r="AN237" i="21"/>
  <c r="AC211" i="21"/>
  <c r="AN211" i="21"/>
  <c r="AC275" i="21"/>
  <c r="AN275" i="21"/>
  <c r="AC85" i="21"/>
  <c r="AN85" i="21"/>
  <c r="AC80" i="21"/>
  <c r="AN80" i="21"/>
  <c r="AC257" i="21"/>
  <c r="AN257" i="21"/>
  <c r="AC40" i="21"/>
  <c r="AN40" i="21"/>
  <c r="AF327" i="21"/>
  <c r="AC228" i="21"/>
  <c r="AN228" i="21"/>
  <c r="AM93" i="21"/>
  <c r="AE333" i="21"/>
  <c r="AC27" i="21"/>
  <c r="AN27" i="21"/>
  <c r="AV27" i="21" s="1"/>
  <c r="AC115" i="21"/>
  <c r="AN115" i="21"/>
  <c r="AC65" i="21"/>
  <c r="AN65" i="21"/>
  <c r="AC165" i="21"/>
  <c r="AN165" i="21"/>
  <c r="AC146" i="21"/>
  <c r="AL146" i="21"/>
  <c r="AC244" i="21"/>
  <c r="AN244" i="21"/>
  <c r="AC69" i="21"/>
  <c r="AN69" i="21"/>
  <c r="AE319" i="21"/>
  <c r="AM62" i="21"/>
  <c r="AD319" i="21"/>
  <c r="AL28" i="21"/>
  <c r="AC74" i="21"/>
  <c r="AN74" i="21"/>
  <c r="AC119" i="21"/>
  <c r="AN119" i="21"/>
  <c r="AK118" i="21"/>
  <c r="AK300" i="21"/>
  <c r="AC302" i="21"/>
  <c r="AL302" i="21"/>
  <c r="AT302" i="21" s="1"/>
  <c r="AT329" i="21" s="1"/>
  <c r="AM318" i="21"/>
  <c r="AC301" i="21"/>
  <c r="AL301" i="21"/>
  <c r="AT301" i="21" s="1"/>
  <c r="AC212" i="21"/>
  <c r="AC265" i="21"/>
  <c r="AC282" i="21"/>
  <c r="AF325" i="21"/>
  <c r="AC206" i="21"/>
  <c r="AC24" i="21"/>
  <c r="AF321" i="21"/>
  <c r="AC321" i="21" s="1"/>
  <c r="AC246" i="21"/>
  <c r="AF319" i="21"/>
  <c r="AF322" i="21"/>
  <c r="AD322" i="21"/>
  <c r="AC209" i="21"/>
  <c r="AF318" i="21"/>
  <c r="AC318" i="21" s="1"/>
  <c r="AE313" i="21"/>
  <c r="AE315" i="21" s="1"/>
  <c r="X333" i="21"/>
  <c r="U333" i="21" s="1"/>
  <c r="AF326" i="21"/>
  <c r="AC28" i="21"/>
  <c r="AE317" i="21"/>
  <c r="U319" i="21"/>
  <c r="AC303" i="21"/>
  <c r="AD330" i="21"/>
  <c r="AF329" i="21"/>
  <c r="U295" i="21"/>
  <c r="AD295" i="21"/>
  <c r="V317" i="21"/>
  <c r="AD96" i="21"/>
  <c r="AL96" i="21" s="1"/>
  <c r="AT96" i="21" s="1"/>
  <c r="V324" i="21"/>
  <c r="U324" i="21" s="1"/>
  <c r="U50" i="21"/>
  <c r="AF50" i="21"/>
  <c r="AN50" i="21" s="1"/>
  <c r="AV50" i="21" s="1"/>
  <c r="U55" i="21"/>
  <c r="AF55" i="21"/>
  <c r="U309" i="21"/>
  <c r="AF309" i="21"/>
  <c r="AF324" i="21"/>
  <c r="U206" i="21"/>
  <c r="AC270" i="21"/>
  <c r="AD327" i="21"/>
  <c r="M206" i="21"/>
  <c r="AC32" i="21"/>
  <c r="U56" i="21"/>
  <c r="AF56" i="21"/>
  <c r="U135" i="21"/>
  <c r="AD99" i="21"/>
  <c r="AL99" i="21" s="1"/>
  <c r="AL320" i="21" s="1"/>
  <c r="V320" i="21"/>
  <c r="U335" i="21"/>
  <c r="AD335" i="21"/>
  <c r="U241" i="21"/>
  <c r="AF241" i="21"/>
  <c r="AF328" i="21"/>
  <c r="AC328" i="21" s="1"/>
  <c r="AD329" i="21"/>
  <c r="U158" i="21"/>
  <c r="AF158" i="21"/>
  <c r="W326" i="21"/>
  <c r="AE32" i="21"/>
  <c r="AE329" i="21"/>
  <c r="AC221" i="21"/>
  <c r="AC179" i="21"/>
  <c r="AF331" i="21"/>
  <c r="AC331" i="21" s="1"/>
  <c r="AC199" i="21"/>
  <c r="AF330" i="21"/>
  <c r="U190" i="21"/>
  <c r="AF190" i="21"/>
  <c r="AC193" i="21"/>
  <c r="U279" i="21"/>
  <c r="AD279" i="21"/>
  <c r="AL279" i="21" s="1"/>
  <c r="AC278" i="21"/>
  <c r="AC276" i="21"/>
  <c r="AC277" i="21"/>
  <c r="X320" i="21"/>
  <c r="U270" i="21"/>
  <c r="V327" i="21"/>
  <c r="U327" i="21" s="1"/>
  <c r="M265" i="21"/>
  <c r="U321" i="21"/>
  <c r="M279" i="21"/>
  <c r="U330" i="21"/>
  <c r="M317" i="21"/>
  <c r="X332" i="21"/>
  <c r="U332" i="21" s="1"/>
  <c r="W322" i="21"/>
  <c r="U265" i="21"/>
  <c r="V108" i="21"/>
  <c r="M108" i="21"/>
  <c r="U329" i="21"/>
  <c r="P313" i="21"/>
  <c r="P315" i="21" s="1"/>
  <c r="X19" i="21"/>
  <c r="M70" i="21"/>
  <c r="V70" i="21"/>
  <c r="V58" i="21"/>
  <c r="M58" i="21"/>
  <c r="U217" i="21"/>
  <c r="M217" i="21"/>
  <c r="O313" i="21"/>
  <c r="O315" i="21" s="1"/>
  <c r="U99" i="21"/>
  <c r="W313" i="21"/>
  <c r="W315" i="21" s="1"/>
  <c r="V170" i="21"/>
  <c r="AD170" i="21" s="1"/>
  <c r="M170" i="21"/>
  <c r="V94" i="21"/>
  <c r="M94" i="21"/>
  <c r="V325" i="21"/>
  <c r="U325" i="21" s="1"/>
  <c r="V227" i="21"/>
  <c r="AD227" i="21" s="1"/>
  <c r="M227" i="21"/>
  <c r="N313" i="21"/>
  <c r="M19" i="21"/>
  <c r="I313" i="21"/>
  <c r="I315" i="21" s="1"/>
  <c r="F315" i="21"/>
  <c r="E313" i="21"/>
  <c r="E315" i="21" s="1"/>
  <c r="BA142" i="21" l="1"/>
  <c r="BL142" i="21"/>
  <c r="BI142" i="21" s="1"/>
  <c r="BA140" i="21"/>
  <c r="BJ140" i="21"/>
  <c r="BI140" i="21" s="1"/>
  <c r="BA24" i="21"/>
  <c r="BL24" i="21"/>
  <c r="BI24" i="21" s="1"/>
  <c r="BA61" i="21"/>
  <c r="BL61" i="21"/>
  <c r="BI61" i="21" s="1"/>
  <c r="BA41" i="21"/>
  <c r="BL41" i="21"/>
  <c r="BI41" i="21" s="1"/>
  <c r="BA112" i="21"/>
  <c r="BL112" i="21"/>
  <c r="BI112" i="21" s="1"/>
  <c r="BK318" i="21"/>
  <c r="BA76" i="21"/>
  <c r="BL76" i="21"/>
  <c r="BI76" i="21" s="1"/>
  <c r="BA118" i="21"/>
  <c r="BL118" i="21"/>
  <c r="BI118" i="21" s="1"/>
  <c r="BA238" i="21"/>
  <c r="BL238" i="21"/>
  <c r="BI238" i="21" s="1"/>
  <c r="BA212" i="21"/>
  <c r="BJ212" i="21"/>
  <c r="BI212" i="21" s="1"/>
  <c r="BK311" i="21"/>
  <c r="BA220" i="21"/>
  <c r="BL220" i="21"/>
  <c r="BI220" i="21" s="1"/>
  <c r="BA39" i="21"/>
  <c r="BL39" i="21"/>
  <c r="BA265" i="21"/>
  <c r="BL265" i="21"/>
  <c r="BI265" i="21" s="1"/>
  <c r="BA136" i="21"/>
  <c r="BL136" i="21"/>
  <c r="BI136" i="21" s="1"/>
  <c r="BA132" i="21"/>
  <c r="BL132" i="21"/>
  <c r="BI132" i="21" s="1"/>
  <c r="BA284" i="21"/>
  <c r="BL284" i="21"/>
  <c r="BI284" i="21" s="1"/>
  <c r="BA101" i="21"/>
  <c r="BL101" i="21"/>
  <c r="BI101" i="21" s="1"/>
  <c r="BA160" i="21"/>
  <c r="BL160" i="21"/>
  <c r="BI160" i="21" s="1"/>
  <c r="BA25" i="21"/>
  <c r="BL25" i="21"/>
  <c r="BI25" i="21" s="1"/>
  <c r="BI300" i="21"/>
  <c r="BI42" i="21"/>
  <c r="BA152" i="21"/>
  <c r="BL152" i="21"/>
  <c r="BI152" i="21" s="1"/>
  <c r="BA192" i="21"/>
  <c r="BJ192" i="21"/>
  <c r="BI188" i="21"/>
  <c r="BI176" i="21"/>
  <c r="BJ318" i="21"/>
  <c r="BI202" i="21"/>
  <c r="BA169" i="21"/>
  <c r="AC327" i="21"/>
  <c r="AN319" i="21"/>
  <c r="AK257" i="21"/>
  <c r="AV257" i="21"/>
  <c r="AK167" i="21"/>
  <c r="AV167" i="21"/>
  <c r="AK242" i="21"/>
  <c r="AV242" i="21"/>
  <c r="AK226" i="21"/>
  <c r="AV226" i="21"/>
  <c r="BB138" i="21"/>
  <c r="AS138" i="21"/>
  <c r="AM333" i="21"/>
  <c r="AU93" i="21"/>
  <c r="AK237" i="21"/>
  <c r="AV237" i="21"/>
  <c r="AK95" i="21"/>
  <c r="AV95" i="21"/>
  <c r="AK49" i="21"/>
  <c r="AV49" i="21"/>
  <c r="AS231" i="21"/>
  <c r="BD231" i="21"/>
  <c r="BL231" i="21" s="1"/>
  <c r="BD233" i="21"/>
  <c r="BL233" i="21" s="1"/>
  <c r="AS233" i="21"/>
  <c r="AV328" i="21"/>
  <c r="AS328" i="21" s="1"/>
  <c r="AK268" i="21"/>
  <c r="AV268" i="21"/>
  <c r="AK189" i="21"/>
  <c r="AV189" i="21"/>
  <c r="AK57" i="21"/>
  <c r="AV57" i="21"/>
  <c r="AK151" i="21"/>
  <c r="AV151" i="21"/>
  <c r="AK292" i="21"/>
  <c r="AV292" i="21"/>
  <c r="AK71" i="21"/>
  <c r="AV71" i="21"/>
  <c r="AK215" i="21"/>
  <c r="AV215" i="21"/>
  <c r="AK191" i="21"/>
  <c r="AV191" i="21"/>
  <c r="AK141" i="21"/>
  <c r="AV141" i="21"/>
  <c r="AK48" i="21"/>
  <c r="AV48" i="21"/>
  <c r="AK298" i="21"/>
  <c r="AV298" i="21"/>
  <c r="AK243" i="21"/>
  <c r="AV243" i="21"/>
  <c r="AK201" i="21"/>
  <c r="AV201" i="21"/>
  <c r="AK281" i="21"/>
  <c r="AV281" i="21"/>
  <c r="AK183" i="21"/>
  <c r="AV183" i="21"/>
  <c r="BD174" i="21"/>
  <c r="AS174" i="21"/>
  <c r="BB181" i="21"/>
  <c r="BA181" i="21" s="1"/>
  <c r="AT333" i="21"/>
  <c r="AS282" i="21"/>
  <c r="BD282" i="21"/>
  <c r="BB96" i="21"/>
  <c r="BJ96" i="21" s="1"/>
  <c r="BI96" i="21" s="1"/>
  <c r="AT324" i="21"/>
  <c r="AT317" i="21"/>
  <c r="AS96" i="21"/>
  <c r="AK159" i="21"/>
  <c r="AV159" i="21"/>
  <c r="AK107" i="21"/>
  <c r="AV107" i="21"/>
  <c r="AK68" i="21"/>
  <c r="AV68" i="21"/>
  <c r="BB52" i="21"/>
  <c r="BJ52" i="21" s="1"/>
  <c r="BJ322" i="21" s="1"/>
  <c r="AT332" i="21"/>
  <c r="AS52" i="21"/>
  <c r="AM319" i="21"/>
  <c r="AU62" i="21"/>
  <c r="AK236" i="21"/>
  <c r="AV236" i="21"/>
  <c r="AK91" i="21"/>
  <c r="AV91" i="21"/>
  <c r="AK59" i="21"/>
  <c r="AV59" i="21"/>
  <c r="BD240" i="21"/>
  <c r="AS240" i="21"/>
  <c r="BB206" i="21"/>
  <c r="AS206" i="21"/>
  <c r="BD299" i="21"/>
  <c r="AS299" i="21"/>
  <c r="AC319" i="21"/>
  <c r="AC326" i="21"/>
  <c r="AS301" i="21"/>
  <c r="BB301" i="21"/>
  <c r="AV119" i="21"/>
  <c r="AK119" i="21"/>
  <c r="AK69" i="21"/>
  <c r="AV69" i="21"/>
  <c r="AK228" i="21"/>
  <c r="AV228" i="21"/>
  <c r="BD229" i="21"/>
  <c r="BL229" i="21" s="1"/>
  <c r="AS229" i="21"/>
  <c r="AS271" i="21"/>
  <c r="BD271" i="21"/>
  <c r="BL271" i="21" s="1"/>
  <c r="AK26" i="21"/>
  <c r="AV26" i="21"/>
  <c r="AK51" i="21"/>
  <c r="AV51" i="21"/>
  <c r="AK38" i="21"/>
  <c r="AV38" i="21"/>
  <c r="AK139" i="21"/>
  <c r="AV139" i="21"/>
  <c r="AK308" i="21"/>
  <c r="AV308" i="21"/>
  <c r="AK197" i="21"/>
  <c r="AV197" i="21"/>
  <c r="AK245" i="21"/>
  <c r="AV245" i="21"/>
  <c r="AK126" i="21"/>
  <c r="AV126" i="21"/>
  <c r="AK171" i="21"/>
  <c r="AV171" i="21"/>
  <c r="AK305" i="21"/>
  <c r="AV305" i="21"/>
  <c r="AK187" i="21"/>
  <c r="AV187" i="21"/>
  <c r="BD143" i="21"/>
  <c r="AS143" i="21"/>
  <c r="BA230" i="21"/>
  <c r="AS221" i="21"/>
  <c r="BD221" i="21"/>
  <c r="AS18" i="21"/>
  <c r="BD18" i="21"/>
  <c r="AS46" i="21"/>
  <c r="BD46" i="21"/>
  <c r="BA246" i="21"/>
  <c r="BD280" i="21"/>
  <c r="AS280" i="21"/>
  <c r="AS276" i="21"/>
  <c r="BD276" i="21"/>
  <c r="AK211" i="21"/>
  <c r="AV211" i="21"/>
  <c r="AK294" i="21"/>
  <c r="AV294" i="21"/>
  <c r="AK60" i="21"/>
  <c r="AV60" i="21"/>
  <c r="AK291" i="21"/>
  <c r="AV291" i="21"/>
  <c r="BD149" i="21"/>
  <c r="AS149" i="21"/>
  <c r="AK165" i="21"/>
  <c r="AV165" i="21"/>
  <c r="AK44" i="21"/>
  <c r="AV44" i="21"/>
  <c r="AU40" i="21"/>
  <c r="AM320" i="21"/>
  <c r="AK248" i="21"/>
  <c r="AV248" i="21"/>
  <c r="AK145" i="21"/>
  <c r="AV145" i="21"/>
  <c r="AK85" i="21"/>
  <c r="AV85" i="21"/>
  <c r="AK131" i="21"/>
  <c r="AV131" i="21"/>
  <c r="AK93" i="21"/>
  <c r="AV93" i="21"/>
  <c r="AK223" i="21"/>
  <c r="AV223" i="21"/>
  <c r="AK218" i="21"/>
  <c r="AV218" i="21"/>
  <c r="AK21" i="21"/>
  <c r="AV21" i="21"/>
  <c r="AK293" i="21"/>
  <c r="AV293" i="21"/>
  <c r="AK175" i="21"/>
  <c r="AV175" i="21"/>
  <c r="AK256" i="21"/>
  <c r="AV256" i="21"/>
  <c r="AK109" i="21"/>
  <c r="AV109" i="21"/>
  <c r="AK285" i="21"/>
  <c r="AV285" i="21"/>
  <c r="AM327" i="21"/>
  <c r="AU258" i="21"/>
  <c r="AK64" i="21"/>
  <c r="AV64" i="21"/>
  <c r="AK195" i="21"/>
  <c r="AV195" i="21"/>
  <c r="AK251" i="21"/>
  <c r="AV251" i="21"/>
  <c r="AK274" i="21"/>
  <c r="AV274" i="21"/>
  <c r="AK129" i="21"/>
  <c r="AV129" i="21"/>
  <c r="AK247" i="21"/>
  <c r="AV247" i="21"/>
  <c r="AK205" i="21"/>
  <c r="AV205" i="21"/>
  <c r="AK269" i="21"/>
  <c r="AV269" i="21"/>
  <c r="AS144" i="21"/>
  <c r="BD144" i="21"/>
  <c r="AS199" i="21"/>
  <c r="BD199" i="21"/>
  <c r="BB270" i="21"/>
  <c r="AT327" i="21"/>
  <c r="AS270" i="21"/>
  <c r="AK23" i="21"/>
  <c r="AV23" i="21"/>
  <c r="AK286" i="21"/>
  <c r="AV286" i="21"/>
  <c r="AK113" i="21"/>
  <c r="AV113" i="21"/>
  <c r="AK98" i="21"/>
  <c r="AV98" i="21"/>
  <c r="AK249" i="21"/>
  <c r="AV249" i="21"/>
  <c r="AK133" i="21"/>
  <c r="AV133" i="21"/>
  <c r="AK90" i="21"/>
  <c r="AV90" i="21"/>
  <c r="AK217" i="21"/>
  <c r="AT217" i="21"/>
  <c r="AK20" i="21"/>
  <c r="AV20" i="21"/>
  <c r="BB303" i="21"/>
  <c r="BJ303" i="21" s="1"/>
  <c r="AT330" i="21"/>
  <c r="AT321" i="21"/>
  <c r="AS303" i="21"/>
  <c r="AK22" i="21"/>
  <c r="AV22" i="21"/>
  <c r="AK53" i="21"/>
  <c r="AV53" i="21"/>
  <c r="BD50" i="21"/>
  <c r="BL50" i="21" s="1"/>
  <c r="BI50" i="21" s="1"/>
  <c r="AS50" i="21"/>
  <c r="AM329" i="21"/>
  <c r="AK74" i="21"/>
  <c r="AV74" i="21"/>
  <c r="AK244" i="21"/>
  <c r="AV244" i="21"/>
  <c r="AK115" i="21"/>
  <c r="AV115" i="21"/>
  <c r="BC161" i="21"/>
  <c r="BK161" i="21" s="1"/>
  <c r="AU325" i="21"/>
  <c r="AK224" i="21"/>
  <c r="AV224" i="21"/>
  <c r="AK147" i="21"/>
  <c r="AV147" i="21"/>
  <c r="AK306" i="21"/>
  <c r="AV306" i="21"/>
  <c r="AK87" i="21"/>
  <c r="AV87" i="21"/>
  <c r="AK235" i="21"/>
  <c r="AV235" i="21"/>
  <c r="AK92" i="21"/>
  <c r="AV92" i="21"/>
  <c r="AK135" i="21"/>
  <c r="AV135" i="21"/>
  <c r="AK77" i="21"/>
  <c r="AV77" i="21"/>
  <c r="AK30" i="21"/>
  <c r="AV30" i="21"/>
  <c r="AK54" i="21"/>
  <c r="AV54" i="21"/>
  <c r="AK89" i="21"/>
  <c r="AV89" i="21"/>
  <c r="AK17" i="21"/>
  <c r="AV17" i="21"/>
  <c r="BD278" i="21"/>
  <c r="AS278" i="21"/>
  <c r="BC324" i="21"/>
  <c r="BB318" i="21"/>
  <c r="BA176" i="21"/>
  <c r="BD310" i="21"/>
  <c r="AS310" i="21"/>
  <c r="BD277" i="21"/>
  <c r="AS277" i="21"/>
  <c r="BC318" i="21"/>
  <c r="BD283" i="21"/>
  <c r="AS283" i="21"/>
  <c r="BD172" i="21"/>
  <c r="AS172" i="21"/>
  <c r="AK86" i="21"/>
  <c r="AV86" i="21"/>
  <c r="AK307" i="21"/>
  <c r="AV307" i="21"/>
  <c r="AK185" i="21"/>
  <c r="AV185" i="21"/>
  <c r="AK304" i="21"/>
  <c r="AV304" i="21"/>
  <c r="AK40" i="21"/>
  <c r="AV40" i="21"/>
  <c r="AK275" i="21"/>
  <c r="AV275" i="21"/>
  <c r="AK203" i="21"/>
  <c r="AV203" i="21"/>
  <c r="AK163" i="21"/>
  <c r="AV163" i="21"/>
  <c r="AK72" i="21"/>
  <c r="AV72" i="21"/>
  <c r="AK157" i="21"/>
  <c r="AV157" i="21"/>
  <c r="AK122" i="21"/>
  <c r="AV122" i="21"/>
  <c r="AK252" i="21"/>
  <c r="AV252" i="21"/>
  <c r="AK84" i="21"/>
  <c r="AV84" i="21"/>
  <c r="AK37" i="21"/>
  <c r="AV37" i="21"/>
  <c r="AK137" i="21"/>
  <c r="AV137" i="21"/>
  <c r="AL326" i="21"/>
  <c r="AT32" i="21"/>
  <c r="AK239" i="21"/>
  <c r="AV239" i="21"/>
  <c r="AK213" i="21"/>
  <c r="AV213" i="21"/>
  <c r="AK267" i="21"/>
  <c r="AV267" i="21"/>
  <c r="BD47" i="21"/>
  <c r="BL47" i="21" s="1"/>
  <c r="AS47" i="21"/>
  <c r="AK297" i="21"/>
  <c r="AV297" i="21"/>
  <c r="AK222" i="21"/>
  <c r="AV222" i="21"/>
  <c r="AK234" i="21"/>
  <c r="AV234" i="21"/>
  <c r="AK111" i="21"/>
  <c r="AV111" i="21"/>
  <c r="AK62" i="21"/>
  <c r="AV62" i="21"/>
  <c r="AS193" i="21"/>
  <c r="BD193" i="21"/>
  <c r="BA300" i="21"/>
  <c r="AS302" i="21"/>
  <c r="BB302" i="21"/>
  <c r="BJ302" i="21" s="1"/>
  <c r="BI302" i="21" s="1"/>
  <c r="AL319" i="21"/>
  <c r="AT28" i="21"/>
  <c r="BD27" i="21"/>
  <c r="BL27" i="21" s="1"/>
  <c r="BI27" i="21" s="1"/>
  <c r="AS27" i="21"/>
  <c r="AK82" i="21"/>
  <c r="AV82" i="21"/>
  <c r="AK273" i="21"/>
  <c r="AV273" i="21"/>
  <c r="AK255" i="21"/>
  <c r="AV255" i="21"/>
  <c r="AK219" i="21"/>
  <c r="AV219" i="21"/>
  <c r="AK287" i="21"/>
  <c r="AV287" i="21"/>
  <c r="AK250" i="21"/>
  <c r="AV250" i="21"/>
  <c r="AK225" i="21"/>
  <c r="AV225" i="21"/>
  <c r="AK207" i="21"/>
  <c r="AV207" i="21"/>
  <c r="AK259" i="21"/>
  <c r="AV259" i="21"/>
  <c r="AK266" i="21"/>
  <c r="AV266" i="21"/>
  <c r="AK45" i="21"/>
  <c r="AV45" i="21"/>
  <c r="AK296" i="21"/>
  <c r="AV296" i="21"/>
  <c r="AS83" i="21"/>
  <c r="BB83" i="21"/>
  <c r="BD209" i="21"/>
  <c r="BL209" i="21" s="1"/>
  <c r="AS209" i="21"/>
  <c r="BA42" i="21"/>
  <c r="AK290" i="21"/>
  <c r="AV290" i="21"/>
  <c r="AK279" i="21"/>
  <c r="AT279" i="21"/>
  <c r="AK289" i="21"/>
  <c r="AV289" i="21"/>
  <c r="AK288" i="21"/>
  <c r="AV288" i="21"/>
  <c r="AK260" i="21"/>
  <c r="AV260" i="21"/>
  <c r="AK263" i="21"/>
  <c r="AV263" i="21"/>
  <c r="AK254" i="21"/>
  <c r="AV254" i="21"/>
  <c r="AK261" i="21"/>
  <c r="AV261" i="21"/>
  <c r="AK177" i="21"/>
  <c r="AV177" i="21"/>
  <c r="AS179" i="21"/>
  <c r="BD179" i="21"/>
  <c r="AK153" i="21"/>
  <c r="AV153" i="21"/>
  <c r="AK155" i="21"/>
  <c r="AV155" i="21"/>
  <c r="AK146" i="21"/>
  <c r="AT146" i="21"/>
  <c r="AK117" i="21"/>
  <c r="AV117" i="21"/>
  <c r="AK102" i="21"/>
  <c r="AV102" i="21"/>
  <c r="AK104" i="21"/>
  <c r="AV104" i="21"/>
  <c r="AK67" i="21"/>
  <c r="AV67" i="21"/>
  <c r="AK66" i="21"/>
  <c r="AV66" i="21"/>
  <c r="AK65" i="21"/>
  <c r="AV65" i="21"/>
  <c r="AK79" i="21"/>
  <c r="AV79" i="21"/>
  <c r="AK80" i="21"/>
  <c r="AV80" i="21"/>
  <c r="AK78" i="21"/>
  <c r="AV78" i="21"/>
  <c r="AS101" i="21"/>
  <c r="AK99" i="21"/>
  <c r="AT99" i="21"/>
  <c r="BB99" i="21" s="1"/>
  <c r="BJ99" i="21" s="1"/>
  <c r="BI99" i="21" s="1"/>
  <c r="AD317" i="21"/>
  <c r="AL325" i="21"/>
  <c r="U317" i="21"/>
  <c r="AK231" i="21"/>
  <c r="AN326" i="21"/>
  <c r="AK233" i="21"/>
  <c r="AN328" i="21"/>
  <c r="AK328" i="21" s="1"/>
  <c r="AC330" i="21"/>
  <c r="AE322" i="21"/>
  <c r="AM32" i="21"/>
  <c r="AU32" i="21" s="1"/>
  <c r="AC335" i="21"/>
  <c r="AL335" i="21"/>
  <c r="AD320" i="21"/>
  <c r="AN318" i="21"/>
  <c r="AK318" i="21" s="1"/>
  <c r="AK28" i="21"/>
  <c r="AN330" i="21"/>
  <c r="AN329" i="21"/>
  <c r="AK229" i="21"/>
  <c r="AN324" i="21"/>
  <c r="AK271" i="21"/>
  <c r="AN327" i="21"/>
  <c r="AK32" i="21"/>
  <c r="AC56" i="21"/>
  <c r="AN56" i="21"/>
  <c r="AC227" i="21"/>
  <c r="AL227" i="21"/>
  <c r="AN332" i="21"/>
  <c r="AK332" i="21" s="1"/>
  <c r="AK50" i="21"/>
  <c r="AM325" i="21"/>
  <c r="AM317" i="21"/>
  <c r="AK303" i="21"/>
  <c r="AL330" i="21"/>
  <c r="AL321" i="21"/>
  <c r="AC55" i="21"/>
  <c r="AN55" i="21"/>
  <c r="AD325" i="21"/>
  <c r="AC325" i="21" s="1"/>
  <c r="AK27" i="21"/>
  <c r="AN322" i="21"/>
  <c r="AK47" i="21"/>
  <c r="AN321" i="21"/>
  <c r="AC158" i="21"/>
  <c r="AN158" i="21"/>
  <c r="AN331" i="21"/>
  <c r="AK331" i="21" s="1"/>
  <c r="AK96" i="21"/>
  <c r="AL324" i="21"/>
  <c r="AL317" i="21"/>
  <c r="AF333" i="21"/>
  <c r="AC333" i="21" s="1"/>
  <c r="AK270" i="21"/>
  <c r="AL327" i="21"/>
  <c r="AN325" i="21"/>
  <c r="AC309" i="21"/>
  <c r="AN309" i="21"/>
  <c r="AV309" i="21" s="1"/>
  <c r="AC170" i="21"/>
  <c r="AL170" i="21"/>
  <c r="AC190" i="21"/>
  <c r="AN190" i="21"/>
  <c r="AC241" i="21"/>
  <c r="AN241" i="21"/>
  <c r="AL322" i="21"/>
  <c r="AL329" i="21"/>
  <c r="AK302" i="21"/>
  <c r="AC295" i="21"/>
  <c r="AL295" i="21"/>
  <c r="AT295" i="21" s="1"/>
  <c r="AK301" i="21"/>
  <c r="AC322" i="21"/>
  <c r="AF317" i="21"/>
  <c r="AF320" i="21"/>
  <c r="AC329" i="21"/>
  <c r="U320" i="21"/>
  <c r="U19" i="21"/>
  <c r="AF19" i="21"/>
  <c r="AC96" i="21"/>
  <c r="AD324" i="21"/>
  <c r="AC324" i="21" s="1"/>
  <c r="AC99" i="21"/>
  <c r="U94" i="21"/>
  <c r="AD94" i="21"/>
  <c r="AC50" i="21"/>
  <c r="AF332" i="21"/>
  <c r="AC332" i="21" s="1"/>
  <c r="U70" i="21"/>
  <c r="AD70" i="21"/>
  <c r="AE326" i="21"/>
  <c r="U108" i="21"/>
  <c r="AD108" i="21"/>
  <c r="AL108" i="21" s="1"/>
  <c r="AT108" i="21" s="1"/>
  <c r="U58" i="21"/>
  <c r="AD58" i="21"/>
  <c r="U170" i="21"/>
  <c r="AC279" i="21"/>
  <c r="V313" i="21"/>
  <c r="V315" i="21" s="1"/>
  <c r="X313" i="21"/>
  <c r="X315" i="21" s="1"/>
  <c r="U227" i="21"/>
  <c r="M313" i="21"/>
  <c r="M315" i="21" s="1"/>
  <c r="N315" i="21"/>
  <c r="BI39" i="21" l="1"/>
  <c r="BL322" i="21"/>
  <c r="BI322" i="21" s="1"/>
  <c r="BA278" i="21"/>
  <c r="BL278" i="21"/>
  <c r="BI278" i="21" s="1"/>
  <c r="BB327" i="21"/>
  <c r="BJ270" i="21"/>
  <c r="BJ327" i="21" s="1"/>
  <c r="BA149" i="21"/>
  <c r="BL149" i="21"/>
  <c r="BI149" i="21" s="1"/>
  <c r="BA18" i="21"/>
  <c r="BL18" i="21"/>
  <c r="BI18" i="21" s="1"/>
  <c r="BI229" i="21"/>
  <c r="BA240" i="21"/>
  <c r="BL240" i="21"/>
  <c r="BI240" i="21" s="1"/>
  <c r="BA138" i="21"/>
  <c r="BJ138" i="21"/>
  <c r="BA277" i="21"/>
  <c r="BL277" i="21"/>
  <c r="BI277" i="21" s="1"/>
  <c r="BA276" i="21"/>
  <c r="BL276" i="21"/>
  <c r="BI276" i="21" s="1"/>
  <c r="BA221" i="21"/>
  <c r="BL221" i="21"/>
  <c r="BI221" i="21" s="1"/>
  <c r="BA310" i="21"/>
  <c r="BL310" i="21"/>
  <c r="BI310" i="21" s="1"/>
  <c r="BI303" i="21"/>
  <c r="BJ321" i="21"/>
  <c r="BJ330" i="21"/>
  <c r="BA144" i="21"/>
  <c r="BL144" i="21"/>
  <c r="BI144" i="21" s="1"/>
  <c r="BJ332" i="21"/>
  <c r="BI52" i="21"/>
  <c r="BA174" i="21"/>
  <c r="BL174" i="21"/>
  <c r="BI174" i="21" s="1"/>
  <c r="BI47" i="21"/>
  <c r="BA172" i="21"/>
  <c r="BL172" i="21"/>
  <c r="BI172" i="21" s="1"/>
  <c r="BA280" i="21"/>
  <c r="BL280" i="21"/>
  <c r="BI280" i="21" s="1"/>
  <c r="BA299" i="21"/>
  <c r="BL299" i="21"/>
  <c r="BI233" i="21"/>
  <c r="BL328" i="21"/>
  <c r="BI328" i="21" s="1"/>
  <c r="BB317" i="21"/>
  <c r="BI271" i="21"/>
  <c r="BI231" i="21"/>
  <c r="BA83" i="21"/>
  <c r="BJ83" i="21"/>
  <c r="BI83" i="21" s="1"/>
  <c r="BA283" i="21"/>
  <c r="BL283" i="21"/>
  <c r="BI283" i="21" s="1"/>
  <c r="BA46" i="21"/>
  <c r="BL46" i="21"/>
  <c r="BI46" i="21" s="1"/>
  <c r="BA143" i="21"/>
  <c r="BL143" i="21"/>
  <c r="BI143" i="21" s="1"/>
  <c r="BA282" i="21"/>
  <c r="BL282" i="21"/>
  <c r="BI282" i="21" s="1"/>
  <c r="BA301" i="21"/>
  <c r="BJ301" i="21"/>
  <c r="BI301" i="21" s="1"/>
  <c r="BK324" i="21"/>
  <c r="BA179" i="21"/>
  <c r="BL179" i="21"/>
  <c r="BI179" i="21" s="1"/>
  <c r="BA199" i="21"/>
  <c r="BL199" i="21"/>
  <c r="AK319" i="21"/>
  <c r="BB320" i="21"/>
  <c r="BJ181" i="21"/>
  <c r="BB333" i="21"/>
  <c r="BI209" i="21"/>
  <c r="BA193" i="21"/>
  <c r="BL193" i="21"/>
  <c r="BA206" i="21"/>
  <c r="BJ206" i="21"/>
  <c r="BI206" i="21" s="1"/>
  <c r="BJ324" i="21"/>
  <c r="BJ317" i="21"/>
  <c r="BI192" i="21"/>
  <c r="BA209" i="21"/>
  <c r="AK324" i="21"/>
  <c r="AV324" i="21"/>
  <c r="AV329" i="21"/>
  <c r="AS329" i="21" s="1"/>
  <c r="AK326" i="21"/>
  <c r="AV326" i="21"/>
  <c r="AV325" i="21"/>
  <c r="AV321" i="21"/>
  <c r="AS321" i="21" s="1"/>
  <c r="AK335" i="21"/>
  <c r="AT335" i="21"/>
  <c r="BD45" i="21"/>
  <c r="AS45" i="21"/>
  <c r="BB28" i="21"/>
  <c r="BJ28" i="21" s="1"/>
  <c r="AT319" i="21"/>
  <c r="AS28" i="21"/>
  <c r="AS213" i="21"/>
  <c r="BD213" i="21"/>
  <c r="BD157" i="21"/>
  <c r="AS157" i="21"/>
  <c r="AS275" i="21"/>
  <c r="BD275" i="21"/>
  <c r="AS54" i="21"/>
  <c r="BD54" i="21"/>
  <c r="AS244" i="21"/>
  <c r="BD244" i="21"/>
  <c r="BC40" i="21"/>
  <c r="AU320" i="21"/>
  <c r="AU329" i="21"/>
  <c r="BD215" i="21"/>
  <c r="AS215" i="21"/>
  <c r="BD62" i="21"/>
  <c r="BL62" i="21" s="1"/>
  <c r="AS62" i="21"/>
  <c r="AV319" i="21"/>
  <c r="BD64" i="21"/>
  <c r="AS64" i="21"/>
  <c r="BB324" i="21"/>
  <c r="BA96" i="21"/>
  <c r="AK241" i="21"/>
  <c r="AV241" i="21"/>
  <c r="AK158" i="21"/>
  <c r="AV158" i="21"/>
  <c r="AK227" i="21"/>
  <c r="AT227" i="21"/>
  <c r="BC32" i="21"/>
  <c r="BK32" i="21" s="1"/>
  <c r="AU326" i="21"/>
  <c r="AU322" i="21"/>
  <c r="AS266" i="21"/>
  <c r="BD266" i="21"/>
  <c r="BD250" i="21"/>
  <c r="AS250" i="21"/>
  <c r="BD273" i="21"/>
  <c r="AS273" i="21"/>
  <c r="BA302" i="21"/>
  <c r="BB329" i="21"/>
  <c r="AS239" i="21"/>
  <c r="BD239" i="21"/>
  <c r="AS84" i="21"/>
  <c r="BD84" i="21"/>
  <c r="AS72" i="21"/>
  <c r="BD72" i="21"/>
  <c r="BD40" i="21"/>
  <c r="AS40" i="21"/>
  <c r="BD86" i="21"/>
  <c r="AS86" i="21"/>
  <c r="BD30" i="21"/>
  <c r="AS30" i="21"/>
  <c r="AS235" i="21"/>
  <c r="BD235" i="21"/>
  <c r="BD224" i="21"/>
  <c r="AS224" i="21"/>
  <c r="BD74" i="21"/>
  <c r="AS74" i="21"/>
  <c r="AS53" i="21"/>
  <c r="BD53" i="21"/>
  <c r="AS20" i="21"/>
  <c r="BD20" i="21"/>
  <c r="BD249" i="21"/>
  <c r="AS249" i="21"/>
  <c r="BD23" i="21"/>
  <c r="AS23" i="21"/>
  <c r="BD305" i="21"/>
  <c r="AS305" i="21"/>
  <c r="AS197" i="21"/>
  <c r="BD197" i="21"/>
  <c r="BD51" i="21"/>
  <c r="AS51" i="21"/>
  <c r="BC62" i="21"/>
  <c r="AU319" i="21"/>
  <c r="AS107" i="21"/>
  <c r="BD107" i="21"/>
  <c r="AS281" i="21"/>
  <c r="BD281" i="21"/>
  <c r="AS48" i="21"/>
  <c r="BD48" i="21"/>
  <c r="AS71" i="21"/>
  <c r="BD71" i="21"/>
  <c r="BD189" i="21"/>
  <c r="AS189" i="21"/>
  <c r="BA231" i="21"/>
  <c r="BC93" i="21"/>
  <c r="AU333" i="21"/>
  <c r="AS167" i="21"/>
  <c r="BD167" i="21"/>
  <c r="BD225" i="21"/>
  <c r="AS225" i="21"/>
  <c r="BD37" i="21"/>
  <c r="AS37" i="21"/>
  <c r="BD307" i="21"/>
  <c r="AS307" i="21"/>
  <c r="AS147" i="21"/>
  <c r="BD147" i="21"/>
  <c r="BD286" i="21"/>
  <c r="AS286" i="21"/>
  <c r="BD57" i="21"/>
  <c r="AS57" i="21"/>
  <c r="AS297" i="21"/>
  <c r="BD297" i="21"/>
  <c r="AS111" i="21"/>
  <c r="BD111" i="21"/>
  <c r="BD269" i="21"/>
  <c r="AS269" i="21"/>
  <c r="BD274" i="21"/>
  <c r="AS274" i="21"/>
  <c r="BC258" i="21"/>
  <c r="AU327" i="21"/>
  <c r="BD175" i="21"/>
  <c r="AS175" i="21"/>
  <c r="BD223" i="21"/>
  <c r="AS223" i="21"/>
  <c r="BD145" i="21"/>
  <c r="BL145" i="21" s="1"/>
  <c r="BI145" i="21" s="1"/>
  <c r="AS145" i="21"/>
  <c r="BD165" i="21"/>
  <c r="AS165" i="21"/>
  <c r="BD294" i="21"/>
  <c r="AS294" i="21"/>
  <c r="BA229" i="21"/>
  <c r="AS187" i="21"/>
  <c r="BD187" i="21"/>
  <c r="BD38" i="21"/>
  <c r="AS38" i="21"/>
  <c r="BD236" i="21"/>
  <c r="AS236" i="21"/>
  <c r="BD237" i="21"/>
  <c r="AS237" i="21"/>
  <c r="BD259" i="21"/>
  <c r="AS259" i="21"/>
  <c r="BD287" i="21"/>
  <c r="AS287" i="21"/>
  <c r="BD82" i="21"/>
  <c r="BL82" i="21" s="1"/>
  <c r="BI82" i="21" s="1"/>
  <c r="AS82" i="21"/>
  <c r="BB32" i="21"/>
  <c r="AT326" i="21"/>
  <c r="AS32" i="21"/>
  <c r="AS252" i="21"/>
  <c r="BD252" i="21"/>
  <c r="BD163" i="21"/>
  <c r="AS163" i="21"/>
  <c r="AS304" i="21"/>
  <c r="BD304" i="21"/>
  <c r="BD17" i="21"/>
  <c r="AS17" i="21"/>
  <c r="BD77" i="21"/>
  <c r="AS77" i="21"/>
  <c r="BD87" i="21"/>
  <c r="AS87" i="21"/>
  <c r="BD22" i="21"/>
  <c r="BL22" i="21" s="1"/>
  <c r="AS22" i="21"/>
  <c r="BB217" i="21"/>
  <c r="AS217" i="21"/>
  <c r="BD98" i="21"/>
  <c r="AS98" i="21"/>
  <c r="AS171" i="21"/>
  <c r="BD171" i="21"/>
  <c r="AS308" i="21"/>
  <c r="BD308" i="21"/>
  <c r="BD26" i="21"/>
  <c r="AS26" i="21"/>
  <c r="BD228" i="21"/>
  <c r="AS228" i="21"/>
  <c r="BD59" i="21"/>
  <c r="AS59" i="21"/>
  <c r="AS159" i="21"/>
  <c r="BD159" i="21"/>
  <c r="AS201" i="21"/>
  <c r="BD201" i="21"/>
  <c r="BD141" i="21"/>
  <c r="AS141" i="21"/>
  <c r="BD292" i="21"/>
  <c r="AS292" i="21"/>
  <c r="BD268" i="21"/>
  <c r="AS268" i="21"/>
  <c r="BD49" i="21"/>
  <c r="AS49" i="21"/>
  <c r="AS257" i="21"/>
  <c r="BD257" i="21"/>
  <c r="AS298" i="21"/>
  <c r="BD298" i="21"/>
  <c r="BD242" i="21"/>
  <c r="AS242" i="21"/>
  <c r="BB321" i="21"/>
  <c r="BA303" i="21"/>
  <c r="BB330" i="21"/>
  <c r="AS129" i="21"/>
  <c r="BD129" i="21"/>
  <c r="BD218" i="21"/>
  <c r="AS218" i="21"/>
  <c r="BD60" i="21"/>
  <c r="AS60" i="21"/>
  <c r="AK190" i="21"/>
  <c r="AV190" i="21"/>
  <c r="BB295" i="21"/>
  <c r="AS295" i="21"/>
  <c r="BA99" i="21"/>
  <c r="BD234" i="21"/>
  <c r="AS234" i="21"/>
  <c r="BA47" i="21"/>
  <c r="AV332" i="21"/>
  <c r="AS332" i="21" s="1"/>
  <c r="AS205" i="21"/>
  <c r="BD205" i="21"/>
  <c r="BD251" i="21"/>
  <c r="AS251" i="21"/>
  <c r="BD285" i="21"/>
  <c r="BL285" i="21" s="1"/>
  <c r="BI285" i="21" s="1"/>
  <c r="AS285" i="21"/>
  <c r="AS293" i="21"/>
  <c r="BD293" i="21"/>
  <c r="BD93" i="21"/>
  <c r="AS93" i="21"/>
  <c r="AS248" i="21"/>
  <c r="BD248" i="21"/>
  <c r="BD211" i="21"/>
  <c r="AS211" i="21"/>
  <c r="BD255" i="21"/>
  <c r="AS255" i="21"/>
  <c r="AS92" i="21"/>
  <c r="BD92" i="21"/>
  <c r="AS133" i="21"/>
  <c r="BD133" i="21"/>
  <c r="BD245" i="21"/>
  <c r="AS245" i="21"/>
  <c r="BD68" i="21"/>
  <c r="AS68" i="21"/>
  <c r="BD183" i="21"/>
  <c r="AS183" i="21"/>
  <c r="BA233" i="21"/>
  <c r="BD328" i="21"/>
  <c r="BA328" i="21" s="1"/>
  <c r="AK55" i="21"/>
  <c r="AV55" i="21"/>
  <c r="AV317" i="21" s="1"/>
  <c r="AS317" i="21" s="1"/>
  <c r="AS256" i="21"/>
  <c r="BD256" i="21"/>
  <c r="BD85" i="21"/>
  <c r="AS85" i="21"/>
  <c r="BD44" i="21"/>
  <c r="AS44" i="21"/>
  <c r="AS324" i="21"/>
  <c r="BD119" i="21"/>
  <c r="BL119" i="21" s="1"/>
  <c r="BI119" i="21" s="1"/>
  <c r="AS119" i="21"/>
  <c r="AN333" i="21"/>
  <c r="AK333" i="21" s="1"/>
  <c r="AV56" i="21"/>
  <c r="AN320" i="21"/>
  <c r="AK320" i="21" s="1"/>
  <c r="BD296" i="21"/>
  <c r="AS296" i="21"/>
  <c r="BD207" i="21"/>
  <c r="AS207" i="21"/>
  <c r="AS219" i="21"/>
  <c r="BD219" i="21"/>
  <c r="AS267" i="21"/>
  <c r="BD267" i="21"/>
  <c r="BD137" i="21"/>
  <c r="AS137" i="21"/>
  <c r="AS122" i="21"/>
  <c r="BD122" i="21"/>
  <c r="BD203" i="21"/>
  <c r="AS203" i="21"/>
  <c r="BD185" i="21"/>
  <c r="AS185" i="21"/>
  <c r="AS89" i="21"/>
  <c r="BD89" i="21"/>
  <c r="AS135" i="21"/>
  <c r="BD135" i="21"/>
  <c r="BD306" i="21"/>
  <c r="AS306" i="21"/>
  <c r="BD115" i="21"/>
  <c r="AS115" i="21"/>
  <c r="AS90" i="21"/>
  <c r="BD90" i="21"/>
  <c r="BD113" i="21"/>
  <c r="AS113" i="21"/>
  <c r="BA270" i="21"/>
  <c r="BD126" i="21"/>
  <c r="AS126" i="21"/>
  <c r="BD139" i="21"/>
  <c r="AS139" i="21"/>
  <c r="AV327" i="21"/>
  <c r="AS327" i="21" s="1"/>
  <c r="BD69" i="21"/>
  <c r="AS69" i="21"/>
  <c r="BD91" i="21"/>
  <c r="AS91" i="21"/>
  <c r="AT322" i="21"/>
  <c r="BD243" i="21"/>
  <c r="AS243" i="21"/>
  <c r="AS191" i="21"/>
  <c r="BD191" i="21"/>
  <c r="AS151" i="21"/>
  <c r="BD151" i="21"/>
  <c r="BD95" i="21"/>
  <c r="AS95" i="21"/>
  <c r="AS226" i="21"/>
  <c r="BD226" i="21"/>
  <c r="AV322" i="21"/>
  <c r="BD309" i="21"/>
  <c r="AS309" i="21"/>
  <c r="AV318" i="21"/>
  <c r="AS318" i="21" s="1"/>
  <c r="BA27" i="21"/>
  <c r="BD222" i="21"/>
  <c r="AS222" i="21"/>
  <c r="BA50" i="21"/>
  <c r="AS247" i="21"/>
  <c r="BD247" i="21"/>
  <c r="BD195" i="21"/>
  <c r="AS195" i="21"/>
  <c r="AS109" i="21"/>
  <c r="BD109" i="21"/>
  <c r="BD21" i="21"/>
  <c r="AS21" i="21"/>
  <c r="BD131" i="21"/>
  <c r="AS131" i="21"/>
  <c r="BD291" i="21"/>
  <c r="AS291" i="21"/>
  <c r="BA271" i="21"/>
  <c r="BB332" i="21"/>
  <c r="BA52" i="21"/>
  <c r="AU317" i="21"/>
  <c r="AS288" i="21"/>
  <c r="BD288" i="21"/>
  <c r="AK321" i="21"/>
  <c r="AS279" i="21"/>
  <c r="BB279" i="21"/>
  <c r="AS289" i="21"/>
  <c r="BD289" i="21"/>
  <c r="BD290" i="21"/>
  <c r="AS290" i="21"/>
  <c r="AS261" i="21"/>
  <c r="BD261" i="21"/>
  <c r="BD254" i="21"/>
  <c r="BL254" i="21" s="1"/>
  <c r="BI254" i="21" s="1"/>
  <c r="AS254" i="21"/>
  <c r="BD263" i="21"/>
  <c r="BL263" i="21" s="1"/>
  <c r="BI263" i="21" s="1"/>
  <c r="AS263" i="21"/>
  <c r="BD260" i="21"/>
  <c r="AS260" i="21"/>
  <c r="AC320" i="21"/>
  <c r="AK170" i="21"/>
  <c r="AT170" i="21"/>
  <c r="AS177" i="21"/>
  <c r="BD177" i="21"/>
  <c r="AS155" i="21"/>
  <c r="BD155" i="21"/>
  <c r="BB146" i="21"/>
  <c r="AS146" i="21"/>
  <c r="AS153" i="21"/>
  <c r="BD153" i="21"/>
  <c r="BB108" i="21"/>
  <c r="AS108" i="21"/>
  <c r="BD117" i="21"/>
  <c r="AS117" i="21"/>
  <c r="BD104" i="21"/>
  <c r="BL104" i="21" s="1"/>
  <c r="BI104" i="21" s="1"/>
  <c r="AS104" i="21"/>
  <c r="BD102" i="21"/>
  <c r="AS102" i="21"/>
  <c r="AS65" i="21"/>
  <c r="BD65" i="21"/>
  <c r="BD66" i="21"/>
  <c r="AS66" i="21"/>
  <c r="AS67" i="21"/>
  <c r="BD67" i="21"/>
  <c r="AC317" i="21"/>
  <c r="BD78" i="21"/>
  <c r="AS78" i="21"/>
  <c r="AS80" i="21"/>
  <c r="BD80" i="21"/>
  <c r="BL80" i="21" s="1"/>
  <c r="BI80" i="21" s="1"/>
  <c r="AV331" i="21"/>
  <c r="AS331" i="21" s="1"/>
  <c r="AK330" i="21"/>
  <c r="AS79" i="21"/>
  <c r="BD79" i="21"/>
  <c r="BL79" i="21" s="1"/>
  <c r="BI79" i="21" s="1"/>
  <c r="AV330" i="21"/>
  <c r="AS330" i="21" s="1"/>
  <c r="AV320" i="21"/>
  <c r="AT325" i="21"/>
  <c r="AS325" i="21" s="1"/>
  <c r="AT320" i="21"/>
  <c r="AS99" i="21"/>
  <c r="AK329" i="21"/>
  <c r="AK325" i="21"/>
  <c r="AK322" i="21"/>
  <c r="AM326" i="21"/>
  <c r="AM322" i="21"/>
  <c r="AC94" i="21"/>
  <c r="AL94" i="21"/>
  <c r="AK56" i="21"/>
  <c r="AC70" i="21"/>
  <c r="AL70" i="21"/>
  <c r="AC19" i="21"/>
  <c r="AN19" i="21"/>
  <c r="AN317" i="21"/>
  <c r="AK317" i="21" s="1"/>
  <c r="AK309" i="21"/>
  <c r="AN313" i="21"/>
  <c r="AN315" i="21" s="1"/>
  <c r="AK327" i="21"/>
  <c r="AC58" i="21"/>
  <c r="AL58" i="21"/>
  <c r="AC108" i="21"/>
  <c r="AK108" i="21"/>
  <c r="AK295" i="21"/>
  <c r="AF313" i="21"/>
  <c r="AF315" i="21" s="1"/>
  <c r="AD313" i="21"/>
  <c r="AD315" i="21" s="1"/>
  <c r="U313" i="21"/>
  <c r="U315" i="21" s="1"/>
  <c r="BA261" i="21" l="1"/>
  <c r="BL261" i="21"/>
  <c r="BI261" i="21" s="1"/>
  <c r="BA67" i="21"/>
  <c r="BL67" i="21"/>
  <c r="BI67" i="21" s="1"/>
  <c r="BA288" i="21"/>
  <c r="BL288" i="21"/>
  <c r="BI288" i="21" s="1"/>
  <c r="BA247" i="21"/>
  <c r="BL247" i="21"/>
  <c r="BI247" i="21" s="1"/>
  <c r="BA135" i="21"/>
  <c r="BL135" i="21"/>
  <c r="BI135" i="21" s="1"/>
  <c r="BA146" i="21"/>
  <c r="BJ146" i="21"/>
  <c r="BI146" i="21" s="1"/>
  <c r="BA131" i="21"/>
  <c r="BL131" i="21"/>
  <c r="BI131" i="21" s="1"/>
  <c r="BA309" i="21"/>
  <c r="BL309" i="21"/>
  <c r="BI309" i="21" s="1"/>
  <c r="BA69" i="21"/>
  <c r="BL69" i="21"/>
  <c r="BI69" i="21" s="1"/>
  <c r="BA113" i="21"/>
  <c r="BL113" i="21"/>
  <c r="BI113" i="21" s="1"/>
  <c r="BA245" i="21"/>
  <c r="BL245" i="21"/>
  <c r="BA234" i="21"/>
  <c r="BL234" i="21"/>
  <c r="BI234" i="21" s="1"/>
  <c r="BA242" i="21"/>
  <c r="BL242" i="21"/>
  <c r="BI242" i="21" s="1"/>
  <c r="BA268" i="21"/>
  <c r="BL268" i="21"/>
  <c r="BI268" i="21" s="1"/>
  <c r="BI22" i="21"/>
  <c r="BA294" i="21"/>
  <c r="BL294" i="21"/>
  <c r="BI294" i="21" s="1"/>
  <c r="BA175" i="21"/>
  <c r="BL175" i="21"/>
  <c r="BI175" i="21" s="1"/>
  <c r="BA48" i="21"/>
  <c r="BL48" i="21"/>
  <c r="BI48" i="21" s="1"/>
  <c r="BA90" i="21"/>
  <c r="BL90" i="21"/>
  <c r="BI90" i="21" s="1"/>
  <c r="BA89" i="21"/>
  <c r="BL89" i="21"/>
  <c r="BI89" i="21" s="1"/>
  <c r="BA133" i="21"/>
  <c r="BL133" i="21"/>
  <c r="BA248" i="21"/>
  <c r="BL248" i="21"/>
  <c r="BI248" i="21" s="1"/>
  <c r="BA218" i="21"/>
  <c r="BL218" i="21"/>
  <c r="BI218" i="21" s="1"/>
  <c r="BA298" i="21"/>
  <c r="BL298" i="21"/>
  <c r="BI298" i="21" s="1"/>
  <c r="BA171" i="21"/>
  <c r="BL171" i="21"/>
  <c r="BI171" i="21" s="1"/>
  <c r="BA236" i="21"/>
  <c r="BL236" i="21"/>
  <c r="BI236" i="21" s="1"/>
  <c r="BA297" i="21"/>
  <c r="BL297" i="21"/>
  <c r="BI297" i="21" s="1"/>
  <c r="BA51" i="21"/>
  <c r="BL51" i="21"/>
  <c r="BA249" i="21"/>
  <c r="BL249" i="21"/>
  <c r="BI249" i="21" s="1"/>
  <c r="BA224" i="21"/>
  <c r="BL224" i="21"/>
  <c r="BI224" i="21" s="1"/>
  <c r="BA40" i="21"/>
  <c r="BL40" i="21"/>
  <c r="BI40" i="21" s="1"/>
  <c r="BA275" i="21"/>
  <c r="BL275" i="21"/>
  <c r="BI275" i="21" s="1"/>
  <c r="BJ319" i="21"/>
  <c r="BI28" i="21"/>
  <c r="BJ329" i="21"/>
  <c r="BA155" i="21"/>
  <c r="BL155" i="21"/>
  <c r="BI155" i="21" s="1"/>
  <c r="BA66" i="21"/>
  <c r="BL66" i="21"/>
  <c r="BI66" i="21" s="1"/>
  <c r="BA117" i="21"/>
  <c r="BL117" i="21"/>
  <c r="BI117" i="21" s="1"/>
  <c r="BA289" i="21"/>
  <c r="BL289" i="21"/>
  <c r="BI289" i="21" s="1"/>
  <c r="BA21" i="21"/>
  <c r="BL21" i="21"/>
  <c r="BI21" i="21" s="1"/>
  <c r="BA226" i="21"/>
  <c r="BL226" i="21"/>
  <c r="BI226" i="21" s="1"/>
  <c r="BA137" i="21"/>
  <c r="BL137" i="21"/>
  <c r="BI137" i="21" s="1"/>
  <c r="BA296" i="21"/>
  <c r="BL296" i="21"/>
  <c r="BI296" i="21" s="1"/>
  <c r="BA44" i="21"/>
  <c r="BL44" i="21"/>
  <c r="BI44" i="21" s="1"/>
  <c r="BA251" i="21"/>
  <c r="BL251" i="21"/>
  <c r="BI251" i="21" s="1"/>
  <c r="BA129" i="21"/>
  <c r="BL129" i="21"/>
  <c r="BI129" i="21" s="1"/>
  <c r="BA292" i="21"/>
  <c r="BL292" i="21"/>
  <c r="BI292" i="21" s="1"/>
  <c r="BA59" i="21"/>
  <c r="BL59" i="21"/>
  <c r="BI59" i="21" s="1"/>
  <c r="BA87" i="21"/>
  <c r="BL87" i="21"/>
  <c r="BI87" i="21" s="1"/>
  <c r="BA163" i="21"/>
  <c r="BL163" i="21"/>
  <c r="BI163" i="21" s="1"/>
  <c r="BA165" i="21"/>
  <c r="BL165" i="21"/>
  <c r="BI165" i="21" s="1"/>
  <c r="BC327" i="21"/>
  <c r="BK258" i="21"/>
  <c r="BA307" i="21"/>
  <c r="BL307" i="21"/>
  <c r="BI307" i="21" s="1"/>
  <c r="BK93" i="21"/>
  <c r="BC333" i="21"/>
  <c r="BA281" i="21"/>
  <c r="BL281" i="21"/>
  <c r="BI281" i="21" s="1"/>
  <c r="BA20" i="21"/>
  <c r="BL20" i="21"/>
  <c r="BI20" i="21" s="1"/>
  <c r="BA235" i="21"/>
  <c r="BL235" i="21"/>
  <c r="BI235" i="21" s="1"/>
  <c r="BA72" i="21"/>
  <c r="BL72" i="21"/>
  <c r="BI72" i="21" s="1"/>
  <c r="BK326" i="21"/>
  <c r="BI138" i="21"/>
  <c r="BJ325" i="21"/>
  <c r="BA290" i="21"/>
  <c r="BL290" i="21"/>
  <c r="BI290" i="21" s="1"/>
  <c r="BA92" i="21"/>
  <c r="BL92" i="21"/>
  <c r="BI92" i="21" s="1"/>
  <c r="BA295" i="21"/>
  <c r="BJ295" i="21"/>
  <c r="BI295" i="21" s="1"/>
  <c r="BA257" i="21"/>
  <c r="BL257" i="21"/>
  <c r="BI257" i="21" s="1"/>
  <c r="BA252" i="21"/>
  <c r="BL252" i="21"/>
  <c r="BI252" i="21" s="1"/>
  <c r="BA287" i="21"/>
  <c r="BL287" i="21"/>
  <c r="BI287" i="21" s="1"/>
  <c r="BA38" i="21"/>
  <c r="BL38" i="21"/>
  <c r="BI38" i="21" s="1"/>
  <c r="BA273" i="21"/>
  <c r="BL273" i="21"/>
  <c r="BI273" i="21" s="1"/>
  <c r="BA45" i="21"/>
  <c r="BL45" i="21"/>
  <c r="BI45" i="21" s="1"/>
  <c r="BC317" i="21"/>
  <c r="BA65" i="21"/>
  <c r="BL65" i="21"/>
  <c r="BI65" i="21" s="1"/>
  <c r="BA177" i="21"/>
  <c r="BL177" i="21"/>
  <c r="BI177" i="21" s="1"/>
  <c r="BA109" i="21"/>
  <c r="BL109" i="21"/>
  <c r="BI109" i="21" s="1"/>
  <c r="BA243" i="21"/>
  <c r="BL243" i="21"/>
  <c r="BI243" i="21" s="1"/>
  <c r="BA139" i="21"/>
  <c r="BL139" i="21"/>
  <c r="BI139" i="21" s="1"/>
  <c r="BA267" i="21"/>
  <c r="BL267" i="21"/>
  <c r="BI267" i="21" s="1"/>
  <c r="BA108" i="21"/>
  <c r="BJ108" i="21"/>
  <c r="BI108" i="21" s="1"/>
  <c r="BA279" i="21"/>
  <c r="BJ279" i="21"/>
  <c r="BI279" i="21" s="1"/>
  <c r="BA222" i="21"/>
  <c r="BL222" i="21"/>
  <c r="BI222" i="21" s="1"/>
  <c r="BA115" i="21"/>
  <c r="BL115" i="21"/>
  <c r="BI115" i="21" s="1"/>
  <c r="BA85" i="21"/>
  <c r="BL85" i="21"/>
  <c r="BI85" i="21" s="1"/>
  <c r="BA93" i="21"/>
  <c r="BL93" i="21"/>
  <c r="BI93" i="21" s="1"/>
  <c r="BA141" i="21"/>
  <c r="BL141" i="21"/>
  <c r="BI141" i="21" s="1"/>
  <c r="BA228" i="21"/>
  <c r="BL228" i="21"/>
  <c r="BI228" i="21" s="1"/>
  <c r="BA98" i="21"/>
  <c r="BL98" i="21"/>
  <c r="BI98" i="21" s="1"/>
  <c r="BA77" i="21"/>
  <c r="BL77" i="21"/>
  <c r="BI77" i="21" s="1"/>
  <c r="BA274" i="21"/>
  <c r="BL274" i="21"/>
  <c r="BI274" i="21" s="1"/>
  <c r="BA57" i="21"/>
  <c r="BL57" i="21"/>
  <c r="BI57" i="21" s="1"/>
  <c r="BA37" i="21"/>
  <c r="BL37" i="21"/>
  <c r="BI37" i="21" s="1"/>
  <c r="BA107" i="21"/>
  <c r="BL107" i="21"/>
  <c r="BI107" i="21" s="1"/>
  <c r="BA53" i="21"/>
  <c r="BL53" i="21"/>
  <c r="BI53" i="21" s="1"/>
  <c r="BA84" i="21"/>
  <c r="BL84" i="21"/>
  <c r="BI84" i="21" s="1"/>
  <c r="BA64" i="21"/>
  <c r="BL64" i="21"/>
  <c r="BI64" i="21" s="1"/>
  <c r="BC320" i="21"/>
  <c r="BK40" i="21"/>
  <c r="BA157" i="21"/>
  <c r="BL157" i="21"/>
  <c r="BI157" i="21" s="1"/>
  <c r="BI270" i="21"/>
  <c r="BI327" i="21" s="1"/>
  <c r="BA78" i="21"/>
  <c r="BL78" i="21"/>
  <c r="BI78" i="21" s="1"/>
  <c r="BA153" i="21"/>
  <c r="BL153" i="21"/>
  <c r="BI153" i="21" s="1"/>
  <c r="BA95" i="21"/>
  <c r="BL95" i="21"/>
  <c r="BI95" i="21" s="1"/>
  <c r="BA126" i="21"/>
  <c r="BL126" i="21"/>
  <c r="BI126" i="21" s="1"/>
  <c r="BA219" i="21"/>
  <c r="BL219" i="21"/>
  <c r="BI219" i="21" s="1"/>
  <c r="BA256" i="21"/>
  <c r="BL256" i="21"/>
  <c r="BI256" i="21" s="1"/>
  <c r="BA293" i="21"/>
  <c r="BL293" i="21"/>
  <c r="BI293" i="21" s="1"/>
  <c r="BA259" i="21"/>
  <c r="BL259" i="21"/>
  <c r="BA305" i="21"/>
  <c r="BL305" i="21"/>
  <c r="BI305" i="21" s="1"/>
  <c r="BA30" i="21"/>
  <c r="BL30" i="21"/>
  <c r="BI30" i="21" s="1"/>
  <c r="BA250" i="21"/>
  <c r="BL250" i="21"/>
  <c r="BI250" i="21" s="1"/>
  <c r="BA244" i="21"/>
  <c r="BL244" i="21"/>
  <c r="BI244" i="21" s="1"/>
  <c r="BA102" i="21"/>
  <c r="BL102" i="21"/>
  <c r="BI102" i="21" s="1"/>
  <c r="BA151" i="21"/>
  <c r="BL151" i="21"/>
  <c r="BI151" i="21" s="1"/>
  <c r="BA91" i="21"/>
  <c r="BL91" i="21"/>
  <c r="BI91" i="21" s="1"/>
  <c r="BA306" i="21"/>
  <c r="BL306" i="21"/>
  <c r="BI306" i="21" s="1"/>
  <c r="BA68" i="21"/>
  <c r="BL68" i="21"/>
  <c r="BI68" i="21" s="1"/>
  <c r="BA255" i="21"/>
  <c r="BL255" i="21"/>
  <c r="BI255" i="21" s="1"/>
  <c r="BA49" i="21"/>
  <c r="BL49" i="21"/>
  <c r="BI49" i="21" s="1"/>
  <c r="BA26" i="21"/>
  <c r="BL26" i="21"/>
  <c r="BI26" i="21" s="1"/>
  <c r="BA217" i="21"/>
  <c r="BJ217" i="21"/>
  <c r="BI217" i="21" s="1"/>
  <c r="BA17" i="21"/>
  <c r="BL17" i="21"/>
  <c r="BI17" i="21" s="1"/>
  <c r="BA223" i="21"/>
  <c r="BL223" i="21"/>
  <c r="BI223" i="21" s="1"/>
  <c r="BA269" i="21"/>
  <c r="BL269" i="21"/>
  <c r="BI269" i="21" s="1"/>
  <c r="BA286" i="21"/>
  <c r="BL286" i="21"/>
  <c r="BI286" i="21" s="1"/>
  <c r="BA225" i="21"/>
  <c r="BL225" i="21"/>
  <c r="BI225" i="21" s="1"/>
  <c r="BA71" i="21"/>
  <c r="BL71" i="21"/>
  <c r="BI71" i="21" s="1"/>
  <c r="BA239" i="21"/>
  <c r="BL239" i="21"/>
  <c r="BI239" i="21" s="1"/>
  <c r="BA266" i="21"/>
  <c r="BL266" i="21"/>
  <c r="BI266" i="21" s="1"/>
  <c r="BI299" i="21"/>
  <c r="BL329" i="21"/>
  <c r="BL324" i="21"/>
  <c r="BI324" i="21" s="1"/>
  <c r="BA260" i="21"/>
  <c r="BL260" i="21"/>
  <c r="BI260" i="21" s="1"/>
  <c r="BA291" i="21"/>
  <c r="BL291" i="21"/>
  <c r="BI291" i="21" s="1"/>
  <c r="BA122" i="21"/>
  <c r="BL122" i="21"/>
  <c r="BI122" i="21" s="1"/>
  <c r="BA60" i="21"/>
  <c r="BL60" i="21"/>
  <c r="BI60" i="21" s="1"/>
  <c r="BA159" i="21"/>
  <c r="BL159" i="21"/>
  <c r="BI159" i="21" s="1"/>
  <c r="BA308" i="21"/>
  <c r="BL308" i="21"/>
  <c r="BI308" i="21" s="1"/>
  <c r="BA304" i="21"/>
  <c r="BL304" i="21"/>
  <c r="BI304" i="21" s="1"/>
  <c r="BB322" i="21"/>
  <c r="BJ32" i="21"/>
  <c r="BA237" i="21"/>
  <c r="BL237" i="21"/>
  <c r="BI237" i="21" s="1"/>
  <c r="BA111" i="21"/>
  <c r="BL111" i="21"/>
  <c r="BI111" i="21" s="1"/>
  <c r="BA147" i="21"/>
  <c r="BL147" i="21"/>
  <c r="BI147" i="21" s="1"/>
  <c r="BA167" i="21"/>
  <c r="BL167" i="21"/>
  <c r="BI167" i="21" s="1"/>
  <c r="BC319" i="21"/>
  <c r="BK62" i="21"/>
  <c r="BA23" i="21"/>
  <c r="BL23" i="21"/>
  <c r="BI23" i="21" s="1"/>
  <c r="BA74" i="21"/>
  <c r="BL74" i="21"/>
  <c r="BI74" i="21" s="1"/>
  <c r="BA86" i="21"/>
  <c r="BL86" i="21"/>
  <c r="BI86" i="21" s="1"/>
  <c r="BI62" i="21"/>
  <c r="BA54" i="21"/>
  <c r="BL54" i="21"/>
  <c r="BI54" i="21" s="1"/>
  <c r="BA201" i="21"/>
  <c r="BL201" i="21"/>
  <c r="BA195" i="21"/>
  <c r="BL195" i="21"/>
  <c r="BI195" i="21" s="1"/>
  <c r="BA203" i="21"/>
  <c r="BL203" i="21"/>
  <c r="BI203" i="21" s="1"/>
  <c r="BA189" i="21"/>
  <c r="BL189" i="21"/>
  <c r="BA213" i="21"/>
  <c r="BL213" i="21"/>
  <c r="BI213" i="21" s="1"/>
  <c r="BA191" i="21"/>
  <c r="BL191" i="21"/>
  <c r="BI191" i="21" s="1"/>
  <c r="BA207" i="21"/>
  <c r="BL207" i="21"/>
  <c r="BI207" i="21" s="1"/>
  <c r="BA211" i="21"/>
  <c r="BL211" i="21"/>
  <c r="BI211" i="21" s="1"/>
  <c r="BJ333" i="21"/>
  <c r="BJ320" i="21"/>
  <c r="BI181" i="21"/>
  <c r="BA215" i="21"/>
  <c r="BL215" i="21"/>
  <c r="BI215" i="21" s="1"/>
  <c r="BA197" i="21"/>
  <c r="BL197" i="21"/>
  <c r="BI197" i="21" s="1"/>
  <c r="BA205" i="21"/>
  <c r="BL205" i="21"/>
  <c r="BI205" i="21" s="1"/>
  <c r="BI193" i="21"/>
  <c r="BI199" i="21"/>
  <c r="BA185" i="21"/>
  <c r="BL185" i="21"/>
  <c r="BA183" i="21"/>
  <c r="BL183" i="21"/>
  <c r="BA187" i="21"/>
  <c r="BL187" i="21"/>
  <c r="BA119" i="21"/>
  <c r="BD317" i="21"/>
  <c r="BA145" i="21"/>
  <c r="AS326" i="21"/>
  <c r="AS322" i="21"/>
  <c r="AL313" i="21"/>
  <c r="AK313" i="21" s="1"/>
  <c r="AK315" i="21" s="1"/>
  <c r="BD324" i="21"/>
  <c r="BA324" i="21" s="1"/>
  <c r="BC325" i="21"/>
  <c r="BA104" i="21"/>
  <c r="BD331" i="21"/>
  <c r="BA331" i="21" s="1"/>
  <c r="BA327" i="21"/>
  <c r="BD321" i="21"/>
  <c r="BA321" i="21" s="1"/>
  <c r="BD327" i="21"/>
  <c r="BA82" i="21"/>
  <c r="BD325" i="21"/>
  <c r="AS190" i="21"/>
  <c r="BD190" i="21"/>
  <c r="BA285" i="21"/>
  <c r="BD329" i="21"/>
  <c r="BA329" i="21" s="1"/>
  <c r="BD326" i="21"/>
  <c r="BC326" i="21"/>
  <c r="BC322" i="21"/>
  <c r="BB319" i="21"/>
  <c r="BB325" i="21"/>
  <c r="BA28" i="21"/>
  <c r="BA62" i="21"/>
  <c r="BD319" i="21"/>
  <c r="BD55" i="21"/>
  <c r="AS55" i="21"/>
  <c r="BB227" i="21"/>
  <c r="AS227" i="21"/>
  <c r="AV333" i="21"/>
  <c r="AS333" i="21" s="1"/>
  <c r="BD322" i="21"/>
  <c r="BA322" i="21" s="1"/>
  <c r="BB326" i="21"/>
  <c r="BA32" i="21"/>
  <c r="BD158" i="21"/>
  <c r="AS158" i="21"/>
  <c r="BC329" i="21"/>
  <c r="BB335" i="21"/>
  <c r="AS335" i="21"/>
  <c r="BD56" i="21"/>
  <c r="AS56" i="21"/>
  <c r="BA22" i="21"/>
  <c r="BD318" i="21"/>
  <c r="BA318" i="21" s="1"/>
  <c r="AS319" i="21"/>
  <c r="BD332" i="21"/>
  <c r="BA332" i="21" s="1"/>
  <c r="AK19" i="21"/>
  <c r="AV19" i="21"/>
  <c r="AS241" i="21"/>
  <c r="BD241" i="21"/>
  <c r="BA263" i="21"/>
  <c r="BA254" i="21"/>
  <c r="BB170" i="21"/>
  <c r="AS170" i="21"/>
  <c r="AS320" i="21"/>
  <c r="AK58" i="21"/>
  <c r="AT58" i="21"/>
  <c r="BA80" i="21"/>
  <c r="BA79" i="21"/>
  <c r="BD330" i="21"/>
  <c r="BA330" i="21" s="1"/>
  <c r="AK70" i="21"/>
  <c r="AT70" i="21"/>
  <c r="AK94" i="21"/>
  <c r="AT94" i="21"/>
  <c r="BB94" i="21" s="1"/>
  <c r="AC313" i="21"/>
  <c r="AC315" i="21" s="1"/>
  <c r="AL315" i="21" l="1"/>
  <c r="BA335" i="21"/>
  <c r="BJ335" i="21"/>
  <c r="BI335" i="21" s="1"/>
  <c r="BL330" i="21"/>
  <c r="BI330" i="21" s="1"/>
  <c r="BA56" i="21"/>
  <c r="BL56" i="21"/>
  <c r="BI56" i="21" s="1"/>
  <c r="BA94" i="21"/>
  <c r="BJ94" i="21"/>
  <c r="BI94" i="21" s="1"/>
  <c r="BL318" i="21"/>
  <c r="BI318" i="21" s="1"/>
  <c r="BI245" i="21"/>
  <c r="BL326" i="21"/>
  <c r="BA227" i="21"/>
  <c r="BJ227" i="21"/>
  <c r="BI227" i="21" s="1"/>
  <c r="BL319" i="21"/>
  <c r="BI319" i="21" s="1"/>
  <c r="BK319" i="21"/>
  <c r="BK325" i="21"/>
  <c r="BI259" i="21"/>
  <c r="BA241" i="21"/>
  <c r="BL241" i="21"/>
  <c r="BI241" i="21" s="1"/>
  <c r="BA158" i="21"/>
  <c r="BL158" i="21"/>
  <c r="BI158" i="21" s="1"/>
  <c r="BA55" i="21"/>
  <c r="BL55" i="21"/>
  <c r="BI55" i="21" s="1"/>
  <c r="BI329" i="21"/>
  <c r="BJ326" i="21"/>
  <c r="BI32" i="21"/>
  <c r="BI133" i="21"/>
  <c r="BL321" i="21"/>
  <c r="BI321" i="21" s="1"/>
  <c r="BK320" i="21"/>
  <c r="BK329" i="21"/>
  <c r="BK333" i="21"/>
  <c r="BK317" i="21"/>
  <c r="BI51" i="21"/>
  <c r="BL332" i="21"/>
  <c r="BI332" i="21" s="1"/>
  <c r="BI185" i="21"/>
  <c r="BI189" i="21"/>
  <c r="BA190" i="21"/>
  <c r="BL190" i="21"/>
  <c r="BI187" i="21"/>
  <c r="BI320" i="21" s="1"/>
  <c r="BL320" i="21"/>
  <c r="BL325" i="21"/>
  <c r="BI325" i="21" s="1"/>
  <c r="BA170" i="21"/>
  <c r="BJ170" i="21"/>
  <c r="BI183" i="21"/>
  <c r="BL317" i="21"/>
  <c r="BI317" i="21" s="1"/>
  <c r="BI201" i="21"/>
  <c r="BL331" i="21"/>
  <c r="BI331" i="21" s="1"/>
  <c r="BD333" i="21"/>
  <c r="BA333" i="21" s="1"/>
  <c r="BA317" i="21"/>
  <c r="BD320" i="21"/>
  <c r="BA320" i="21"/>
  <c r="BA325" i="21"/>
  <c r="AS19" i="21"/>
  <c r="BD19" i="21"/>
  <c r="BL19" i="21" s="1"/>
  <c r="BI19" i="21" s="1"/>
  <c r="BA326" i="21"/>
  <c r="BA319" i="21"/>
  <c r="AV313" i="21"/>
  <c r="AV315" i="21" s="1"/>
  <c r="BB58" i="21"/>
  <c r="AS58" i="21"/>
  <c r="BB70" i="21"/>
  <c r="BJ70" i="21" s="1"/>
  <c r="BI70" i="21" s="1"/>
  <c r="AS70" i="21"/>
  <c r="AT313" i="21"/>
  <c r="AS94" i="21"/>
  <c r="BL333" i="21" l="1"/>
  <c r="BI333" i="21" s="1"/>
  <c r="BA58" i="21"/>
  <c r="BJ58" i="21"/>
  <c r="BI58" i="21" s="1"/>
  <c r="BI326" i="21"/>
  <c r="BI190" i="21"/>
  <c r="BL313" i="21"/>
  <c r="BL315" i="21" s="1"/>
  <c r="BI170" i="21"/>
  <c r="BJ313" i="21"/>
  <c r="BA19" i="21"/>
  <c r="BD313" i="21"/>
  <c r="BD315" i="21" s="1"/>
  <c r="BB313" i="21"/>
  <c r="BA70" i="21"/>
  <c r="AT315" i="21"/>
  <c r="AS313" i="21"/>
  <c r="AS315" i="21" s="1"/>
  <c r="BJ315" i="21" l="1"/>
  <c r="BI313" i="21"/>
  <c r="BI315" i="21" s="1"/>
  <c r="BA313" i="21"/>
  <c r="BA315" i="21" s="1"/>
  <c r="BB315" i="21"/>
</calcChain>
</file>

<file path=xl/sharedStrings.xml><?xml version="1.0" encoding="utf-8"?>
<sst xmlns="http://schemas.openxmlformats.org/spreadsheetml/2006/main" count="1754" uniqueCount="339">
  <si>
    <t>Iš viso</t>
  </si>
  <si>
    <t>Išlaidoms</t>
  </si>
  <si>
    <t>Iš jų:</t>
  </si>
  <si>
    <t>Administracijos direktoriaus rezervas</t>
  </si>
  <si>
    <t>Visagino savivaldybės tarybos</t>
  </si>
  <si>
    <t>Iš jų</t>
  </si>
  <si>
    <t>Eil. Nr.</t>
  </si>
  <si>
    <t>10</t>
  </si>
  <si>
    <t>„Atgimimo“ gimnazijos direktorius</t>
  </si>
  <si>
    <t>Lopšelio-darželio „Auksinis raktelis“ direktorius</t>
  </si>
  <si>
    <t>Lopšelio-darželio „Kūlverstukas“ direktorius</t>
  </si>
  <si>
    <t>Lopšelio-darželio „Gintarėlis“ direktorius</t>
  </si>
  <si>
    <t>Lopšelio-darželio „Ąžuoliukas“ direktorius</t>
  </si>
  <si>
    <t>Lopšelio-darželio „Auksinis gaidelis“ direktorius</t>
  </si>
  <si>
    <t>„Verdenės“ gimnazijos direktorius</t>
  </si>
  <si>
    <t>„Žiburio“ pagrindinės mokyklos direktorius</t>
  </si>
  <si>
    <t>Socialinių paslaugų centro direktorius</t>
  </si>
  <si>
    <t>Kultūros centro direktorius</t>
  </si>
  <si>
    <t>Viešosios bibliotekos direktorius</t>
  </si>
  <si>
    <t xml:space="preserve">Kontrolės ir audito tarnybos savivaldybės kontrolierius </t>
  </si>
  <si>
    <t>Visagino savivaldybės administracijos direktorius</t>
  </si>
  <si>
    <t>1.1.</t>
  </si>
  <si>
    <t>01</t>
  </si>
  <si>
    <t>06</t>
  </si>
  <si>
    <t>Asignavimų valdytojas</t>
  </si>
  <si>
    <t>02</t>
  </si>
  <si>
    <t>3.1.</t>
  </si>
  <si>
    <t>4.1.</t>
  </si>
  <si>
    <t>4.2.</t>
  </si>
  <si>
    <t>5.1.</t>
  </si>
  <si>
    <t>04</t>
  </si>
  <si>
    <t>03</t>
  </si>
  <si>
    <t>08</t>
  </si>
  <si>
    <t>07</t>
  </si>
  <si>
    <t>Savivaldybės valdymo tobulinimo programa</t>
  </si>
  <si>
    <t>Finansavimo šaltinis</t>
  </si>
  <si>
    <t>iš jų darbo užmokesčiui</t>
  </si>
  <si>
    <t>Turtui įsigyti</t>
  </si>
  <si>
    <t>D</t>
  </si>
  <si>
    <t>05</t>
  </si>
  <si>
    <t>09</t>
  </si>
  <si>
    <t>Švietimo paslaugų plėtros programa</t>
  </si>
  <si>
    <t xml:space="preserve"> Kūno kultūros ir sporto plėtros programa</t>
  </si>
  <si>
    <t>Gyventojų kultūrinio aktyvumo skatinimo ir identiteto stiprinimo programa</t>
  </si>
  <si>
    <t>Socialinės paramos įgyvendinimo programa</t>
  </si>
  <si>
    <t>Sveikatos apsaugos paslaugų kokybės gerinimo programa</t>
  </si>
  <si>
    <t>Aplinkos apsaugos programa</t>
  </si>
  <si>
    <t>Savivaldybės ekonominės plėtros programa</t>
  </si>
  <si>
    <t>Viešosios infrastruktūros plėtros programa</t>
  </si>
  <si>
    <t>MK</t>
  </si>
  <si>
    <t>SP</t>
  </si>
  <si>
    <t>3.2.</t>
  </si>
  <si>
    <t>3.3.</t>
  </si>
  <si>
    <t>3.4.</t>
  </si>
  <si>
    <t>4.3.</t>
  </si>
  <si>
    <t>5.2.</t>
  </si>
  <si>
    <t>5.3.</t>
  </si>
  <si>
    <t>5.4.</t>
  </si>
  <si>
    <t>6.1.</t>
  </si>
  <si>
    <t>6.2.</t>
  </si>
  <si>
    <t>6.3.</t>
  </si>
  <si>
    <t>6.4.</t>
  </si>
  <si>
    <t>7.1.</t>
  </si>
  <si>
    <t>7.2.</t>
  </si>
  <si>
    <t>7.3.</t>
  </si>
  <si>
    <t>7.4.</t>
  </si>
  <si>
    <t>8.1.</t>
  </si>
  <si>
    <t>8.2.</t>
  </si>
  <si>
    <t>8.3.</t>
  </si>
  <si>
    <t>8.4.</t>
  </si>
  <si>
    <t>9.1.</t>
  </si>
  <si>
    <t>9.2.</t>
  </si>
  <si>
    <t>9.3.</t>
  </si>
  <si>
    <t>10.1.</t>
  </si>
  <si>
    <t>10.2.</t>
  </si>
  <si>
    <t>10.3.</t>
  </si>
  <si>
    <t>11.1.</t>
  </si>
  <si>
    <t>11.2.</t>
  </si>
  <si>
    <t>11.3.</t>
  </si>
  <si>
    <t>12.1.</t>
  </si>
  <si>
    <t>12.2.</t>
  </si>
  <si>
    <t>12.3.</t>
  </si>
  <si>
    <t>13.1.</t>
  </si>
  <si>
    <t>13.2.</t>
  </si>
  <si>
    <t>14.1.</t>
  </si>
  <si>
    <t>14.2.</t>
  </si>
  <si>
    <t>15.1.</t>
  </si>
  <si>
    <t>16.1.</t>
  </si>
  <si>
    <t>16.2.</t>
  </si>
  <si>
    <t>16.3.</t>
  </si>
  <si>
    <t>17.1.</t>
  </si>
  <si>
    <t>17.2.</t>
  </si>
  <si>
    <t>17.3.</t>
  </si>
  <si>
    <t>17.4.</t>
  </si>
  <si>
    <t>18.1.</t>
  </si>
  <si>
    <t>18.2.</t>
  </si>
  <si>
    <t>19.1.</t>
  </si>
  <si>
    <t>20.1.</t>
  </si>
  <si>
    <t>20.2.</t>
  </si>
  <si>
    <t>Programų kodas</t>
  </si>
  <si>
    <t>6.5.</t>
  </si>
  <si>
    <t>6.6.</t>
  </si>
  <si>
    <t>6.7.</t>
  </si>
  <si>
    <t>VK</t>
  </si>
  <si>
    <t>2.16.</t>
  </si>
  <si>
    <t>3.5.</t>
  </si>
  <si>
    <t>7.</t>
  </si>
  <si>
    <t>8.</t>
  </si>
  <si>
    <t>10.</t>
  </si>
  <si>
    <t>11.</t>
  </si>
  <si>
    <t>12.</t>
  </si>
  <si>
    <t>13.</t>
  </si>
  <si>
    <t>14.</t>
  </si>
  <si>
    <t>15.</t>
  </si>
  <si>
    <t>16.</t>
  </si>
  <si>
    <t>17.</t>
  </si>
  <si>
    <t>17.5.</t>
  </si>
  <si>
    <t>17.6.</t>
  </si>
  <si>
    <t>18.</t>
  </si>
  <si>
    <t>19.</t>
  </si>
  <si>
    <t>20.</t>
  </si>
  <si>
    <t>21.</t>
  </si>
  <si>
    <t>22.</t>
  </si>
  <si>
    <t>23.</t>
  </si>
  <si>
    <t>Bendruomeniškumo skatinimo programa</t>
  </si>
  <si>
    <t>SB</t>
  </si>
  <si>
    <t>2 priedas</t>
  </si>
  <si>
    <t>Savivaldybės biudžeto lėšos</t>
  </si>
  <si>
    <t xml:space="preserve">Valstybinės (valstybės perduotos savivaldybėms) funkcijos </t>
  </si>
  <si>
    <t>2.17.</t>
  </si>
  <si>
    <t>2.18.</t>
  </si>
  <si>
    <t>Kūno kultūros ir sporto plėtros programa</t>
  </si>
  <si>
    <t>2.19.</t>
  </si>
  <si>
    <t>Rekreacijos paslaugų centro direktorius</t>
  </si>
  <si>
    <t>17.7.</t>
  </si>
  <si>
    <t>12.4.</t>
  </si>
  <si>
    <t>2.20.</t>
  </si>
  <si>
    <t>SD</t>
  </si>
  <si>
    <t>Apyvartos lėšos</t>
  </si>
  <si>
    <t>Iš jų: finansinių įsipareigojimų vykdymas (paskolų grąžinimas)</t>
  </si>
  <si>
    <t>IŠ VISO:</t>
  </si>
  <si>
    <t>Draugystės progimnazijos direktorius</t>
  </si>
  <si>
    <t>„Gerosios vilties“ progimnazijos direktorius</t>
  </si>
  <si>
    <t>2.1.</t>
  </si>
  <si>
    <t>2.2.</t>
  </si>
  <si>
    <t>2.4.</t>
  </si>
  <si>
    <t>2.5.</t>
  </si>
  <si>
    <t>2.6.</t>
  </si>
  <si>
    <t>2.7.</t>
  </si>
  <si>
    <t>2.8.</t>
  </si>
  <si>
    <t>2.9.</t>
  </si>
  <si>
    <t>2.10.</t>
  </si>
  <si>
    <t>2.11.</t>
  </si>
  <si>
    <t>2.12.</t>
  </si>
  <si>
    <t>2.13.</t>
  </si>
  <si>
    <t>2.14.</t>
  </si>
  <si>
    <t>2.15.</t>
  </si>
  <si>
    <t>Tūkst. Eur</t>
  </si>
  <si>
    <t>4.4.</t>
  </si>
  <si>
    <t>4.5.</t>
  </si>
  <si>
    <t>5.5.</t>
  </si>
  <si>
    <t>7.5.</t>
  </si>
  <si>
    <t>8.5.</t>
  </si>
  <si>
    <t>9.4.</t>
  </si>
  <si>
    <t>9.5.</t>
  </si>
  <si>
    <t>10.4.</t>
  </si>
  <si>
    <t>10.5.</t>
  </si>
  <si>
    <t>11.4.</t>
  </si>
  <si>
    <t>11.5.</t>
  </si>
  <si>
    <t>12.5.</t>
  </si>
  <si>
    <t>13.3.</t>
  </si>
  <si>
    <t>13.4.</t>
  </si>
  <si>
    <t>14.3.</t>
  </si>
  <si>
    <t>1.</t>
  </si>
  <si>
    <t>2.</t>
  </si>
  <si>
    <t>3.</t>
  </si>
  <si>
    <t>4.</t>
  </si>
  <si>
    <t>5.</t>
  </si>
  <si>
    <t>6.</t>
  </si>
  <si>
    <t>9.</t>
  </si>
  <si>
    <t>15.2.</t>
  </si>
  <si>
    <t>15.3.</t>
  </si>
  <si>
    <t>16.4.</t>
  </si>
  <si>
    <t>16.5.</t>
  </si>
  <si>
    <t>19.2.</t>
  </si>
  <si>
    <t>Specialios tikslinės dotacijos, kitos dotacijos ir lėšos iš kitų valdymo lygių</t>
  </si>
  <si>
    <t>Europos Sąjungos finansinės paramos lėšos</t>
  </si>
  <si>
    <t>ES</t>
  </si>
  <si>
    <t>13.5.</t>
  </si>
  <si>
    <t>14.4.</t>
  </si>
  <si>
    <t>8.6.</t>
  </si>
  <si>
    <t>14.5.</t>
  </si>
  <si>
    <t>19.3.</t>
  </si>
  <si>
    <t>Aplinkos apsaugos rėmimo specialiosios programos lėšos</t>
  </si>
  <si>
    <t>Pakeitimai</t>
  </si>
  <si>
    <t>19.4.</t>
  </si>
  <si>
    <t>21.5.</t>
  </si>
  <si>
    <t>2.21.</t>
  </si>
  <si>
    <t>2.22.</t>
  </si>
  <si>
    <t>2.23.</t>
  </si>
  <si>
    <t>13.6.</t>
  </si>
  <si>
    <t>2.24.</t>
  </si>
  <si>
    <t>2.25.</t>
  </si>
  <si>
    <t>19.5.</t>
  </si>
  <si>
    <t xml:space="preserve">Švietimo pagalbos tarnybos direktorius </t>
  </si>
  <si>
    <t>2.26.</t>
  </si>
  <si>
    <t>Šeimos ir vaiko gerovės centro direktorius</t>
  </si>
  <si>
    <t>2.27.</t>
  </si>
  <si>
    <t>2.28.</t>
  </si>
  <si>
    <t>redakcija)</t>
  </si>
  <si>
    <t>iš jų iš žemės realizavimo pajamų</t>
  </si>
  <si>
    <t>iš jų iš pastatų ir statinių realizavimo pajamų</t>
  </si>
  <si>
    <t>2.3.</t>
  </si>
  <si>
    <t>15.4.</t>
  </si>
  <si>
    <t>17.8.</t>
  </si>
  <si>
    <t>Ugdymo reikmėms finansuoti</t>
  </si>
  <si>
    <t>2.29.</t>
  </si>
  <si>
    <t>2.30.</t>
  </si>
  <si>
    <t>2.31.</t>
  </si>
  <si>
    <t>11.6.</t>
  </si>
  <si>
    <t>Priedas prie aiškinamojo rašto</t>
  </si>
  <si>
    <t>4.6.</t>
  </si>
  <si>
    <t>7.6.</t>
  </si>
  <si>
    <t>9.6.</t>
  </si>
  <si>
    <t>10.6.</t>
  </si>
  <si>
    <t>12.6.</t>
  </si>
  <si>
    <t>19.6.</t>
  </si>
  <si>
    <t>18.3.</t>
  </si>
  <si>
    <t>11.7.</t>
  </si>
  <si>
    <t>10.7.</t>
  </si>
  <si>
    <t>8.7.</t>
  </si>
  <si>
    <t>7.7.</t>
  </si>
  <si>
    <t>5.6.</t>
  </si>
  <si>
    <t>4.7.</t>
  </si>
  <si>
    <t>3.6.</t>
  </si>
  <si>
    <t>18.4.</t>
  </si>
  <si>
    <t>3.7.</t>
  </si>
  <si>
    <t>4.8.</t>
  </si>
  <si>
    <t>5.7.</t>
  </si>
  <si>
    <t>18.5.</t>
  </si>
  <si>
    <t>Kūrybos ir menų akademijos direktorius</t>
  </si>
  <si>
    <t>18.6.</t>
  </si>
  <si>
    <t>18.7.</t>
  </si>
  <si>
    <t>18.8.</t>
  </si>
  <si>
    <t>5.8.</t>
  </si>
  <si>
    <t>15.5.</t>
  </si>
  <si>
    <t>3.8.</t>
  </si>
  <si>
    <t>Visagino savivaldybės 2021 m. biudžeto asignavimai pagal asignavimų valdytojus</t>
  </si>
  <si>
    <t>2021 m. vasario __ d. sprendimo Nr. TS-__</t>
  </si>
  <si>
    <t>(2021 m. gruodžio __ d. sprendimo Nr. TS-___</t>
  </si>
  <si>
    <t>IŠ VISO ASIGNAVIMŲ (21-22)</t>
  </si>
  <si>
    <t>19.8.</t>
  </si>
  <si>
    <t>13.7.</t>
  </si>
  <si>
    <t>13.8.</t>
  </si>
  <si>
    <t>Patvirtinti asignavimai 2021-02-18  TS-17</t>
  </si>
  <si>
    <t>Patikslinti asignavimai 2021-03-25  TS-45</t>
  </si>
  <si>
    <t>15.6.</t>
  </si>
  <si>
    <t>4.9.</t>
  </si>
  <si>
    <t>6.8.</t>
  </si>
  <si>
    <t>13.9.</t>
  </si>
  <si>
    <t>18.9.</t>
  </si>
  <si>
    <t xml:space="preserve">16.6. </t>
  </si>
  <si>
    <t>18.10.</t>
  </si>
  <si>
    <t>2.32.</t>
  </si>
  <si>
    <t>5.9.</t>
  </si>
  <si>
    <t>8.8.</t>
  </si>
  <si>
    <t>9.7.</t>
  </si>
  <si>
    <t>11.8.</t>
  </si>
  <si>
    <t>15.7.</t>
  </si>
  <si>
    <t>Patikslinti asignavimai 2021-04-29  TS-79</t>
  </si>
  <si>
    <t>12.7.</t>
  </si>
  <si>
    <t>8.9.</t>
  </si>
  <si>
    <t>18.11.</t>
  </si>
  <si>
    <t>8.10.</t>
  </si>
  <si>
    <t>9.8.</t>
  </si>
  <si>
    <t>11.9.</t>
  </si>
  <si>
    <t>12.8.</t>
  </si>
  <si>
    <t>18.12.</t>
  </si>
  <si>
    <t>19.7.</t>
  </si>
  <si>
    <t>Patikslinti asignavimai 2021-06-23  TS-133</t>
  </si>
  <si>
    <t>7.8.</t>
  </si>
  <si>
    <t>Patikslinti asignavimai 2021-08-26  TS-161</t>
  </si>
  <si>
    <t>6.9.</t>
  </si>
  <si>
    <t>Patikslinti asignavimai 2021-10-14  TS-195</t>
  </si>
  <si>
    <t>4.10.</t>
  </si>
  <si>
    <t>3.9.</t>
  </si>
  <si>
    <t>6.10.</t>
  </si>
  <si>
    <t>7.9.</t>
  </si>
  <si>
    <t>10.8.</t>
  </si>
  <si>
    <t>12.9.</t>
  </si>
  <si>
    <t xml:space="preserve">16.7. </t>
  </si>
  <si>
    <t>18.13.</t>
  </si>
  <si>
    <t>2.33.</t>
  </si>
  <si>
    <t>2.34.</t>
  </si>
  <si>
    <t xml:space="preserve">16.8. </t>
  </si>
  <si>
    <t>19.9.</t>
  </si>
  <si>
    <t>6.11.</t>
  </si>
  <si>
    <t>4.11.</t>
  </si>
  <si>
    <t>7.10.</t>
  </si>
  <si>
    <t>Patikslinti asignavimai 2021-11-25  TS-229</t>
  </si>
  <si>
    <t>Patikslinti asignavimai 2021-12-23  TS-</t>
  </si>
  <si>
    <t>12.10.</t>
  </si>
  <si>
    <t>17.9.</t>
  </si>
  <si>
    <t>10.9.</t>
  </si>
  <si>
    <t xml:space="preserve">Valstybės biudžeto lėšos ir kitos dotacijos </t>
  </si>
  <si>
    <t>P</t>
  </si>
  <si>
    <t>Savivaldybių mokykloms (klasėms arba grupėms), skirtoms šalies (regiono) mokiniams, turintiems specialiųjų ugdymosi poreikių, ir kitoms savivaldybėms perduotoms įstaigoms išlaikyti</t>
  </si>
  <si>
    <t>iš pastatų ir statinių realizavimo pajamų</t>
  </si>
  <si>
    <t xml:space="preserve">Fizinio aktyvumo ir sporto plėtros programa        </t>
  </si>
  <si>
    <t>IŠ VISO ASIGNAVIMŲ (21-22-23)</t>
  </si>
  <si>
    <t xml:space="preserve"> finansinio turto padidėjimo išlaidos (finansinio turto įsigijimo / investavimo išlaidos)</t>
  </si>
  <si>
    <t>8.11.</t>
  </si>
  <si>
    <t>Kontrolės ir audito tarnyba</t>
  </si>
  <si>
    <t>Visagino savivaldybės administracija</t>
  </si>
  <si>
    <t>„Atgimimo“ gimnazija</t>
  </si>
  <si>
    <t>Draugystės progimnazija</t>
  </si>
  <si>
    <t>„Gerosios vilties“ progimnazija</t>
  </si>
  <si>
    <t>„Verdenės“ gimnazija</t>
  </si>
  <si>
    <t>„Žiburio“ pagrindinė mokykla</t>
  </si>
  <si>
    <t xml:space="preserve">Lopšelis-darželis „Auksinis raktelis“ </t>
  </si>
  <si>
    <t>Lopšelis-darželis „Kūlverstukas“</t>
  </si>
  <si>
    <t>Lopšelis-darželis „Gintarėlis“</t>
  </si>
  <si>
    <t>Lopšelis-darželis „Ąžuoliukas“</t>
  </si>
  <si>
    <t>Lopšelis-darželis „Auksinis gaidelis“</t>
  </si>
  <si>
    <t>Kūrybos ir menų akademija</t>
  </si>
  <si>
    <t>Švietimo pagalbos tarnyba</t>
  </si>
  <si>
    <t>Rekreacijos paslaugų centras</t>
  </si>
  <si>
    <t>Viešoji biblioteka</t>
  </si>
  <si>
    <t>Kultūros centras</t>
  </si>
  <si>
    <t>Socialinių paslaugų centras</t>
  </si>
  <si>
    <t>Šeimos ir vaiko gerovės centras</t>
  </si>
  <si>
    <t xml:space="preserve">Visagino savivaldybės Finansų ir biudžeto skyrius (Savivaldybės vykdomoji institucija (Visagino savivaldybės iždas) </t>
  </si>
  <si>
    <t>Iš atsiskaitymų nuo pajamų pagal  Lietuvos Respublikos miškų įstatymą vietinės reikšmės viešųjų kelių priežiūrai ir taisymui (remontui)</t>
  </si>
  <si>
    <t>Praėjusių metų nepanaudota pajamų dalis</t>
  </si>
  <si>
    <t>Visagino savivaldybės 2025-2027 m. biudžeto asignavimai pagal asignavimų valdytojus</t>
  </si>
  <si>
    <t>2026 m. iš viso, tūkst. Eur</t>
  </si>
  <si>
    <t>2027 m. iš viso, tūkst. Eur</t>
  </si>
  <si>
    <t>2025 m. iš viso, tūkst. Eur</t>
  </si>
  <si>
    <t>2.27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</si>
</sst>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0.0"/>
    <numFmt numFmtId="165" formatCode="0.000"/>
  </numFmts>
  <fonts count="21" x14ac:knownFonts="1">
    <font>
      <sz val="10"/>
      <name val="Arial"/>
      <charset val="186"/>
    </font>
    <font>
      <sz val="9"/>
      <name val="Times New Roman"/>
      <family val="1"/>
    </font>
    <font>
      <b/>
      <sz val="12"/>
      <name val="Times New Roman"/>
      <family val="1"/>
    </font>
    <font>
      <b/>
      <sz val="9"/>
      <name val="Times New Roman"/>
      <family val="1"/>
    </font>
    <font>
      <sz val="10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  <charset val="186"/>
    </font>
    <font>
      <b/>
      <sz val="10"/>
      <name val="Times New Roman"/>
      <family val="1"/>
      <charset val="186"/>
    </font>
    <font>
      <b/>
      <sz val="8"/>
      <name val="Times New Roman"/>
      <family val="1"/>
    </font>
    <font>
      <i/>
      <sz val="10"/>
      <name val="Times New Roman"/>
      <family val="1"/>
    </font>
    <font>
      <b/>
      <sz val="11"/>
      <name val="Times New Roman"/>
      <family val="1"/>
    </font>
    <font>
      <i/>
      <sz val="9"/>
      <name val="Times New Roman"/>
      <family val="1"/>
    </font>
    <font>
      <b/>
      <i/>
      <sz val="10"/>
      <name val="Times New Roman"/>
      <family val="1"/>
    </font>
    <font>
      <sz val="9"/>
      <color rgb="FFFF0000"/>
      <name val="Times New Roman"/>
      <family val="1"/>
    </font>
    <font>
      <b/>
      <sz val="10"/>
      <color rgb="FFFF0000"/>
      <name val="Times New Roman"/>
      <family val="1"/>
    </font>
    <font>
      <b/>
      <sz val="11"/>
      <color rgb="FFFF0000"/>
      <name val="Times New Roman"/>
      <family val="1"/>
    </font>
    <font>
      <b/>
      <sz val="9"/>
      <name val="Times New Roman"/>
      <family val="1"/>
      <charset val="186"/>
    </font>
    <font>
      <sz val="10"/>
      <color rgb="FFFF0000"/>
      <name val="Times New Roman"/>
      <family val="1"/>
    </font>
    <font>
      <i/>
      <sz val="10"/>
      <color rgb="FFFF0000"/>
      <name val="Times New Roman"/>
      <family val="1"/>
    </font>
    <font>
      <i/>
      <sz val="10"/>
      <name val="Times New Roman"/>
      <family val="1"/>
      <charset val="186"/>
    </font>
    <font>
      <sz val="8"/>
      <name val="Arial"/>
      <family val="2"/>
      <charset val="186"/>
    </font>
  </fonts>
  <fills count="6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/>
        <bgColor indexed="64"/>
      </patternFill>
    </fill>
  </fills>
  <borders count="62">
    <border>
      <left/>
      <right/>
      <top/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protection locked="0"/>
    </xf>
  </cellStyleXfs>
  <cellXfs count="313">
    <xf numFmtId="0" fontId="0" fillId="0" borderId="0" xfId="0">
      <protection locked="0"/>
    </xf>
    <xf numFmtId="0" fontId="1" fillId="0" borderId="0" xfId="0" applyFont="1">
      <protection locked="0"/>
    </xf>
    <xf numFmtId="0" fontId="3" fillId="0" borderId="0" xfId="0" applyFont="1" applyAlignment="1">
      <alignment horizontal="center" vertical="center" wrapText="1"/>
      <protection locked="0"/>
    </xf>
    <xf numFmtId="0" fontId="3" fillId="0" borderId="0" xfId="0" applyFont="1" applyAlignment="1">
      <alignment horizontal="center" vertical="center"/>
      <protection locked="0"/>
    </xf>
    <xf numFmtId="164" fontId="4" fillId="0" borderId="1" xfId="0" applyNumberFormat="1" applyFont="1" applyBorder="1" applyAlignment="1">
      <alignment wrapText="1"/>
      <protection locked="0"/>
    </xf>
    <xf numFmtId="165" fontId="1" fillId="0" borderId="0" xfId="0" applyNumberFormat="1" applyFont="1">
      <protection locked="0"/>
    </xf>
    <xf numFmtId="0" fontId="1" fillId="0" borderId="0" xfId="0" applyFont="1" applyAlignment="1">
      <alignment horizontal="center"/>
      <protection locked="0"/>
    </xf>
    <xf numFmtId="164" fontId="1" fillId="0" borderId="0" xfId="0" applyNumberFormat="1" applyFont="1">
      <protection locked="0"/>
    </xf>
    <xf numFmtId="0" fontId="1" fillId="0" borderId="0" xfId="0" applyFont="1" applyAlignment="1">
      <alignment horizontal="center" vertical="center"/>
      <protection locked="0"/>
    </xf>
    <xf numFmtId="165" fontId="1" fillId="0" borderId="0" xfId="0" applyNumberFormat="1" applyFont="1" applyAlignment="1">
      <alignment horizontal="right"/>
      <protection locked="0"/>
    </xf>
    <xf numFmtId="164" fontId="4" fillId="0" borderId="5" xfId="0" applyNumberFormat="1" applyFont="1" applyBorder="1" applyAlignment="1">
      <alignment wrapText="1"/>
      <protection locked="0"/>
    </xf>
    <xf numFmtId="0" fontId="1" fillId="0" borderId="1" xfId="0" applyFont="1" applyBorder="1" applyAlignment="1">
      <alignment vertical="top"/>
      <protection locked="0"/>
    </xf>
    <xf numFmtId="1" fontId="1" fillId="0" borderId="7" xfId="0" applyNumberFormat="1" applyFont="1" applyBorder="1" applyAlignment="1">
      <alignment horizontal="center" vertical="center" wrapText="1"/>
      <protection locked="0"/>
    </xf>
    <xf numFmtId="0" fontId="5" fillId="0" borderId="42" xfId="0" applyFont="1" applyBorder="1" applyAlignment="1">
      <alignment horizontal="center"/>
      <protection locked="0"/>
    </xf>
    <xf numFmtId="164" fontId="5" fillId="0" borderId="39" xfId="0" applyNumberFormat="1" applyFont="1" applyBorder="1">
      <protection locked="0"/>
    </xf>
    <xf numFmtId="164" fontId="5" fillId="0" borderId="39" xfId="0" applyNumberFormat="1" applyFont="1" applyBorder="1" applyAlignment="1">
      <alignment horizontal="center"/>
      <protection locked="0"/>
    </xf>
    <xf numFmtId="0" fontId="1" fillId="0" borderId="39" xfId="0" applyFont="1" applyBorder="1">
      <protection locked="0"/>
    </xf>
    <xf numFmtId="0" fontId="1" fillId="0" borderId="6" xfId="0" applyFont="1" applyBorder="1">
      <protection locked="0"/>
    </xf>
    <xf numFmtId="0" fontId="1" fillId="0" borderId="1" xfId="0" applyFont="1" applyBorder="1">
      <protection locked="0"/>
    </xf>
    <xf numFmtId="0" fontId="1" fillId="0" borderId="16" xfId="0" applyFont="1" applyBorder="1">
      <protection locked="0"/>
    </xf>
    <xf numFmtId="0" fontId="1" fillId="0" borderId="16" xfId="0" applyFont="1" applyBorder="1" applyAlignment="1">
      <alignment wrapText="1"/>
      <protection locked="0"/>
    </xf>
    <xf numFmtId="0" fontId="1" fillId="0" borderId="5" xfId="0" applyFont="1" applyBorder="1">
      <protection locked="0"/>
    </xf>
    <xf numFmtId="0" fontId="1" fillId="0" borderId="30" xfId="0" applyFont="1" applyBorder="1">
      <protection locked="0"/>
    </xf>
    <xf numFmtId="164" fontId="9" fillId="0" borderId="3" xfId="0" applyNumberFormat="1" applyFont="1" applyBorder="1" applyAlignment="1">
      <alignment wrapText="1"/>
      <protection locked="0"/>
    </xf>
    <xf numFmtId="164" fontId="5" fillId="0" borderId="1" xfId="0" applyNumberFormat="1" applyFont="1" applyBorder="1" applyAlignment="1">
      <alignment wrapText="1"/>
      <protection locked="0"/>
    </xf>
    <xf numFmtId="49" fontId="4" fillId="0" borderId="5" xfId="0" applyNumberFormat="1" applyFont="1" applyBorder="1" applyAlignment="1">
      <alignment horizontal="center"/>
      <protection locked="0"/>
    </xf>
    <xf numFmtId="164" fontId="9" fillId="0" borderId="1" xfId="0" applyNumberFormat="1" applyFont="1" applyBorder="1" applyAlignment="1">
      <alignment wrapText="1"/>
      <protection locked="0"/>
    </xf>
    <xf numFmtId="49" fontId="4" fillId="0" borderId="1" xfId="0" applyNumberFormat="1" applyFont="1" applyBorder="1" applyAlignment="1">
      <alignment horizontal="center" wrapText="1"/>
      <protection locked="0"/>
    </xf>
    <xf numFmtId="49" fontId="5" fillId="0" borderId="1" xfId="0" applyNumberFormat="1" applyFont="1" applyBorder="1" applyAlignment="1">
      <alignment horizontal="center" wrapText="1"/>
      <protection locked="0"/>
    </xf>
    <xf numFmtId="0" fontId="4" fillId="0" borderId="16" xfId="0" applyFont="1" applyBorder="1">
      <protection locked="0"/>
    </xf>
    <xf numFmtId="0" fontId="1" fillId="0" borderId="4" xfId="0" applyFont="1" applyBorder="1" applyAlignment="1">
      <alignment horizontal="center" vertical="center" wrapText="1"/>
      <protection locked="0"/>
    </xf>
    <xf numFmtId="0" fontId="1" fillId="0" borderId="6" xfId="0" applyFont="1" applyBorder="1" applyAlignment="1">
      <alignment horizontal="center" vertical="center"/>
      <protection locked="0"/>
    </xf>
    <xf numFmtId="1" fontId="1" fillId="0" borderId="6" xfId="0" applyNumberFormat="1" applyFont="1" applyBorder="1" applyAlignment="1">
      <alignment horizontal="center" vertical="center" wrapText="1"/>
      <protection locked="0"/>
    </xf>
    <xf numFmtId="1" fontId="1" fillId="0" borderId="4" xfId="0" applyNumberFormat="1" applyFont="1" applyBorder="1" applyAlignment="1">
      <alignment horizontal="center" vertical="center"/>
      <protection locked="0"/>
    </xf>
    <xf numFmtId="1" fontId="1" fillId="0" borderId="11" xfId="0" applyNumberFormat="1" applyFont="1" applyBorder="1" applyAlignment="1">
      <alignment horizontal="center" vertical="center"/>
      <protection locked="0"/>
    </xf>
    <xf numFmtId="1" fontId="1" fillId="0" borderId="8" xfId="0" applyNumberFormat="1" applyFont="1" applyBorder="1" applyAlignment="1">
      <alignment horizontal="center" vertical="center"/>
      <protection locked="0"/>
    </xf>
    <xf numFmtId="0" fontId="1" fillId="0" borderId="14" xfId="0" applyFont="1" applyBorder="1" applyAlignment="1">
      <alignment horizontal="center" wrapText="1"/>
      <protection locked="0"/>
    </xf>
    <xf numFmtId="49" fontId="5" fillId="0" borderId="5" xfId="0" applyNumberFormat="1" applyFont="1" applyBorder="1" applyAlignment="1">
      <alignment horizontal="center"/>
      <protection locked="0"/>
    </xf>
    <xf numFmtId="0" fontId="1" fillId="0" borderId="5" xfId="0" applyFont="1" applyBorder="1" applyAlignment="1">
      <alignment horizontal="center" wrapText="1"/>
      <protection locked="0"/>
    </xf>
    <xf numFmtId="0" fontId="1" fillId="0" borderId="5" xfId="0" applyFont="1" applyBorder="1" applyAlignment="1">
      <alignment horizontal="center"/>
      <protection locked="0"/>
    </xf>
    <xf numFmtId="49" fontId="4" fillId="0" borderId="5" xfId="0" applyNumberFormat="1" applyFont="1" applyBorder="1" applyAlignment="1">
      <alignment horizontal="center" wrapText="1"/>
      <protection locked="0"/>
    </xf>
    <xf numFmtId="0" fontId="1" fillId="0" borderId="3" xfId="0" applyFont="1" applyBorder="1" applyAlignment="1">
      <alignment horizontal="center"/>
      <protection locked="0"/>
    </xf>
    <xf numFmtId="0" fontId="3" fillId="0" borderId="3" xfId="0" applyFont="1" applyBorder="1" applyAlignment="1">
      <alignment horizontal="center"/>
      <protection locked="0"/>
    </xf>
    <xf numFmtId="0" fontId="1" fillId="0" borderId="13" xfId="0" applyFont="1" applyBorder="1" applyAlignment="1">
      <alignment horizontal="center"/>
      <protection locked="0"/>
    </xf>
    <xf numFmtId="0" fontId="3" fillId="0" borderId="1" xfId="0" applyFont="1" applyBorder="1" applyAlignment="1">
      <alignment horizontal="center"/>
      <protection locked="0"/>
    </xf>
    <xf numFmtId="49" fontId="1" fillId="0" borderId="3" xfId="0" applyNumberFormat="1" applyFont="1" applyBorder="1" applyAlignment="1">
      <alignment horizontal="center"/>
      <protection locked="0"/>
    </xf>
    <xf numFmtId="164" fontId="9" fillId="0" borderId="3" xfId="0" applyNumberFormat="1" applyFont="1" applyBorder="1" applyAlignment="1">
      <alignment horizontal="left" wrapText="1"/>
      <protection locked="0"/>
    </xf>
    <xf numFmtId="49" fontId="4" fillId="0" borderId="3" xfId="0" applyNumberFormat="1" applyFont="1" applyBorder="1" applyAlignment="1">
      <alignment horizontal="center"/>
      <protection locked="0"/>
    </xf>
    <xf numFmtId="49" fontId="4" fillId="0" borderId="45" xfId="0" applyNumberFormat="1" applyFont="1" applyBorder="1" applyAlignment="1">
      <alignment horizontal="center"/>
      <protection locked="0"/>
    </xf>
    <xf numFmtId="0" fontId="3" fillId="0" borderId="13" xfId="0" applyFont="1" applyBorder="1" applyAlignment="1">
      <alignment horizontal="center"/>
      <protection locked="0"/>
    </xf>
    <xf numFmtId="164" fontId="9" fillId="0" borderId="15" xfId="0" applyNumberFormat="1" applyFont="1" applyBorder="1" applyAlignment="1">
      <alignment wrapText="1"/>
      <protection locked="0"/>
    </xf>
    <xf numFmtId="0" fontId="3" fillId="0" borderId="39" xfId="0" applyFont="1" applyBorder="1">
      <protection locked="0"/>
    </xf>
    <xf numFmtId="0" fontId="5" fillId="0" borderId="40" xfId="0" applyFont="1" applyBorder="1" applyAlignment="1">
      <alignment wrapText="1"/>
      <protection locked="0"/>
    </xf>
    <xf numFmtId="164" fontId="9" fillId="0" borderId="16" xfId="0" applyNumberFormat="1" applyFont="1" applyBorder="1" applyAlignment="1">
      <alignment wrapText="1"/>
      <protection locked="0"/>
    </xf>
    <xf numFmtId="0" fontId="9" fillId="0" borderId="16" xfId="0" applyFont="1" applyBorder="1">
      <protection locked="0"/>
    </xf>
    <xf numFmtId="0" fontId="9" fillId="0" borderId="16" xfId="0" applyFont="1" applyBorder="1" applyAlignment="1">
      <alignment wrapText="1"/>
      <protection locked="0"/>
    </xf>
    <xf numFmtId="0" fontId="9" fillId="0" borderId="36" xfId="0" applyFont="1" applyBorder="1">
      <protection locked="0"/>
    </xf>
    <xf numFmtId="0" fontId="3" fillId="0" borderId="40" xfId="0" applyFont="1" applyBorder="1" applyAlignment="1">
      <alignment horizontal="center"/>
      <protection locked="0"/>
    </xf>
    <xf numFmtId="0" fontId="10" fillId="0" borderId="40" xfId="0" applyFont="1" applyBorder="1" applyAlignment="1">
      <alignment horizontal="center"/>
      <protection locked="0"/>
    </xf>
    <xf numFmtId="0" fontId="1" fillId="0" borderId="50" xfId="0" applyFont="1" applyBorder="1" applyAlignment="1">
      <alignment horizontal="center" vertical="center"/>
      <protection locked="0"/>
    </xf>
    <xf numFmtId="0" fontId="1" fillId="0" borderId="38" xfId="0" applyFont="1" applyBorder="1">
      <protection locked="0"/>
    </xf>
    <xf numFmtId="0" fontId="5" fillId="0" borderId="39" xfId="0" applyFont="1" applyBorder="1" applyAlignment="1">
      <alignment horizontal="right"/>
      <protection locked="0"/>
    </xf>
    <xf numFmtId="0" fontId="1" fillId="0" borderId="41" xfId="0" applyFont="1" applyBorder="1" applyAlignment="1">
      <alignment horizontal="left"/>
      <protection locked="0"/>
    </xf>
    <xf numFmtId="164" fontId="5" fillId="0" borderId="40" xfId="0" applyNumberFormat="1" applyFont="1" applyBorder="1" applyAlignment="1">
      <alignment horizontal="center"/>
      <protection locked="0"/>
    </xf>
    <xf numFmtId="0" fontId="1" fillId="0" borderId="15" xfId="0" applyFont="1" applyBorder="1">
      <protection locked="0"/>
    </xf>
    <xf numFmtId="0" fontId="1" fillId="0" borderId="48" xfId="0" applyFont="1" applyBorder="1">
      <protection locked="0"/>
    </xf>
    <xf numFmtId="0" fontId="4" fillId="0" borderId="38" xfId="0" applyFont="1" applyBorder="1">
      <protection locked="0"/>
    </xf>
    <xf numFmtId="0" fontId="4" fillId="0" borderId="29" xfId="0" applyFont="1" applyBorder="1" applyAlignment="1">
      <alignment horizontal="right"/>
      <protection locked="0"/>
    </xf>
    <xf numFmtId="0" fontId="1" fillId="0" borderId="28" xfId="0" applyFont="1" applyBorder="1" applyAlignment="1">
      <alignment horizontal="center"/>
      <protection locked="0"/>
    </xf>
    <xf numFmtId="0" fontId="1" fillId="0" borderId="29" xfId="0" applyFont="1" applyBorder="1" applyAlignment="1">
      <alignment horizontal="center"/>
      <protection locked="0"/>
    </xf>
    <xf numFmtId="165" fontId="6" fillId="0" borderId="3" xfId="0" applyNumberFormat="1" applyFont="1" applyBorder="1" applyAlignment="1" applyProtection="1">
      <alignment horizontal="center" vertical="center"/>
    </xf>
    <xf numFmtId="165" fontId="6" fillId="0" borderId="20" xfId="0" applyNumberFormat="1" applyFont="1" applyBorder="1" applyAlignment="1" applyProtection="1">
      <alignment horizontal="center" vertical="center"/>
    </xf>
    <xf numFmtId="165" fontId="6" fillId="0" borderId="21" xfId="0" applyNumberFormat="1" applyFont="1" applyBorder="1" applyAlignment="1" applyProtection="1">
      <alignment horizontal="center" vertical="center"/>
    </xf>
    <xf numFmtId="165" fontId="7" fillId="0" borderId="3" xfId="0" applyNumberFormat="1" applyFont="1" applyBorder="1" applyAlignment="1" applyProtection="1">
      <alignment horizontal="center" vertical="center"/>
    </xf>
    <xf numFmtId="165" fontId="7" fillId="0" borderId="20" xfId="0" applyNumberFormat="1" applyFont="1" applyBorder="1" applyAlignment="1" applyProtection="1">
      <alignment horizontal="center" vertical="center"/>
    </xf>
    <xf numFmtId="165" fontId="7" fillId="0" borderId="21" xfId="0" applyNumberFormat="1" applyFont="1" applyBorder="1" applyAlignment="1" applyProtection="1">
      <alignment horizontal="center" vertical="center"/>
    </xf>
    <xf numFmtId="164" fontId="9" fillId="0" borderId="14" xfId="0" applyNumberFormat="1" applyFont="1" applyBorder="1" applyAlignment="1">
      <alignment horizontal="left" wrapText="1"/>
      <protection locked="0"/>
    </xf>
    <xf numFmtId="0" fontId="1" fillId="0" borderId="1" xfId="0" applyFont="1" applyBorder="1" applyAlignment="1">
      <alignment horizontal="center" vertical="center"/>
      <protection locked="0"/>
    </xf>
    <xf numFmtId="165" fontId="4" fillId="0" borderId="3" xfId="0" applyNumberFormat="1" applyFont="1" applyBorder="1" applyAlignment="1" applyProtection="1">
      <alignment horizontal="center" vertical="center"/>
    </xf>
    <xf numFmtId="165" fontId="4" fillId="0" borderId="20" xfId="0" applyNumberFormat="1" applyFont="1" applyBorder="1" applyAlignment="1" applyProtection="1">
      <alignment horizontal="center" vertical="center"/>
    </xf>
    <xf numFmtId="165" fontId="4" fillId="0" borderId="21" xfId="0" applyNumberFormat="1" applyFont="1" applyBorder="1" applyAlignment="1" applyProtection="1">
      <alignment horizontal="center" vertical="center"/>
    </xf>
    <xf numFmtId="165" fontId="4" fillId="0" borderId="22" xfId="0" applyNumberFormat="1" applyFont="1" applyBorder="1" applyAlignment="1" applyProtection="1">
      <alignment horizontal="center" vertical="center"/>
    </xf>
    <xf numFmtId="165" fontId="4" fillId="0" borderId="34" xfId="0" applyNumberFormat="1" applyFont="1" applyBorder="1" applyAlignment="1" applyProtection="1">
      <alignment horizontal="center" vertical="center"/>
    </xf>
    <xf numFmtId="165" fontId="5" fillId="0" borderId="42" xfId="0" applyNumberFormat="1" applyFont="1" applyBorder="1" applyAlignment="1" applyProtection="1">
      <alignment horizontal="center" vertical="center"/>
    </xf>
    <xf numFmtId="165" fontId="5" fillId="0" borderId="53" xfId="0" applyNumberFormat="1" applyFont="1" applyBorder="1" applyAlignment="1" applyProtection="1">
      <alignment horizontal="center" vertical="center"/>
    </xf>
    <xf numFmtId="165" fontId="5" fillId="0" borderId="43" xfId="0" applyNumberFormat="1" applyFont="1" applyBorder="1" applyAlignment="1" applyProtection="1">
      <alignment horizontal="center" vertical="center"/>
    </xf>
    <xf numFmtId="165" fontId="5" fillId="0" borderId="46" xfId="0" applyNumberFormat="1" applyFont="1" applyBorder="1" applyAlignment="1" applyProtection="1">
      <alignment horizontal="center" vertical="center"/>
    </xf>
    <xf numFmtId="165" fontId="4" fillId="0" borderId="42" xfId="0" applyNumberFormat="1" applyFont="1" applyBorder="1" applyAlignment="1" applyProtection="1">
      <alignment horizontal="center" vertical="center"/>
    </xf>
    <xf numFmtId="165" fontId="4" fillId="0" borderId="53" xfId="0" applyNumberFormat="1" applyFont="1" applyBorder="1" applyAlignment="1" applyProtection="1">
      <alignment horizontal="center" vertical="center"/>
    </xf>
    <xf numFmtId="165" fontId="4" fillId="0" borderId="43" xfId="0" applyNumberFormat="1" applyFont="1" applyBorder="1" applyAlignment="1" applyProtection="1">
      <alignment horizontal="center" vertical="center"/>
    </xf>
    <xf numFmtId="165" fontId="4" fillId="0" borderId="46" xfId="0" applyNumberFormat="1" applyFont="1" applyBorder="1" applyAlignment="1" applyProtection="1">
      <alignment horizontal="center" vertical="center"/>
    </xf>
    <xf numFmtId="165" fontId="4" fillId="0" borderId="14" xfId="0" applyNumberFormat="1" applyFont="1" applyBorder="1" applyAlignment="1" applyProtection="1">
      <alignment horizontal="center" vertical="center"/>
    </xf>
    <xf numFmtId="165" fontId="4" fillId="0" borderId="17" xfId="0" applyNumberFormat="1" applyFont="1" applyBorder="1" applyAlignment="1" applyProtection="1">
      <alignment horizontal="center" vertical="center"/>
    </xf>
    <xf numFmtId="165" fontId="4" fillId="0" borderId="18" xfId="0" applyNumberFormat="1" applyFont="1" applyBorder="1" applyAlignment="1" applyProtection="1">
      <alignment horizontal="center" vertical="center"/>
    </xf>
    <xf numFmtId="165" fontId="4" fillId="0" borderId="19" xfId="0" applyNumberFormat="1" applyFont="1" applyBorder="1" applyAlignment="1" applyProtection="1">
      <alignment horizontal="center" vertical="center"/>
    </xf>
    <xf numFmtId="165" fontId="4" fillId="0" borderId="4" xfId="0" applyNumberFormat="1" applyFont="1" applyBorder="1" applyAlignment="1" applyProtection="1">
      <alignment horizontal="center" vertical="center"/>
    </xf>
    <xf numFmtId="165" fontId="4" fillId="0" borderId="11" xfId="0" applyNumberFormat="1" applyFont="1" applyBorder="1" applyAlignment="1" applyProtection="1">
      <alignment horizontal="center" vertical="center"/>
    </xf>
    <xf numFmtId="165" fontId="4" fillId="0" borderId="8" xfId="0" applyNumberFormat="1" applyFont="1" applyBorder="1" applyAlignment="1" applyProtection="1">
      <alignment horizontal="center" vertical="center"/>
    </xf>
    <xf numFmtId="165" fontId="4" fillId="0" borderId="7" xfId="0" applyNumberFormat="1" applyFont="1" applyBorder="1" applyAlignment="1" applyProtection="1">
      <alignment horizontal="center" vertical="center"/>
    </xf>
    <xf numFmtId="165" fontId="4" fillId="0" borderId="9" xfId="0" applyNumberFormat="1" applyFont="1" applyBorder="1" applyAlignment="1" applyProtection="1">
      <alignment horizontal="center" vertical="center"/>
    </xf>
    <xf numFmtId="165" fontId="4" fillId="0" borderId="35" xfId="0" applyNumberFormat="1" applyFont="1" applyBorder="1" applyAlignment="1" applyProtection="1">
      <alignment horizontal="center" vertical="center"/>
    </xf>
    <xf numFmtId="165" fontId="4" fillId="0" borderId="10" xfId="0" applyNumberFormat="1" applyFont="1" applyBorder="1" applyAlignment="1" applyProtection="1">
      <alignment horizontal="center" vertical="center"/>
    </xf>
    <xf numFmtId="165" fontId="4" fillId="0" borderId="12" xfId="0" applyNumberFormat="1" applyFont="1" applyBorder="1" applyAlignment="1" applyProtection="1">
      <alignment horizontal="center" vertical="center"/>
    </xf>
    <xf numFmtId="0" fontId="11" fillId="0" borderId="1" xfId="0" applyFont="1" applyBorder="1" applyAlignment="1">
      <alignment horizontal="center" vertical="center"/>
      <protection locked="0"/>
    </xf>
    <xf numFmtId="0" fontId="11" fillId="0" borderId="50" xfId="0" applyFont="1" applyBorder="1" applyAlignment="1">
      <alignment horizontal="center" vertical="center"/>
      <protection locked="0"/>
    </xf>
    <xf numFmtId="165" fontId="9" fillId="0" borderId="3" xfId="0" applyNumberFormat="1" applyFont="1" applyBorder="1" applyAlignment="1" applyProtection="1">
      <alignment horizontal="center" vertical="center"/>
    </xf>
    <xf numFmtId="165" fontId="9" fillId="0" borderId="21" xfId="0" applyNumberFormat="1" applyFont="1" applyBorder="1" applyAlignment="1" applyProtection="1">
      <alignment horizontal="center" vertical="center"/>
    </xf>
    <xf numFmtId="0" fontId="9" fillId="0" borderId="44" xfId="0" applyFont="1" applyBorder="1">
      <protection locked="0"/>
    </xf>
    <xf numFmtId="0" fontId="11" fillId="0" borderId="30" xfId="0" applyFont="1" applyBorder="1" applyAlignment="1">
      <alignment horizontal="center"/>
      <protection locked="0"/>
    </xf>
    <xf numFmtId="0" fontId="11" fillId="0" borderId="52" xfId="0" applyFont="1" applyBorder="1" applyAlignment="1">
      <alignment horizontal="center"/>
      <protection locked="0"/>
    </xf>
    <xf numFmtId="165" fontId="9" fillId="0" borderId="9" xfId="0" applyNumberFormat="1" applyFont="1" applyBorder="1" applyAlignment="1" applyProtection="1">
      <alignment horizontal="center" vertical="center"/>
    </xf>
    <xf numFmtId="165" fontId="9" fillId="0" borderId="35" xfId="0" applyNumberFormat="1" applyFont="1" applyBorder="1" applyAlignment="1" applyProtection="1">
      <alignment horizontal="center" vertical="center"/>
    </xf>
    <xf numFmtId="165" fontId="9" fillId="0" borderId="10" xfId="0" applyNumberFormat="1" applyFont="1" applyBorder="1" applyAlignment="1" applyProtection="1">
      <alignment horizontal="center" vertical="center"/>
    </xf>
    <xf numFmtId="165" fontId="9" fillId="0" borderId="12" xfId="0" applyNumberFormat="1" applyFont="1" applyBorder="1" applyAlignment="1" applyProtection="1">
      <alignment horizontal="center" vertical="center"/>
    </xf>
    <xf numFmtId="0" fontId="10" fillId="0" borderId="40" xfId="0" applyFont="1" applyBorder="1" applyAlignment="1">
      <alignment vertical="center"/>
      <protection locked="0"/>
    </xf>
    <xf numFmtId="165" fontId="9" fillId="0" borderId="22" xfId="0" applyNumberFormat="1" applyFont="1" applyBorder="1" applyAlignment="1" applyProtection="1">
      <alignment horizontal="center" vertical="center"/>
    </xf>
    <xf numFmtId="164" fontId="9" fillId="0" borderId="13" xfId="0" applyNumberFormat="1" applyFont="1" applyBorder="1" applyAlignment="1">
      <alignment horizontal="left" wrapText="1"/>
      <protection locked="0"/>
    </xf>
    <xf numFmtId="49" fontId="1" fillId="0" borderId="13" xfId="0" applyNumberFormat="1" applyFont="1" applyBorder="1" applyAlignment="1">
      <alignment horizontal="center"/>
      <protection locked="0"/>
    </xf>
    <xf numFmtId="49" fontId="1" fillId="0" borderId="14" xfId="0" applyNumberFormat="1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/>
      <protection locked="0"/>
    </xf>
    <xf numFmtId="49" fontId="4" fillId="0" borderId="13" xfId="0" applyNumberFormat="1" applyFont="1" applyBorder="1" applyAlignment="1">
      <alignment horizontal="center"/>
      <protection locked="0"/>
    </xf>
    <xf numFmtId="49" fontId="4" fillId="0" borderId="14" xfId="0" applyNumberFormat="1" applyFont="1" applyBorder="1" applyAlignment="1">
      <alignment horizontal="center"/>
      <protection locked="0"/>
    </xf>
    <xf numFmtId="165" fontId="2" fillId="0" borderId="0" xfId="0" applyNumberFormat="1" applyFont="1" applyAlignment="1">
      <alignment horizontal="center"/>
      <protection locked="0"/>
    </xf>
    <xf numFmtId="165" fontId="5" fillId="0" borderId="3" xfId="0" applyNumberFormat="1" applyFont="1" applyBorder="1" applyAlignment="1" applyProtection="1">
      <alignment horizontal="center" vertical="center"/>
    </xf>
    <xf numFmtId="165" fontId="5" fillId="0" borderId="20" xfId="0" applyNumberFormat="1" applyFont="1" applyBorder="1" applyAlignment="1" applyProtection="1">
      <alignment horizontal="center" vertical="center"/>
    </xf>
    <xf numFmtId="165" fontId="5" fillId="0" borderId="21" xfId="0" applyNumberFormat="1" applyFont="1" applyBorder="1" applyAlignment="1" applyProtection="1">
      <alignment horizontal="center" vertical="center"/>
    </xf>
    <xf numFmtId="165" fontId="5" fillId="0" borderId="22" xfId="0" applyNumberFormat="1" applyFont="1" applyBorder="1" applyAlignment="1" applyProtection="1">
      <alignment horizontal="center" vertical="center"/>
    </xf>
    <xf numFmtId="165" fontId="4" fillId="0" borderId="13" xfId="0" applyNumberFormat="1" applyFont="1" applyBorder="1" applyAlignment="1" applyProtection="1">
      <alignment horizontal="center" vertical="center"/>
    </xf>
    <xf numFmtId="165" fontId="4" fillId="0" borderId="49" xfId="0" applyNumberFormat="1" applyFont="1" applyBorder="1" applyAlignment="1" applyProtection="1">
      <alignment horizontal="center" vertical="center"/>
    </xf>
    <xf numFmtId="165" fontId="4" fillId="0" borderId="47" xfId="0" applyNumberFormat="1" applyFont="1" applyBorder="1" applyAlignment="1" applyProtection="1">
      <alignment horizontal="center" vertical="center"/>
    </xf>
    <xf numFmtId="165" fontId="9" fillId="0" borderId="20" xfId="0" applyNumberFormat="1" applyFont="1" applyBorder="1" applyAlignment="1" applyProtection="1">
      <alignment horizontal="center" vertical="center"/>
    </xf>
    <xf numFmtId="0" fontId="1" fillId="0" borderId="3" xfId="0" applyFont="1" applyBorder="1" applyAlignment="1">
      <alignment horizontal="center" vertical="center"/>
      <protection locked="0"/>
    </xf>
    <xf numFmtId="49" fontId="4" fillId="0" borderId="5" xfId="0" applyNumberFormat="1" applyFont="1" applyBorder="1" applyAlignment="1">
      <alignment horizontal="center" vertical="center"/>
      <protection locked="0"/>
    </xf>
    <xf numFmtId="165" fontId="7" fillId="0" borderId="22" xfId="0" applyNumberFormat="1" applyFont="1" applyBorder="1" applyAlignment="1" applyProtection="1">
      <alignment horizontal="center" vertical="center"/>
    </xf>
    <xf numFmtId="165" fontId="6" fillId="0" borderId="22" xfId="0" applyNumberFormat="1" applyFont="1" applyBorder="1" applyAlignment="1" applyProtection="1">
      <alignment horizontal="center" vertical="center"/>
    </xf>
    <xf numFmtId="0" fontId="16" fillId="0" borderId="3" xfId="0" applyFont="1" applyBorder="1" applyAlignment="1">
      <alignment horizontal="center"/>
      <protection locked="0"/>
    </xf>
    <xf numFmtId="164" fontId="7" fillId="0" borderId="1" xfId="0" applyNumberFormat="1" applyFont="1" applyBorder="1" applyAlignment="1">
      <alignment wrapText="1"/>
      <protection locked="0"/>
    </xf>
    <xf numFmtId="49" fontId="7" fillId="0" borderId="1" xfId="0" applyNumberFormat="1" applyFont="1" applyBorder="1" applyAlignment="1">
      <alignment horizontal="center" wrapText="1"/>
      <protection locked="0"/>
    </xf>
    <xf numFmtId="0" fontId="16" fillId="0" borderId="0" xfId="0" applyFont="1">
      <protection locked="0"/>
    </xf>
    <xf numFmtId="0" fontId="16" fillId="0" borderId="13" xfId="0" applyFont="1" applyBorder="1" applyAlignment="1">
      <alignment horizontal="center"/>
      <protection locked="0"/>
    </xf>
    <xf numFmtId="49" fontId="7" fillId="0" borderId="15" xfId="0" applyNumberFormat="1" applyFont="1" applyBorder="1" applyAlignment="1">
      <alignment horizontal="center" wrapText="1"/>
      <protection locked="0"/>
    </xf>
    <xf numFmtId="164" fontId="7" fillId="0" borderId="1" xfId="0" applyNumberFormat="1" applyFont="1" applyBorder="1" applyAlignment="1">
      <alignment horizontal="left" wrapText="1"/>
      <protection locked="0"/>
    </xf>
    <xf numFmtId="164" fontId="7" fillId="0" borderId="15" xfId="0" applyNumberFormat="1" applyFont="1" applyBorder="1" applyAlignment="1">
      <alignment wrapText="1"/>
      <protection locked="0"/>
    </xf>
    <xf numFmtId="0" fontId="16" fillId="0" borderId="3" xfId="0" applyFont="1" applyBorder="1" applyAlignment="1">
      <alignment horizontal="center" vertical="center"/>
      <protection locked="0"/>
    </xf>
    <xf numFmtId="49" fontId="7" fillId="0" borderId="5" xfId="0" applyNumberFormat="1" applyFont="1" applyBorder="1" applyAlignment="1">
      <alignment horizontal="center"/>
      <protection locked="0"/>
    </xf>
    <xf numFmtId="164" fontId="7" fillId="0" borderId="3" xfId="0" applyNumberFormat="1" applyFont="1" applyBorder="1" applyAlignment="1">
      <alignment wrapText="1"/>
      <protection locked="0"/>
    </xf>
    <xf numFmtId="0" fontId="16" fillId="0" borderId="14" xfId="0" applyFont="1" applyBorder="1" applyAlignment="1">
      <alignment horizontal="center"/>
      <protection locked="0"/>
    </xf>
    <xf numFmtId="164" fontId="7" fillId="0" borderId="5" xfId="0" applyNumberFormat="1" applyFont="1" applyBorder="1" applyAlignment="1">
      <alignment wrapText="1"/>
      <protection locked="0"/>
    </xf>
    <xf numFmtId="49" fontId="1" fillId="0" borderId="13" xfId="0" applyNumberFormat="1" applyFont="1" applyBorder="1" applyAlignment="1">
      <alignment horizontal="center" vertical="center"/>
      <protection locked="0"/>
    </xf>
    <xf numFmtId="0" fontId="13" fillId="0" borderId="0" xfId="0" applyFont="1" applyAlignment="1">
      <alignment horizontal="center" vertical="center"/>
      <protection locked="0"/>
    </xf>
    <xf numFmtId="164" fontId="14" fillId="0" borderId="40" xfId="0" applyNumberFormat="1" applyFont="1" applyBorder="1" applyAlignment="1">
      <alignment horizontal="center"/>
      <protection locked="0"/>
    </xf>
    <xf numFmtId="0" fontId="15" fillId="0" borderId="39" xfId="0" applyFont="1" applyBorder="1" applyAlignment="1">
      <alignment horizontal="center"/>
      <protection locked="0"/>
    </xf>
    <xf numFmtId="0" fontId="13" fillId="0" borderId="28" xfId="0" applyFont="1" applyBorder="1" applyAlignment="1">
      <alignment horizontal="center"/>
      <protection locked="0"/>
    </xf>
    <xf numFmtId="165" fontId="4" fillId="0" borderId="24" xfId="0" applyNumberFormat="1" applyFont="1" applyBorder="1" applyAlignment="1" applyProtection="1">
      <alignment horizontal="center" vertical="center"/>
    </xf>
    <xf numFmtId="165" fontId="4" fillId="0" borderId="56" xfId="0" applyNumberFormat="1" applyFont="1" applyBorder="1" applyAlignment="1" applyProtection="1">
      <alignment horizontal="center" vertical="center"/>
    </xf>
    <xf numFmtId="165" fontId="4" fillId="0" borderId="57" xfId="0" applyNumberFormat="1" applyFont="1" applyBorder="1" applyAlignment="1" applyProtection="1">
      <alignment horizontal="center" vertical="center"/>
    </xf>
    <xf numFmtId="165" fontId="4" fillId="0" borderId="25" xfId="0" applyNumberFormat="1" applyFont="1" applyBorder="1" applyAlignment="1" applyProtection="1">
      <alignment horizontal="center" vertical="center"/>
    </xf>
    <xf numFmtId="165" fontId="6" fillId="0" borderId="24" xfId="0" applyNumberFormat="1" applyFont="1" applyBorder="1" applyAlignment="1" applyProtection="1">
      <alignment horizontal="center" vertical="center"/>
    </xf>
    <xf numFmtId="165" fontId="6" fillId="0" borderId="56" xfId="0" applyNumberFormat="1" applyFont="1" applyBorder="1" applyAlignment="1" applyProtection="1">
      <alignment horizontal="center" vertical="center"/>
    </xf>
    <xf numFmtId="165" fontId="6" fillId="0" borderId="57" xfId="0" applyNumberFormat="1" applyFont="1" applyBorder="1" applyAlignment="1" applyProtection="1">
      <alignment horizontal="center" vertical="center"/>
    </xf>
    <xf numFmtId="165" fontId="6" fillId="0" borderId="25" xfId="0" applyNumberFormat="1" applyFont="1" applyBorder="1" applyAlignment="1" applyProtection="1">
      <alignment horizontal="center" vertical="center"/>
    </xf>
    <xf numFmtId="0" fontId="6" fillId="0" borderId="3" xfId="0" applyFont="1" applyBorder="1" applyAlignment="1">
      <alignment horizontal="center"/>
      <protection locked="0"/>
    </xf>
    <xf numFmtId="165" fontId="4" fillId="3" borderId="22" xfId="0" applyNumberFormat="1" applyFont="1" applyFill="1" applyBorder="1" applyAlignment="1" applyProtection="1">
      <alignment horizontal="center" vertical="center"/>
    </xf>
    <xf numFmtId="165" fontId="4" fillId="3" borderId="20" xfId="0" applyNumberFormat="1" applyFont="1" applyFill="1" applyBorder="1" applyAlignment="1" applyProtection="1">
      <alignment horizontal="center" vertical="center"/>
    </xf>
    <xf numFmtId="165" fontId="4" fillId="2" borderId="20" xfId="0" applyNumberFormat="1" applyFont="1" applyFill="1" applyBorder="1" applyAlignment="1" applyProtection="1">
      <alignment horizontal="center" vertical="center"/>
    </xf>
    <xf numFmtId="165" fontId="6" fillId="2" borderId="20" xfId="0" applyNumberFormat="1" applyFont="1" applyFill="1" applyBorder="1" applyAlignment="1" applyProtection="1">
      <alignment horizontal="center" vertical="center"/>
    </xf>
    <xf numFmtId="165" fontId="1" fillId="0" borderId="0" xfId="0" applyNumberFormat="1" applyFont="1" applyAlignment="1">
      <alignment horizontal="left"/>
      <protection locked="0"/>
    </xf>
    <xf numFmtId="165" fontId="5" fillId="2" borderId="3" xfId="0" applyNumberFormat="1" applyFont="1" applyFill="1" applyBorder="1" applyAlignment="1" applyProtection="1">
      <alignment horizontal="center" vertical="center"/>
    </xf>
    <xf numFmtId="164" fontId="5" fillId="2" borderId="1" xfId="0" applyNumberFormat="1" applyFont="1" applyFill="1" applyBorder="1" applyAlignment="1">
      <alignment vertical="center" wrapText="1"/>
      <protection locked="0"/>
    </xf>
    <xf numFmtId="49" fontId="5" fillId="2" borderId="5" xfId="0" applyNumberFormat="1" applyFont="1" applyFill="1" applyBorder="1" applyAlignment="1">
      <alignment horizontal="center" vertical="center"/>
      <protection locked="0"/>
    </xf>
    <xf numFmtId="49" fontId="4" fillId="2" borderId="5" xfId="0" applyNumberFormat="1" applyFont="1" applyFill="1" applyBorder="1" applyAlignment="1">
      <alignment horizontal="center" vertical="center"/>
      <protection locked="0"/>
    </xf>
    <xf numFmtId="164" fontId="5" fillId="2" borderId="5" xfId="0" applyNumberFormat="1" applyFont="1" applyFill="1" applyBorder="1" applyAlignment="1">
      <alignment vertical="center" wrapText="1"/>
      <protection locked="0"/>
    </xf>
    <xf numFmtId="164" fontId="5" fillId="2" borderId="3" xfId="0" applyNumberFormat="1" applyFont="1" applyFill="1" applyBorder="1" applyAlignment="1">
      <alignment vertical="center" wrapText="1"/>
      <protection locked="0"/>
    </xf>
    <xf numFmtId="49" fontId="4" fillId="2" borderId="1" xfId="0" applyNumberFormat="1" applyFont="1" applyFill="1" applyBorder="1" applyAlignment="1">
      <alignment horizontal="center" vertical="center" wrapText="1"/>
      <protection locked="0"/>
    </xf>
    <xf numFmtId="49" fontId="5" fillId="2" borderId="1" xfId="0" applyNumberFormat="1" applyFont="1" applyFill="1" applyBorder="1" applyAlignment="1">
      <alignment horizontal="center" vertical="center" wrapText="1"/>
      <protection locked="0"/>
    </xf>
    <xf numFmtId="164" fontId="5" fillId="2" borderId="15" xfId="0" applyNumberFormat="1" applyFont="1" applyFill="1" applyBorder="1" applyAlignment="1">
      <alignment vertical="center" wrapText="1"/>
      <protection locked="0"/>
    </xf>
    <xf numFmtId="164" fontId="5" fillId="2" borderId="1" xfId="0" applyNumberFormat="1" applyFont="1" applyFill="1" applyBorder="1" applyAlignment="1">
      <alignment horizontal="left" vertical="center" wrapText="1"/>
      <protection locked="0"/>
    </xf>
    <xf numFmtId="49" fontId="4" fillId="2" borderId="15" xfId="0" applyNumberFormat="1" applyFont="1" applyFill="1" applyBorder="1" applyAlignment="1">
      <alignment horizontal="center" vertical="center" wrapText="1"/>
      <protection locked="0"/>
    </xf>
    <xf numFmtId="49" fontId="4" fillId="0" borderId="3" xfId="0" applyNumberFormat="1" applyFont="1" applyBorder="1" applyAlignment="1">
      <alignment horizontal="center" vertical="center"/>
      <protection locked="0"/>
    </xf>
    <xf numFmtId="0" fontId="9" fillId="0" borderId="3" xfId="0" applyFont="1" applyBorder="1" applyAlignment="1">
      <alignment horizontal="left" vertical="center" wrapText="1"/>
      <protection locked="0"/>
    </xf>
    <xf numFmtId="0" fontId="3" fillId="2" borderId="3" xfId="0" applyFont="1" applyFill="1" applyBorder="1" applyAlignment="1">
      <alignment horizontal="center" vertical="center"/>
      <protection locked="0"/>
    </xf>
    <xf numFmtId="49" fontId="4" fillId="0" borderId="1" xfId="0" applyNumberFormat="1" applyFont="1" applyBorder="1" applyAlignment="1">
      <alignment horizontal="center" vertical="center" wrapText="1"/>
      <protection locked="0"/>
    </xf>
    <xf numFmtId="0" fontId="3" fillId="2" borderId="13" xfId="0" applyFont="1" applyFill="1" applyBorder="1" applyAlignment="1">
      <alignment horizontal="center" vertical="center"/>
      <protection locked="0"/>
    </xf>
    <xf numFmtId="165" fontId="4" fillId="5" borderId="3" xfId="0" applyNumberFormat="1" applyFont="1" applyFill="1" applyBorder="1" applyAlignment="1" applyProtection="1">
      <alignment horizontal="center" vertical="center"/>
    </xf>
    <xf numFmtId="0" fontId="5" fillId="0" borderId="4" xfId="0" applyFont="1" applyBorder="1" applyAlignment="1">
      <alignment horizontal="center"/>
      <protection locked="0"/>
    </xf>
    <xf numFmtId="165" fontId="5" fillId="0" borderId="4" xfId="0" applyNumberFormat="1" applyFont="1" applyBorder="1" applyAlignment="1" applyProtection="1">
      <alignment horizontal="center" vertical="center"/>
    </xf>
    <xf numFmtId="165" fontId="5" fillId="0" borderId="9" xfId="0" applyNumberFormat="1" applyFont="1" applyBorder="1" applyAlignment="1" applyProtection="1">
      <alignment horizontal="center" vertical="center"/>
    </xf>
    <xf numFmtId="49" fontId="4" fillId="0" borderId="24" xfId="0" applyNumberFormat="1" applyFont="1" applyBorder="1" applyAlignment="1">
      <alignment horizontal="center" vertical="center"/>
      <protection locked="0"/>
    </xf>
    <xf numFmtId="164" fontId="9" fillId="0" borderId="24" xfId="0" applyNumberFormat="1" applyFont="1" applyBorder="1" applyAlignment="1">
      <alignment horizontal="left" vertical="center" wrapText="1"/>
      <protection locked="0"/>
    </xf>
    <xf numFmtId="0" fontId="5" fillId="0" borderId="9" xfId="0" applyFont="1" applyBorder="1" applyAlignment="1">
      <alignment horizontal="center" vertical="center"/>
      <protection locked="0"/>
    </xf>
    <xf numFmtId="165" fontId="17" fillId="0" borderId="3" xfId="0" applyNumberFormat="1" applyFont="1" applyBorder="1" applyAlignment="1" applyProtection="1">
      <alignment horizontal="center" vertical="center"/>
    </xf>
    <xf numFmtId="0" fontId="1" fillId="0" borderId="0" xfId="0" applyFont="1" applyAlignment="1">
      <alignment horizontal="left" vertical="center"/>
      <protection locked="0"/>
    </xf>
    <xf numFmtId="0" fontId="5" fillId="4" borderId="42" xfId="0" applyFont="1" applyFill="1" applyBorder="1" applyAlignment="1">
      <alignment horizontal="center"/>
      <protection locked="0"/>
    </xf>
    <xf numFmtId="164" fontId="5" fillId="4" borderId="39" xfId="0" applyNumberFormat="1" applyFont="1" applyFill="1" applyBorder="1" applyAlignment="1">
      <alignment vertical="center"/>
      <protection locked="0"/>
    </xf>
    <xf numFmtId="164" fontId="5" fillId="4" borderId="39" xfId="0" applyNumberFormat="1" applyFont="1" applyFill="1" applyBorder="1" applyAlignment="1">
      <alignment horizontal="center"/>
      <protection locked="0"/>
    </xf>
    <xf numFmtId="165" fontId="5" fillId="4" borderId="42" xfId="0" applyNumberFormat="1" applyFont="1" applyFill="1" applyBorder="1" applyAlignment="1" applyProtection="1">
      <alignment horizontal="center" vertical="center"/>
    </xf>
    <xf numFmtId="0" fontId="12" fillId="0" borderId="60" xfId="0" applyFont="1" applyBorder="1" applyAlignment="1">
      <alignment wrapText="1"/>
      <protection locked="0"/>
    </xf>
    <xf numFmtId="0" fontId="12" fillId="0" borderId="61" xfId="0" applyFont="1" applyBorder="1" applyAlignment="1">
      <alignment wrapText="1"/>
      <protection locked="0"/>
    </xf>
    <xf numFmtId="0" fontId="5" fillId="0" borderId="9" xfId="0" applyFont="1" applyBorder="1" applyAlignment="1">
      <alignment horizontal="center"/>
      <protection locked="0"/>
    </xf>
    <xf numFmtId="0" fontId="10" fillId="4" borderId="40" xfId="0" applyFont="1" applyFill="1" applyBorder="1" applyAlignment="1">
      <alignment vertical="center"/>
      <protection locked="0"/>
    </xf>
    <xf numFmtId="0" fontId="10" fillId="4" borderId="39" xfId="0" applyFont="1" applyFill="1" applyBorder="1" applyAlignment="1">
      <alignment horizontal="center"/>
      <protection locked="0"/>
    </xf>
    <xf numFmtId="0" fontId="10" fillId="4" borderId="40" xfId="0" applyFont="1" applyFill="1" applyBorder="1" applyAlignment="1">
      <alignment horizontal="center"/>
      <protection locked="0"/>
    </xf>
    <xf numFmtId="165" fontId="18" fillId="0" borderId="9" xfId="0" applyNumberFormat="1" applyFont="1" applyBorder="1" applyAlignment="1" applyProtection="1">
      <alignment horizontal="center" vertical="center"/>
    </xf>
    <xf numFmtId="165" fontId="13" fillId="0" borderId="0" xfId="0" applyNumberFormat="1" applyFont="1">
      <protection locked="0"/>
    </xf>
    <xf numFmtId="49" fontId="4" fillId="0" borderId="13" xfId="0" applyNumberFormat="1" applyFont="1" applyBorder="1" applyAlignment="1">
      <alignment horizontal="center" vertical="center"/>
      <protection locked="0"/>
    </xf>
    <xf numFmtId="164" fontId="9" fillId="0" borderId="13" xfId="0" applyNumberFormat="1" applyFont="1" applyBorder="1" applyAlignment="1">
      <alignment horizontal="left" vertical="center" wrapText="1"/>
      <protection locked="0"/>
    </xf>
    <xf numFmtId="0" fontId="4" fillId="0" borderId="0" xfId="0" applyFont="1" applyAlignment="1">
      <alignment horizontal="center"/>
      <protection locked="0"/>
    </xf>
    <xf numFmtId="0" fontId="4" fillId="0" borderId="4" xfId="0" applyFont="1" applyBorder="1" applyAlignment="1">
      <alignment horizontal="center" vertical="center" wrapText="1"/>
      <protection locked="0"/>
    </xf>
    <xf numFmtId="0" fontId="4" fillId="2" borderId="14" xfId="0" applyFont="1" applyFill="1" applyBorder="1" applyAlignment="1">
      <alignment horizontal="center" vertical="center" wrapText="1"/>
      <protection locked="0"/>
    </xf>
    <xf numFmtId="0" fontId="4" fillId="0" borderId="5" xfId="0" applyFont="1" applyBorder="1" applyAlignment="1">
      <alignment horizontal="center" wrapText="1"/>
      <protection locked="0"/>
    </xf>
    <xf numFmtId="0" fontId="4" fillId="2" borderId="14" xfId="0" applyFont="1" applyFill="1" applyBorder="1" applyAlignment="1">
      <alignment horizontal="center" vertical="center"/>
      <protection locked="0"/>
    </xf>
    <xf numFmtId="0" fontId="4" fillId="0" borderId="5" xfId="0" applyFont="1" applyBorder="1" applyAlignment="1">
      <alignment horizontal="center"/>
      <protection locked="0"/>
    </xf>
    <xf numFmtId="0" fontId="4" fillId="2" borderId="3" xfId="0" applyFont="1" applyFill="1" applyBorder="1" applyAlignment="1">
      <alignment horizontal="center" vertical="center"/>
      <protection locked="0"/>
    </xf>
    <xf numFmtId="0" fontId="4" fillId="0" borderId="13" xfId="0" applyFont="1" applyBorder="1" applyAlignment="1">
      <alignment horizontal="center"/>
      <protection locked="0"/>
    </xf>
    <xf numFmtId="0" fontId="4" fillId="0" borderId="3" xfId="0" applyFont="1" applyBorder="1" applyAlignment="1">
      <alignment horizontal="center"/>
      <protection locked="0"/>
    </xf>
    <xf numFmtId="0" fontId="4" fillId="0" borderId="3" xfId="0" applyFont="1" applyBorder="1" applyAlignment="1">
      <alignment horizontal="center" vertical="center"/>
      <protection locked="0"/>
    </xf>
    <xf numFmtId="0" fontId="4" fillId="2" borderId="13" xfId="0" applyFont="1" applyFill="1" applyBorder="1" applyAlignment="1">
      <alignment horizontal="center" vertical="center"/>
      <protection locked="0"/>
    </xf>
    <xf numFmtId="0" fontId="4" fillId="4" borderId="39" xfId="0" applyFont="1" applyFill="1" applyBorder="1">
      <protection locked="0"/>
    </xf>
    <xf numFmtId="0" fontId="4" fillId="0" borderId="5" xfId="0" applyFont="1" applyBorder="1">
      <protection locked="0"/>
    </xf>
    <xf numFmtId="0" fontId="4" fillId="0" borderId="1" xfId="0" applyFont="1" applyBorder="1">
      <protection locked="0"/>
    </xf>
    <xf numFmtId="0" fontId="4" fillId="0" borderId="15" xfId="0" applyFont="1" applyBorder="1">
      <protection locked="0"/>
    </xf>
    <xf numFmtId="0" fontId="4" fillId="0" borderId="6" xfId="0" applyFont="1" applyBorder="1">
      <protection locked="0"/>
    </xf>
    <xf numFmtId="0" fontId="4" fillId="0" borderId="30" xfId="0" applyFont="1" applyBorder="1">
      <protection locked="0"/>
    </xf>
    <xf numFmtId="0" fontId="4" fillId="0" borderId="1" xfId="0" applyFont="1" applyBorder="1" applyAlignment="1">
      <alignment vertical="top"/>
      <protection locked="0"/>
    </xf>
    <xf numFmtId="0" fontId="4" fillId="0" borderId="32" xfId="0" applyFont="1" applyBorder="1">
      <protection locked="0"/>
    </xf>
    <xf numFmtId="165" fontId="4" fillId="0" borderId="6" xfId="0" applyNumberFormat="1" applyFont="1" applyBorder="1" applyAlignment="1" applyProtection="1">
      <alignment horizontal="center" vertical="center"/>
    </xf>
    <xf numFmtId="0" fontId="19" fillId="0" borderId="16" xfId="0" applyFont="1" applyBorder="1">
      <protection locked="0"/>
    </xf>
    <xf numFmtId="0" fontId="9" fillId="0" borderId="44" xfId="0" applyFont="1" applyBorder="1" applyAlignment="1">
      <alignment wrapText="1"/>
      <protection locked="0"/>
    </xf>
    <xf numFmtId="165" fontId="4" fillId="0" borderId="1" xfId="0" applyNumberFormat="1" applyFont="1" applyBorder="1" applyAlignment="1" applyProtection="1">
      <alignment horizontal="center" vertical="center"/>
    </xf>
    <xf numFmtId="165" fontId="9" fillId="0" borderId="1" xfId="0" applyNumberFormat="1" applyFont="1" applyBorder="1" applyAlignment="1" applyProtection="1">
      <alignment horizontal="center" vertical="center"/>
    </xf>
    <xf numFmtId="165" fontId="9" fillId="0" borderId="30" xfId="0" applyNumberFormat="1" applyFont="1" applyBorder="1" applyAlignment="1" applyProtection="1">
      <alignment horizontal="center" vertical="center"/>
    </xf>
    <xf numFmtId="49" fontId="4" fillId="0" borderId="13" xfId="0" applyNumberFormat="1" applyFont="1" applyBorder="1" applyAlignment="1">
      <alignment horizontal="center" vertical="center"/>
      <protection locked="0"/>
    </xf>
    <xf numFmtId="49" fontId="4" fillId="0" borderId="14" xfId="0" applyNumberFormat="1" applyFont="1" applyBorder="1" applyAlignment="1">
      <alignment horizontal="center" vertical="center"/>
      <protection locked="0"/>
    </xf>
    <xf numFmtId="164" fontId="9" fillId="0" borderId="13" xfId="0" applyNumberFormat="1" applyFont="1" applyBorder="1" applyAlignment="1">
      <alignment horizontal="left" vertical="center" wrapText="1"/>
      <protection locked="0"/>
    </xf>
    <xf numFmtId="164" fontId="9" fillId="0" borderId="14" xfId="0" applyNumberFormat="1" applyFont="1" applyBorder="1" applyAlignment="1">
      <alignment horizontal="left" vertical="center" wrapText="1"/>
      <protection locked="0"/>
    </xf>
    <xf numFmtId="49" fontId="4" fillId="0" borderId="13" xfId="0" applyNumberFormat="1" applyFont="1" applyBorder="1" applyAlignment="1">
      <alignment horizontal="center"/>
      <protection locked="0"/>
    </xf>
    <xf numFmtId="49" fontId="4" fillId="0" borderId="14" xfId="0" applyNumberFormat="1" applyFont="1" applyBorder="1" applyAlignment="1">
      <alignment horizontal="center"/>
      <protection locked="0"/>
    </xf>
    <xf numFmtId="164" fontId="9" fillId="0" borderId="13" xfId="0" applyNumberFormat="1" applyFont="1" applyBorder="1" applyAlignment="1">
      <alignment horizontal="left" wrapText="1"/>
      <protection locked="0"/>
    </xf>
    <xf numFmtId="164" fontId="9" fillId="0" borderId="14" xfId="0" applyNumberFormat="1" applyFont="1" applyBorder="1" applyAlignment="1">
      <alignment horizontal="left" wrapText="1"/>
      <protection locked="0"/>
    </xf>
    <xf numFmtId="0" fontId="5" fillId="0" borderId="58" xfId="0" applyFont="1" applyBorder="1" applyAlignment="1">
      <alignment horizontal="center"/>
      <protection locked="0"/>
    </xf>
    <xf numFmtId="0" fontId="5" fillId="0" borderId="59" xfId="0" applyFont="1" applyBorder="1" applyAlignment="1">
      <alignment horizontal="center"/>
      <protection locked="0"/>
    </xf>
    <xf numFmtId="49" fontId="4" fillId="0" borderId="24" xfId="0" applyNumberFormat="1" applyFont="1" applyBorder="1" applyAlignment="1">
      <alignment horizontal="center" vertical="center"/>
      <protection locked="0"/>
    </xf>
    <xf numFmtId="164" fontId="9" fillId="0" borderId="24" xfId="0" applyNumberFormat="1" applyFont="1" applyBorder="1" applyAlignment="1">
      <alignment horizontal="left" vertical="center" wrapText="1"/>
      <protection locked="0"/>
    </xf>
    <xf numFmtId="164" fontId="9" fillId="0" borderId="24" xfId="0" applyNumberFormat="1" applyFont="1" applyBorder="1" applyAlignment="1">
      <alignment horizontal="left" wrapText="1"/>
      <protection locked="0"/>
    </xf>
    <xf numFmtId="49" fontId="4" fillId="0" borderId="24" xfId="0" applyNumberFormat="1" applyFont="1" applyBorder="1" applyAlignment="1">
      <alignment horizontal="center"/>
      <protection locked="0"/>
    </xf>
    <xf numFmtId="0" fontId="1" fillId="0" borderId="11" xfId="0" applyFont="1" applyBorder="1" applyAlignment="1">
      <alignment horizontal="center"/>
      <protection locked="0"/>
    </xf>
    <xf numFmtId="0" fontId="1" fillId="0" borderId="60" xfId="0" applyFont="1" applyBorder="1" applyAlignment="1">
      <alignment horizontal="center"/>
      <protection locked="0"/>
    </xf>
    <xf numFmtId="0" fontId="1" fillId="0" borderId="49" xfId="0" applyFont="1" applyBorder="1" applyAlignment="1">
      <alignment horizontal="center"/>
      <protection locked="0"/>
    </xf>
    <xf numFmtId="0" fontId="1" fillId="0" borderId="55" xfId="0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/>
      <protection locked="0"/>
    </xf>
    <xf numFmtId="0" fontId="1" fillId="0" borderId="50" xfId="0" applyFont="1" applyBorder="1" applyAlignment="1">
      <alignment horizontal="center"/>
      <protection locked="0"/>
    </xf>
    <xf numFmtId="0" fontId="1" fillId="0" borderId="1" xfId="0" applyFont="1" applyBorder="1" applyAlignment="1">
      <alignment horizontal="center" vertical="center"/>
      <protection locked="0"/>
    </xf>
    <xf numFmtId="0" fontId="1" fillId="0" borderId="50" xfId="0" applyFont="1" applyBorder="1" applyAlignment="1">
      <alignment horizontal="center" vertical="center"/>
      <protection locked="0"/>
    </xf>
    <xf numFmtId="0" fontId="1" fillId="0" borderId="17" xfId="0" applyFont="1" applyBorder="1" applyAlignment="1">
      <alignment horizontal="center"/>
      <protection locked="0"/>
    </xf>
    <xf numFmtId="0" fontId="1" fillId="0" borderId="54" xfId="0" applyFont="1" applyBorder="1" applyAlignment="1">
      <alignment horizontal="center"/>
      <protection locked="0"/>
    </xf>
    <xf numFmtId="0" fontId="1" fillId="0" borderId="20" xfId="0" applyFont="1" applyBorder="1" applyAlignment="1">
      <alignment horizontal="center"/>
      <protection locked="0"/>
    </xf>
    <xf numFmtId="0" fontId="1" fillId="0" borderId="37" xfId="0" applyFont="1" applyBorder="1" applyAlignment="1">
      <alignment horizontal="center"/>
      <protection locked="0"/>
    </xf>
    <xf numFmtId="0" fontId="1" fillId="0" borderId="16" xfId="0" applyFont="1" applyBorder="1" applyAlignment="1">
      <alignment horizontal="center" vertical="center"/>
      <protection locked="0"/>
    </xf>
    <xf numFmtId="0" fontId="1" fillId="0" borderId="20" xfId="0" applyFont="1" applyBorder="1" applyAlignment="1">
      <alignment horizontal="center" vertical="center"/>
      <protection locked="0"/>
    </xf>
    <xf numFmtId="0" fontId="1" fillId="0" borderId="37" xfId="0" applyFont="1" applyBorder="1" applyAlignment="1">
      <alignment horizontal="center" vertical="center"/>
      <protection locked="0"/>
    </xf>
    <xf numFmtId="0" fontId="1" fillId="0" borderId="2" xfId="0" applyFont="1" applyBorder="1" applyAlignment="1">
      <alignment horizontal="center"/>
      <protection locked="0"/>
    </xf>
    <xf numFmtId="0" fontId="1" fillId="0" borderId="51" xfId="0" applyFont="1" applyBorder="1" applyAlignment="1">
      <alignment horizontal="center"/>
      <protection locked="0"/>
    </xf>
    <xf numFmtId="0" fontId="9" fillId="0" borderId="13" xfId="0" applyFont="1" applyBorder="1" applyAlignment="1">
      <alignment horizontal="left" vertical="center" wrapText="1"/>
      <protection locked="0"/>
    </xf>
    <xf numFmtId="0" fontId="9" fillId="0" borderId="24" xfId="0" applyFont="1" applyBorder="1" applyAlignment="1">
      <alignment horizontal="left" vertical="center" wrapText="1"/>
      <protection locked="0"/>
    </xf>
    <xf numFmtId="0" fontId="9" fillId="0" borderId="14" xfId="0" applyFont="1" applyBorder="1" applyAlignment="1">
      <alignment horizontal="left" vertical="center" wrapText="1"/>
      <protection locked="0"/>
    </xf>
    <xf numFmtId="49" fontId="4" fillId="0" borderId="3" xfId="0" applyNumberFormat="1" applyFont="1" applyBorder="1" applyAlignment="1">
      <alignment horizontal="center" vertical="center"/>
      <protection locked="0"/>
    </xf>
    <xf numFmtId="164" fontId="9" fillId="0" borderId="3" xfId="0" applyNumberFormat="1" applyFont="1" applyBorder="1" applyAlignment="1">
      <alignment horizontal="left" vertical="center" wrapText="1"/>
      <protection locked="0"/>
    </xf>
    <xf numFmtId="165" fontId="2" fillId="0" borderId="0" xfId="0" applyNumberFormat="1" applyFont="1" applyAlignment="1">
      <alignment horizontal="center"/>
      <protection locked="0"/>
    </xf>
    <xf numFmtId="0" fontId="3" fillId="0" borderId="23" xfId="0" applyFont="1" applyBorder="1" applyAlignment="1">
      <alignment horizontal="center" vertical="center" textRotation="90" wrapText="1"/>
      <protection locked="0"/>
    </xf>
    <xf numFmtId="0" fontId="3" fillId="0" borderId="24" xfId="0" applyFont="1" applyBorder="1" applyAlignment="1">
      <alignment horizontal="center" vertical="center" textRotation="90" wrapText="1"/>
      <protection locked="0"/>
    </xf>
    <xf numFmtId="0" fontId="3" fillId="0" borderId="26" xfId="0" applyFont="1" applyBorder="1" applyAlignment="1">
      <alignment horizontal="center" vertical="center" textRotation="90" wrapText="1"/>
      <protection locked="0"/>
    </xf>
    <xf numFmtId="0" fontId="3" fillId="0" borderId="6" xfId="0" applyFont="1" applyBorder="1" applyAlignment="1">
      <alignment horizontal="center" vertical="center" wrapText="1"/>
      <protection locked="0"/>
    </xf>
    <xf numFmtId="0" fontId="4" fillId="0" borderId="1" xfId="0" applyFont="1" applyBorder="1" applyAlignment="1">
      <alignment horizontal="center" vertical="center"/>
      <protection locked="0"/>
    </xf>
    <xf numFmtId="0" fontId="4" fillId="0" borderId="2" xfId="0" applyFont="1" applyBorder="1">
      <protection locked="0"/>
    </xf>
    <xf numFmtId="0" fontId="3" fillId="0" borderId="23" xfId="0" applyFont="1" applyBorder="1" applyAlignment="1">
      <alignment horizontal="center" vertical="center" wrapText="1"/>
      <protection locked="0"/>
    </xf>
    <xf numFmtId="0" fontId="3" fillId="0" borderId="24" xfId="0" applyFont="1" applyBorder="1" applyAlignment="1">
      <alignment horizontal="center" vertical="center" wrapText="1"/>
      <protection locked="0"/>
    </xf>
    <xf numFmtId="0" fontId="3" fillId="0" borderId="26" xfId="0" applyFont="1" applyBorder="1" applyAlignment="1">
      <alignment horizontal="center" vertical="center" wrapText="1"/>
      <protection locked="0"/>
    </xf>
    <xf numFmtId="0" fontId="8" fillId="0" borderId="23" xfId="0" applyFont="1" applyBorder="1" applyAlignment="1">
      <alignment horizontal="center" vertical="center" textRotation="90" wrapText="1"/>
      <protection locked="0"/>
    </xf>
    <xf numFmtId="0" fontId="8" fillId="0" borderId="24" xfId="0" applyFont="1" applyBorder="1" applyAlignment="1">
      <alignment horizontal="center" vertical="center" textRotation="90" wrapText="1"/>
      <protection locked="0"/>
    </xf>
    <xf numFmtId="0" fontId="8" fillId="0" borderId="26" xfId="0" applyFont="1" applyBorder="1" applyAlignment="1">
      <alignment horizontal="center" vertical="center" textRotation="90" wrapText="1"/>
      <protection locked="0"/>
    </xf>
    <xf numFmtId="165" fontId="3" fillId="0" borderId="4" xfId="0" applyNumberFormat="1" applyFont="1" applyBorder="1" applyAlignment="1">
      <alignment horizontal="center" vertical="center" wrapText="1"/>
      <protection locked="0"/>
    </xf>
    <xf numFmtId="165" fontId="4" fillId="0" borderId="3" xfId="0" applyNumberFormat="1" applyFont="1" applyBorder="1" applyAlignment="1">
      <alignment horizontal="center" vertical="center"/>
      <protection locked="0"/>
    </xf>
    <xf numFmtId="165" fontId="4" fillId="0" borderId="9" xfId="0" applyNumberFormat="1" applyFont="1" applyBorder="1">
      <protection locked="0"/>
    </xf>
    <xf numFmtId="49" fontId="1" fillId="0" borderId="13" xfId="0" applyNumberFormat="1" applyFont="1" applyBorder="1" applyAlignment="1">
      <alignment horizontal="center" vertical="center"/>
      <protection locked="0"/>
    </xf>
    <xf numFmtId="49" fontId="1" fillId="0" borderId="14" xfId="0" applyNumberFormat="1" applyFont="1" applyBorder="1" applyAlignment="1">
      <alignment horizontal="center" vertical="center"/>
      <protection locked="0"/>
    </xf>
    <xf numFmtId="49" fontId="1" fillId="0" borderId="13" xfId="0" applyNumberFormat="1" applyFont="1" applyBorder="1" applyAlignment="1">
      <alignment horizontal="center"/>
      <protection locked="0"/>
    </xf>
    <xf numFmtId="49" fontId="1" fillId="0" borderId="14" xfId="0" applyNumberFormat="1" applyFont="1" applyBorder="1" applyAlignment="1">
      <alignment horizontal="center"/>
      <protection locked="0"/>
    </xf>
    <xf numFmtId="49" fontId="1" fillId="0" borderId="24" xfId="0" applyNumberFormat="1" applyFont="1" applyBorder="1" applyAlignment="1">
      <alignment horizontal="center"/>
      <protection locked="0"/>
    </xf>
    <xf numFmtId="49" fontId="1" fillId="0" borderId="24" xfId="0" applyNumberFormat="1" applyFont="1" applyBorder="1" applyAlignment="1">
      <alignment horizontal="center" vertical="center"/>
      <protection locked="0"/>
    </xf>
    <xf numFmtId="49" fontId="1" fillId="0" borderId="3" xfId="0" applyNumberFormat="1" applyFont="1" applyBorder="1" applyAlignment="1">
      <alignment horizontal="center" vertical="center"/>
      <protection locked="0"/>
    </xf>
    <xf numFmtId="0" fontId="1" fillId="2" borderId="39" xfId="0" applyFont="1" applyFill="1" applyBorder="1" applyAlignment="1">
      <alignment horizontal="center" vertical="center"/>
      <protection locked="0"/>
    </xf>
    <xf numFmtId="0" fontId="1" fillId="2" borderId="40" xfId="0" applyFont="1" applyFill="1" applyBorder="1" applyAlignment="1">
      <alignment horizontal="center" vertical="center"/>
      <protection locked="0"/>
    </xf>
    <xf numFmtId="0" fontId="1" fillId="2" borderId="41" xfId="0" applyFont="1" applyFill="1" applyBorder="1" applyAlignment="1">
      <alignment horizontal="center" vertical="center"/>
      <protection locked="0"/>
    </xf>
    <xf numFmtId="165" fontId="1" fillId="0" borderId="39" xfId="0" applyNumberFormat="1" applyFont="1" applyBorder="1" applyAlignment="1">
      <alignment horizontal="center"/>
      <protection locked="0"/>
    </xf>
    <xf numFmtId="165" fontId="1" fillId="0" borderId="40" xfId="0" applyNumberFormat="1" applyFont="1" applyBorder="1" applyAlignment="1">
      <alignment horizontal="center"/>
      <protection locked="0"/>
    </xf>
    <xf numFmtId="165" fontId="1" fillId="0" borderId="41" xfId="0" applyNumberFormat="1" applyFont="1" applyBorder="1" applyAlignment="1">
      <alignment horizontal="center"/>
      <protection locked="0"/>
    </xf>
    <xf numFmtId="165" fontId="3" fillId="0" borderId="6" xfId="0" applyNumberFormat="1" applyFont="1" applyBorder="1" applyAlignment="1">
      <alignment horizontal="center" vertical="center" wrapText="1"/>
      <protection locked="0"/>
    </xf>
    <xf numFmtId="165" fontId="3" fillId="0" borderId="31" xfId="0" applyNumberFormat="1" applyFont="1" applyBorder="1" applyAlignment="1">
      <alignment horizontal="center" vertical="center" wrapText="1"/>
      <protection locked="0"/>
    </xf>
    <xf numFmtId="165" fontId="3" fillId="0" borderId="32" xfId="0" applyNumberFormat="1" applyFont="1" applyBorder="1" applyAlignment="1">
      <alignment horizontal="center" vertical="center" wrapText="1"/>
      <protection locked="0"/>
    </xf>
    <xf numFmtId="165" fontId="3" fillId="0" borderId="1" xfId="0" applyNumberFormat="1" applyFont="1" applyBorder="1" applyAlignment="1">
      <alignment horizontal="center" vertical="center"/>
      <protection locked="0"/>
    </xf>
    <xf numFmtId="165" fontId="3" fillId="0" borderId="33" xfId="0" applyNumberFormat="1" applyFont="1" applyBorder="1" applyAlignment="1">
      <alignment horizontal="center" vertical="center"/>
      <protection locked="0"/>
    </xf>
    <xf numFmtId="165" fontId="3" fillId="0" borderId="34" xfId="0" applyNumberFormat="1" applyFont="1" applyBorder="1" applyAlignment="1">
      <alignment horizontal="center" vertical="center" wrapText="1"/>
      <protection locked="0"/>
    </xf>
    <xf numFmtId="165" fontId="3" fillId="0" borderId="25" xfId="0" applyNumberFormat="1" applyFont="1" applyBorder="1" applyAlignment="1">
      <alignment horizontal="center" vertical="center" wrapText="1"/>
      <protection locked="0"/>
    </xf>
    <xf numFmtId="165" fontId="3" fillId="0" borderId="27" xfId="0" applyNumberFormat="1" applyFont="1" applyBorder="1" applyAlignment="1">
      <alignment horizontal="center" vertical="center" wrapText="1"/>
      <protection locked="0"/>
    </xf>
    <xf numFmtId="165" fontId="3" fillId="0" borderId="20" xfId="0" applyNumberFormat="1" applyFont="1" applyBorder="1" applyAlignment="1">
      <alignment horizontal="center" vertical="center"/>
      <protection locked="0"/>
    </xf>
    <xf numFmtId="165" fontId="4" fillId="0" borderId="35" xfId="0" applyNumberFormat="1" applyFont="1" applyBorder="1">
      <protection locked="0"/>
    </xf>
    <xf numFmtId="165" fontId="3" fillId="0" borderId="21" xfId="0" applyNumberFormat="1" applyFont="1" applyBorder="1" applyAlignment="1">
      <alignment horizontal="center" vertical="center" wrapText="1"/>
      <protection locked="0"/>
    </xf>
    <xf numFmtId="165" fontId="4" fillId="0" borderId="10" xfId="0" applyNumberFormat="1" applyFont="1" applyBorder="1">
      <protection locked="0"/>
    </xf>
    <xf numFmtId="0" fontId="1" fillId="0" borderId="39" xfId="0" applyFont="1" applyBorder="1" applyAlignment="1">
      <alignment horizontal="center" vertical="center"/>
      <protection locked="0"/>
    </xf>
    <xf numFmtId="0" fontId="1" fillId="0" borderId="40" xfId="0" applyFont="1" applyBorder="1" applyAlignment="1">
      <alignment horizontal="center" vertical="center"/>
      <protection locked="0"/>
    </xf>
    <xf numFmtId="0" fontId="1" fillId="0" borderId="41" xfId="0" applyFont="1" applyBorder="1" applyAlignment="1">
      <alignment horizontal="center" vertical="center"/>
      <protection locked="0"/>
    </xf>
    <xf numFmtId="164" fontId="9" fillId="0" borderId="26" xfId="0" applyNumberFormat="1" applyFont="1" applyBorder="1" applyAlignment="1">
      <alignment horizontal="left" vertical="center" wrapText="1"/>
      <protection locked="0"/>
    </xf>
    <xf numFmtId="49" fontId="4" fillId="0" borderId="26" xfId="0" applyNumberFormat="1" applyFont="1" applyBorder="1" applyAlignment="1">
      <alignment horizontal="center" vertical="center"/>
      <protection locked="0"/>
    </xf>
  </cellXfs>
  <cellStyles count="1">
    <cellStyle name="Įprastas" xfId="0" builtinId="0"/>
  </cellStyles>
  <dxfs count="2">
    <dxf>
      <font>
        <condense val="0"/>
        <extend val="0"/>
        <color indexed="9"/>
      </font>
    </dxf>
    <dxf>
      <font>
        <condense val="0"/>
        <extend val="0"/>
        <color indexed="9"/>
      </font>
    </dxf>
  </dxf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BDD4DC-5798-4284-8B6D-2DFFDC91C6F1}">
  <dimension ref="A1:G371"/>
  <sheetViews>
    <sheetView tabSelected="1" workbookViewId="0">
      <selection activeCell="A7" sqref="A7:G7"/>
    </sheetView>
  </sheetViews>
  <sheetFormatPr defaultColWidth="9.3828125" defaultRowHeight="12.9" x14ac:dyDescent="0.35"/>
  <cols>
    <col min="1" max="1" width="5.921875" style="206" customWidth="1"/>
    <col min="2" max="2" width="49.4609375" style="1" customWidth="1"/>
    <col min="3" max="3" width="7.3828125" style="8" customWidth="1"/>
    <col min="4" max="4" width="6.53515625" style="8" customWidth="1"/>
    <col min="5" max="7" width="14.84375" style="5" customWidth="1"/>
    <col min="8" max="16384" width="9.3828125" style="1"/>
  </cols>
  <sheetData>
    <row r="1" spans="1:7" x14ac:dyDescent="0.35">
      <c r="C1" s="5"/>
    </row>
    <row r="2" spans="1:7" x14ac:dyDescent="0.35">
      <c r="B2" s="1" t="s">
        <v>220</v>
      </c>
      <c r="C2" s="5"/>
    </row>
    <row r="3" spans="1:7" hidden="1" x14ac:dyDescent="0.35">
      <c r="C3" s="5"/>
      <c r="E3" s="1"/>
      <c r="F3" s="1"/>
      <c r="G3" s="1"/>
    </row>
    <row r="4" spans="1:7" hidden="1" x14ac:dyDescent="0.35">
      <c r="C4" s="5"/>
      <c r="E4" s="1"/>
      <c r="F4" s="1"/>
      <c r="G4" s="1"/>
    </row>
    <row r="5" spans="1:7" x14ac:dyDescent="0.35">
      <c r="C5" s="191"/>
    </row>
    <row r="6" spans="1:7" x14ac:dyDescent="0.35">
      <c r="E6" s="7"/>
      <c r="F6" s="7"/>
      <c r="G6" s="7"/>
    </row>
    <row r="7" spans="1:7" ht="17.25" customHeight="1" x14ac:dyDescent="0.35">
      <c r="A7" s="267" t="s">
        <v>334</v>
      </c>
      <c r="B7" s="267"/>
      <c r="C7" s="267"/>
      <c r="D7" s="267"/>
      <c r="E7" s="267"/>
      <c r="F7" s="267"/>
      <c r="G7" s="267"/>
    </row>
    <row r="8" spans="1:7" ht="13.3" customHeight="1" x14ac:dyDescent="0.35">
      <c r="B8" s="122"/>
      <c r="C8" s="122"/>
      <c r="D8" s="122"/>
      <c r="E8" s="122"/>
      <c r="F8" s="122"/>
      <c r="G8" s="122"/>
    </row>
    <row r="9" spans="1:7" ht="13.3" thickBot="1" x14ac:dyDescent="0.4"/>
    <row r="10" spans="1:7" s="2" customFormat="1" ht="14.25" customHeight="1" x14ac:dyDescent="0.3">
      <c r="A10" s="268" t="s">
        <v>99</v>
      </c>
      <c r="B10" s="271" t="s">
        <v>24</v>
      </c>
      <c r="C10" s="274" t="s">
        <v>6</v>
      </c>
      <c r="D10" s="277" t="s">
        <v>35</v>
      </c>
      <c r="E10" s="280" t="s">
        <v>337</v>
      </c>
      <c r="F10" s="280" t="s">
        <v>335</v>
      </c>
      <c r="G10" s="280" t="s">
        <v>336</v>
      </c>
    </row>
    <row r="11" spans="1:7" s="3" customFormat="1" ht="12" customHeight="1" x14ac:dyDescent="0.3">
      <c r="A11" s="269"/>
      <c r="B11" s="272"/>
      <c r="C11" s="275"/>
      <c r="D11" s="278"/>
      <c r="E11" s="281"/>
      <c r="F11" s="281"/>
      <c r="G11" s="281"/>
    </row>
    <row r="12" spans="1:7" ht="27.65" customHeight="1" thickBot="1" x14ac:dyDescent="0.35">
      <c r="A12" s="270"/>
      <c r="B12" s="273"/>
      <c r="C12" s="276"/>
      <c r="D12" s="279"/>
      <c r="E12" s="282"/>
      <c r="F12" s="282"/>
      <c r="G12" s="282"/>
    </row>
    <row r="13" spans="1:7" ht="9.65" customHeight="1" x14ac:dyDescent="0.3">
      <c r="A13" s="207">
        <v>1</v>
      </c>
      <c r="B13" s="31">
        <v>2</v>
      </c>
      <c r="C13" s="32">
        <v>3</v>
      </c>
      <c r="D13" s="32">
        <v>4</v>
      </c>
      <c r="E13" s="33">
        <v>5</v>
      </c>
      <c r="F13" s="33">
        <v>6</v>
      </c>
      <c r="G13" s="33">
        <v>7</v>
      </c>
    </row>
    <row r="14" spans="1:7" ht="19.3" customHeight="1" x14ac:dyDescent="0.3">
      <c r="A14" s="208"/>
      <c r="B14" s="168" t="s">
        <v>312</v>
      </c>
      <c r="C14" s="169" t="s">
        <v>173</v>
      </c>
      <c r="D14" s="170"/>
      <c r="E14" s="167">
        <f>E16</f>
        <v>123.27</v>
      </c>
      <c r="F14" s="167">
        <f>F16</f>
        <v>123.5</v>
      </c>
      <c r="G14" s="167">
        <f>G16</f>
        <v>128.97999999999999</v>
      </c>
    </row>
    <row r="15" spans="1:7" ht="11.4" customHeight="1" x14ac:dyDescent="0.35">
      <c r="A15" s="209"/>
      <c r="B15" s="4" t="s">
        <v>2</v>
      </c>
      <c r="C15" s="25"/>
      <c r="D15" s="25"/>
      <c r="E15" s="78"/>
      <c r="F15" s="78"/>
      <c r="G15" s="78"/>
    </row>
    <row r="16" spans="1:7" ht="17.25" customHeight="1" x14ac:dyDescent="0.35">
      <c r="A16" s="25" t="s">
        <v>22</v>
      </c>
      <c r="B16" s="26" t="s">
        <v>34</v>
      </c>
      <c r="C16" s="25" t="s">
        <v>21</v>
      </c>
      <c r="D16" s="25" t="s">
        <v>125</v>
      </c>
      <c r="E16" s="78">
        <v>123.27</v>
      </c>
      <c r="F16" s="78">
        <f>122.99+0.51</f>
        <v>123.5</v>
      </c>
      <c r="G16" s="78">
        <v>128.97999999999999</v>
      </c>
    </row>
    <row r="17" spans="1:7" ht="18" customHeight="1" x14ac:dyDescent="0.3">
      <c r="A17" s="210"/>
      <c r="B17" s="171" t="s">
        <v>313</v>
      </c>
      <c r="C17" s="169" t="s">
        <v>174</v>
      </c>
      <c r="D17" s="169"/>
      <c r="E17" s="167">
        <f>SUM(E19:E56)</f>
        <v>25556.146000000004</v>
      </c>
      <c r="F17" s="167">
        <f>SUM(F19:F56)</f>
        <v>31795.179000000004</v>
      </c>
      <c r="G17" s="167">
        <f>SUM(G19:G56)</f>
        <v>28521.250000000004</v>
      </c>
    </row>
    <row r="18" spans="1:7" x14ac:dyDescent="0.35">
      <c r="A18" s="211"/>
      <c r="B18" s="4" t="s">
        <v>2</v>
      </c>
      <c r="C18" s="25"/>
      <c r="D18" s="37"/>
      <c r="E18" s="78"/>
      <c r="F18" s="78"/>
      <c r="G18" s="78"/>
    </row>
    <row r="19" spans="1:7" x14ac:dyDescent="0.35">
      <c r="A19" s="235" t="s">
        <v>22</v>
      </c>
      <c r="B19" s="237" t="s">
        <v>34</v>
      </c>
      <c r="C19" s="25" t="s">
        <v>143</v>
      </c>
      <c r="D19" s="25" t="s">
        <v>125</v>
      </c>
      <c r="E19" s="78">
        <f>4952.076+20.214+60</f>
        <v>5032.29</v>
      </c>
      <c r="F19" s="78">
        <f>342.84-0.51+3215.74+9.71+50.7+13.77+16.39+227.07+2+949.26</f>
        <v>4826.9699999999993</v>
      </c>
      <c r="G19" s="78">
        <f>359.01+3365.1+10.19+52.99+14.46+17.2+237.69+2+922.36</f>
        <v>4980.9999999999991</v>
      </c>
    </row>
    <row r="20" spans="1:7" x14ac:dyDescent="0.35">
      <c r="A20" s="244"/>
      <c r="B20" s="243"/>
      <c r="C20" s="25" t="s">
        <v>144</v>
      </c>
      <c r="D20" s="25" t="s">
        <v>38</v>
      </c>
      <c r="E20" s="78">
        <v>247.48500000000001</v>
      </c>
      <c r="F20" s="78">
        <v>247.48500000000001</v>
      </c>
      <c r="G20" s="78">
        <v>247.48500000000001</v>
      </c>
    </row>
    <row r="21" spans="1:7" ht="13" customHeight="1" x14ac:dyDescent="0.35">
      <c r="A21" s="244"/>
      <c r="B21" s="243"/>
      <c r="C21" s="25" t="s">
        <v>212</v>
      </c>
      <c r="D21" s="25" t="s">
        <v>187</v>
      </c>
      <c r="E21" s="78">
        <v>0.16</v>
      </c>
      <c r="F21" s="78"/>
      <c r="G21" s="78"/>
    </row>
    <row r="22" spans="1:7" x14ac:dyDescent="0.35">
      <c r="A22" s="236"/>
      <c r="B22" s="238"/>
      <c r="C22" s="25" t="s">
        <v>145</v>
      </c>
      <c r="D22" s="25" t="s">
        <v>137</v>
      </c>
      <c r="E22" s="78">
        <v>24.818999999999999</v>
      </c>
      <c r="F22" s="78">
        <v>24.818999999999999</v>
      </c>
      <c r="G22" s="78">
        <v>24.818999999999999</v>
      </c>
    </row>
    <row r="23" spans="1:7" x14ac:dyDescent="0.35">
      <c r="A23" s="235" t="s">
        <v>25</v>
      </c>
      <c r="B23" s="237" t="s">
        <v>41</v>
      </c>
      <c r="C23" s="25" t="s">
        <v>146</v>
      </c>
      <c r="D23" s="25" t="s">
        <v>125</v>
      </c>
      <c r="E23" s="78">
        <v>512.73099999999999</v>
      </c>
      <c r="F23" s="78">
        <f>30.02+18.2+3.3+1+265.6+90.5+2.415</f>
        <v>411.03500000000003</v>
      </c>
      <c r="G23" s="78">
        <f>33.09+19.2+3.3+1+278.9+90</f>
        <v>425.49</v>
      </c>
    </row>
    <row r="24" spans="1:7" x14ac:dyDescent="0.35">
      <c r="A24" s="244"/>
      <c r="B24" s="243"/>
      <c r="C24" s="25" t="s">
        <v>147</v>
      </c>
      <c r="D24" s="25" t="s">
        <v>137</v>
      </c>
      <c r="E24" s="78">
        <v>139.04</v>
      </c>
      <c r="F24" s="78">
        <v>143.16</v>
      </c>
      <c r="G24" s="78">
        <v>143.16</v>
      </c>
    </row>
    <row r="25" spans="1:7" x14ac:dyDescent="0.35">
      <c r="A25" s="244"/>
      <c r="B25" s="243"/>
      <c r="C25" s="25" t="s">
        <v>148</v>
      </c>
      <c r="D25" s="25" t="s">
        <v>187</v>
      </c>
      <c r="E25" s="78">
        <v>216.92599999999999</v>
      </c>
      <c r="F25" s="78">
        <v>706.81899999999996</v>
      </c>
      <c r="G25" s="78"/>
    </row>
    <row r="26" spans="1:7" x14ac:dyDescent="0.35">
      <c r="A26" s="236"/>
      <c r="B26" s="238"/>
      <c r="C26" s="25" t="s">
        <v>149</v>
      </c>
      <c r="D26" s="25" t="s">
        <v>49</v>
      </c>
      <c r="E26" s="78">
        <v>69</v>
      </c>
      <c r="F26" s="78">
        <v>6.2</v>
      </c>
      <c r="G26" s="78">
        <v>6.2</v>
      </c>
    </row>
    <row r="27" spans="1:7" x14ac:dyDescent="0.35">
      <c r="A27" s="235" t="s">
        <v>31</v>
      </c>
      <c r="B27" s="237" t="s">
        <v>308</v>
      </c>
      <c r="C27" s="25" t="s">
        <v>150</v>
      </c>
      <c r="D27" s="25" t="s">
        <v>125</v>
      </c>
      <c r="E27" s="78">
        <v>1780.3710000000001</v>
      </c>
      <c r="F27" s="78">
        <f>1551.9+50.603</f>
        <v>1602.5030000000002</v>
      </c>
      <c r="G27" s="78">
        <f>1556.9+40.004</f>
        <v>1596.904</v>
      </c>
    </row>
    <row r="28" spans="1:7" x14ac:dyDescent="0.35">
      <c r="A28" s="244"/>
      <c r="B28" s="243"/>
      <c r="C28" s="25" t="s">
        <v>151</v>
      </c>
      <c r="D28" s="25" t="s">
        <v>49</v>
      </c>
      <c r="E28" s="78">
        <v>30.15</v>
      </c>
      <c r="F28" s="78">
        <v>32.630000000000003</v>
      </c>
      <c r="G28" s="78">
        <v>35.299999999999997</v>
      </c>
    </row>
    <row r="29" spans="1:7" ht="13" hidden="1" customHeight="1" x14ac:dyDescent="0.35">
      <c r="A29" s="244"/>
      <c r="B29" s="243"/>
      <c r="C29" s="25" t="s">
        <v>150</v>
      </c>
      <c r="D29" s="25" t="s">
        <v>137</v>
      </c>
      <c r="E29" s="78"/>
      <c r="F29" s="78"/>
      <c r="G29" s="78"/>
    </row>
    <row r="30" spans="1:7" ht="13" hidden="1" customHeight="1" x14ac:dyDescent="0.35">
      <c r="A30" s="236"/>
      <c r="B30" s="238"/>
      <c r="C30" s="25"/>
      <c r="D30" s="25" t="s">
        <v>187</v>
      </c>
      <c r="E30" s="78"/>
      <c r="F30" s="78"/>
      <c r="G30" s="78"/>
    </row>
    <row r="31" spans="1:7" ht="26.4" customHeight="1" x14ac:dyDescent="0.3">
      <c r="A31" s="235" t="s">
        <v>30</v>
      </c>
      <c r="B31" s="237" t="s">
        <v>43</v>
      </c>
      <c r="C31" s="132" t="s">
        <v>152</v>
      </c>
      <c r="D31" s="132" t="s">
        <v>125</v>
      </c>
      <c r="E31" s="78">
        <f>202.7+15</f>
        <v>217.7</v>
      </c>
      <c r="F31" s="78">
        <v>197.5</v>
      </c>
      <c r="G31" s="78">
        <v>197.5</v>
      </c>
    </row>
    <row r="32" spans="1:7" ht="13" hidden="1" customHeight="1" x14ac:dyDescent="0.35">
      <c r="A32" s="236"/>
      <c r="B32" s="238"/>
      <c r="C32" s="25" t="s">
        <v>152</v>
      </c>
      <c r="D32" s="132" t="s">
        <v>137</v>
      </c>
      <c r="E32" s="78"/>
      <c r="F32" s="78"/>
      <c r="G32" s="78"/>
    </row>
    <row r="33" spans="1:7" x14ac:dyDescent="0.35">
      <c r="A33" s="235" t="s">
        <v>39</v>
      </c>
      <c r="B33" s="237" t="s">
        <v>124</v>
      </c>
      <c r="C33" s="25" t="s">
        <v>153</v>
      </c>
      <c r="D33" s="25" t="s">
        <v>125</v>
      </c>
      <c r="E33" s="78">
        <v>626.46</v>
      </c>
      <c r="F33" s="78">
        <v>574.01</v>
      </c>
      <c r="G33" s="78">
        <v>350.75</v>
      </c>
    </row>
    <row r="34" spans="1:7" x14ac:dyDescent="0.35">
      <c r="A34" s="244"/>
      <c r="B34" s="243"/>
      <c r="C34" s="25" t="s">
        <v>154</v>
      </c>
      <c r="D34" s="25" t="s">
        <v>187</v>
      </c>
      <c r="E34" s="78">
        <v>10</v>
      </c>
      <c r="F34" s="78">
        <v>28.741</v>
      </c>
      <c r="G34" s="78">
        <v>28.741</v>
      </c>
    </row>
    <row r="35" spans="1:7" x14ac:dyDescent="0.35">
      <c r="A35" s="236"/>
      <c r="B35" s="238"/>
      <c r="C35" s="25" t="s">
        <v>155</v>
      </c>
      <c r="D35" s="25" t="s">
        <v>137</v>
      </c>
      <c r="E35" s="78">
        <v>13.824999999999999</v>
      </c>
      <c r="F35" s="78">
        <v>13.824999999999999</v>
      </c>
      <c r="G35" s="78">
        <v>13.824999999999999</v>
      </c>
    </row>
    <row r="36" spans="1:7" x14ac:dyDescent="0.35">
      <c r="A36" s="235" t="s">
        <v>23</v>
      </c>
      <c r="B36" s="237" t="s">
        <v>44</v>
      </c>
      <c r="C36" s="25" t="s">
        <v>156</v>
      </c>
      <c r="D36" s="25" t="s">
        <v>125</v>
      </c>
      <c r="E36" s="78">
        <f>3504.151+157.548</f>
        <v>3661.6989999999996</v>
      </c>
      <c r="F36" s="78">
        <f>2176.93+160.2+29+53.25+554.72+301.042</f>
        <v>3275.1419999999994</v>
      </c>
      <c r="G36" s="78">
        <f>2176.93+160.4+29+53.25+557.62+0.826</f>
        <v>2978.0259999999998</v>
      </c>
    </row>
    <row r="37" spans="1:7" x14ac:dyDescent="0.35">
      <c r="A37" s="244"/>
      <c r="B37" s="243"/>
      <c r="C37" s="25" t="s">
        <v>104</v>
      </c>
      <c r="D37" s="25" t="s">
        <v>38</v>
      </c>
      <c r="E37" s="78">
        <v>367.81200000000001</v>
      </c>
      <c r="F37" s="78">
        <v>367.81200000000001</v>
      </c>
      <c r="G37" s="78">
        <v>367.81200000000001</v>
      </c>
    </row>
    <row r="38" spans="1:7" x14ac:dyDescent="0.35">
      <c r="A38" s="244"/>
      <c r="B38" s="243"/>
      <c r="C38" s="25" t="s">
        <v>129</v>
      </c>
      <c r="D38" s="25" t="s">
        <v>187</v>
      </c>
      <c r="E38" s="78">
        <f>105.586+9.413</f>
        <v>114.999</v>
      </c>
      <c r="F38" s="78">
        <v>247.16200000000001</v>
      </c>
      <c r="G38" s="78">
        <v>31.617000000000001</v>
      </c>
    </row>
    <row r="39" spans="1:7" x14ac:dyDescent="0.35">
      <c r="A39" s="236"/>
      <c r="B39" s="238"/>
      <c r="C39" s="25" t="s">
        <v>130</v>
      </c>
      <c r="D39" s="25" t="s">
        <v>137</v>
      </c>
      <c r="E39" s="78">
        <f>34.958+79.571</f>
        <v>114.529</v>
      </c>
      <c r="F39" s="78">
        <f>34.518+79.571</f>
        <v>114.089</v>
      </c>
      <c r="G39" s="78">
        <f>34.518+79.571</f>
        <v>114.089</v>
      </c>
    </row>
    <row r="40" spans="1:7" x14ac:dyDescent="0.35">
      <c r="A40" s="235" t="s">
        <v>33</v>
      </c>
      <c r="B40" s="237" t="s">
        <v>45</v>
      </c>
      <c r="C40" s="25" t="s">
        <v>132</v>
      </c>
      <c r="D40" s="25" t="s">
        <v>125</v>
      </c>
      <c r="E40" s="78">
        <v>62.98</v>
      </c>
      <c r="F40" s="78">
        <f>32+8.85</f>
        <v>40.85</v>
      </c>
      <c r="G40" s="78">
        <f>33+0.3</f>
        <v>33.299999999999997</v>
      </c>
    </row>
    <row r="41" spans="1:7" x14ac:dyDescent="0.35">
      <c r="A41" s="244"/>
      <c r="B41" s="243"/>
      <c r="C41" s="25" t="s">
        <v>136</v>
      </c>
      <c r="D41" s="25" t="s">
        <v>38</v>
      </c>
      <c r="E41" s="78">
        <f>219.38+3.5</f>
        <v>222.88</v>
      </c>
      <c r="F41" s="78">
        <f>223.08+3.5</f>
        <v>226.58</v>
      </c>
      <c r="G41" s="78">
        <f>226.78+3.5</f>
        <v>230.28</v>
      </c>
    </row>
    <row r="42" spans="1:7" x14ac:dyDescent="0.35">
      <c r="A42" s="244"/>
      <c r="B42" s="243"/>
      <c r="C42" s="25" t="s">
        <v>197</v>
      </c>
      <c r="D42" s="40" t="s">
        <v>50</v>
      </c>
      <c r="E42" s="78">
        <v>25.306999999999999</v>
      </c>
      <c r="F42" s="78">
        <v>11.2</v>
      </c>
      <c r="G42" s="78">
        <v>11.2</v>
      </c>
    </row>
    <row r="43" spans="1:7" ht="13" hidden="1" customHeight="1" x14ac:dyDescent="0.35">
      <c r="A43" s="244"/>
      <c r="B43" s="243"/>
      <c r="C43" s="25" t="s">
        <v>197</v>
      </c>
      <c r="D43" s="40" t="s">
        <v>137</v>
      </c>
      <c r="E43" s="78"/>
      <c r="F43" s="78"/>
      <c r="G43" s="78"/>
    </row>
    <row r="44" spans="1:7" x14ac:dyDescent="0.35">
      <c r="A44" s="236"/>
      <c r="B44" s="238"/>
      <c r="C44" s="25" t="s">
        <v>198</v>
      </c>
      <c r="D44" s="40" t="s">
        <v>187</v>
      </c>
      <c r="E44" s="78">
        <v>115.294</v>
      </c>
      <c r="F44" s="78">
        <v>490.61599999999999</v>
      </c>
      <c r="G44" s="78">
        <v>130.40899999999999</v>
      </c>
    </row>
    <row r="45" spans="1:7" x14ac:dyDescent="0.35">
      <c r="A45" s="235" t="s">
        <v>32</v>
      </c>
      <c r="B45" s="237" t="s">
        <v>46</v>
      </c>
      <c r="C45" s="25" t="s">
        <v>199</v>
      </c>
      <c r="D45" s="25" t="s">
        <v>125</v>
      </c>
      <c r="E45" s="78">
        <v>4552.6809999999996</v>
      </c>
      <c r="F45" s="78">
        <f>1992.62+1502.47+318.27+728.06+24.054</f>
        <v>4565.4740000000002</v>
      </c>
      <c r="G45" s="78">
        <f>2082.17+1548.84+327.82+488.43</f>
        <v>4447.26</v>
      </c>
    </row>
    <row r="46" spans="1:7" x14ac:dyDescent="0.35">
      <c r="A46" s="244"/>
      <c r="B46" s="243"/>
      <c r="C46" s="25" t="s">
        <v>201</v>
      </c>
      <c r="D46" s="25" t="s">
        <v>50</v>
      </c>
      <c r="E46" s="78">
        <v>103.02</v>
      </c>
      <c r="F46" s="78">
        <v>46.8</v>
      </c>
      <c r="G46" s="78">
        <v>46.8</v>
      </c>
    </row>
    <row r="47" spans="1:7" ht="13" customHeight="1" x14ac:dyDescent="0.35">
      <c r="A47" s="244"/>
      <c r="B47" s="243"/>
      <c r="C47" s="25" t="s">
        <v>202</v>
      </c>
      <c r="D47" s="25" t="s">
        <v>187</v>
      </c>
      <c r="E47" s="78"/>
      <c r="F47" s="78">
        <v>1038.731</v>
      </c>
      <c r="G47" s="78">
        <v>300.80700000000002</v>
      </c>
    </row>
    <row r="48" spans="1:7" ht="13" hidden="1" customHeight="1" x14ac:dyDescent="0.35">
      <c r="A48" s="236"/>
      <c r="B48" s="238"/>
      <c r="C48" s="25" t="s">
        <v>202</v>
      </c>
      <c r="D48" s="25" t="s">
        <v>137</v>
      </c>
      <c r="E48" s="78"/>
      <c r="F48" s="78"/>
      <c r="G48" s="78"/>
    </row>
    <row r="49" spans="1:7" x14ac:dyDescent="0.35">
      <c r="A49" s="235" t="s">
        <v>40</v>
      </c>
      <c r="B49" s="237" t="s">
        <v>47</v>
      </c>
      <c r="C49" s="25" t="s">
        <v>205</v>
      </c>
      <c r="D49" s="25" t="s">
        <v>125</v>
      </c>
      <c r="E49" s="78">
        <v>2187.8879999999999</v>
      </c>
      <c r="F49" s="78">
        <f>951.2+565.83</f>
        <v>1517.0300000000002</v>
      </c>
      <c r="G49" s="78">
        <f>651.65+772.727</f>
        <v>1424.377</v>
      </c>
    </row>
    <row r="50" spans="1:7" ht="12.55" customHeight="1" x14ac:dyDescent="0.35">
      <c r="A50" s="244"/>
      <c r="B50" s="243"/>
      <c r="C50" s="25" t="s">
        <v>338</v>
      </c>
      <c r="D50" s="25" t="s">
        <v>38</v>
      </c>
      <c r="E50" s="78">
        <v>89.81</v>
      </c>
      <c r="F50" s="78">
        <v>89.81</v>
      </c>
      <c r="G50" s="78">
        <v>89.81</v>
      </c>
    </row>
    <row r="51" spans="1:7" x14ac:dyDescent="0.35">
      <c r="A51" s="244"/>
      <c r="B51" s="243"/>
      <c r="C51" s="25" t="s">
        <v>208</v>
      </c>
      <c r="D51" s="25" t="s">
        <v>187</v>
      </c>
      <c r="E51" s="78"/>
      <c r="F51" s="78">
        <v>3634.6860000000001</v>
      </c>
      <c r="G51" s="78">
        <v>2904.4560000000001</v>
      </c>
    </row>
    <row r="52" spans="1:7" ht="13" customHeight="1" x14ac:dyDescent="0.35">
      <c r="A52" s="244"/>
      <c r="B52" s="243"/>
      <c r="C52" s="25" t="s">
        <v>216</v>
      </c>
      <c r="D52" s="25" t="s">
        <v>137</v>
      </c>
      <c r="E52" s="78">
        <v>25.212</v>
      </c>
      <c r="F52" s="78"/>
      <c r="G52" s="78"/>
    </row>
    <row r="53" spans="1:7" ht="13" hidden="1" customHeight="1" x14ac:dyDescent="0.35">
      <c r="A53" s="236"/>
      <c r="B53" s="238"/>
      <c r="C53" s="25" t="s">
        <v>208</v>
      </c>
      <c r="D53" s="25" t="s">
        <v>103</v>
      </c>
      <c r="E53" s="78"/>
      <c r="F53" s="78"/>
      <c r="G53" s="78"/>
    </row>
    <row r="54" spans="1:7" x14ac:dyDescent="0.35">
      <c r="A54" s="235" t="s">
        <v>7</v>
      </c>
      <c r="B54" s="237" t="s">
        <v>48</v>
      </c>
      <c r="C54" s="25" t="s">
        <v>217</v>
      </c>
      <c r="D54" s="25" t="s">
        <v>125</v>
      </c>
      <c r="E54" s="78">
        <f>3661.378-60</f>
        <v>3601.3780000000002</v>
      </c>
      <c r="F54" s="78">
        <f>95.13+3.1+2841.82+100+407.794</f>
        <v>3447.8440000000001</v>
      </c>
      <c r="G54" s="78">
        <f>97.98+3.18+3356.88+100+386.108</f>
        <v>3944.1480000000001</v>
      </c>
    </row>
    <row r="55" spans="1:7" x14ac:dyDescent="0.35">
      <c r="A55" s="244"/>
      <c r="B55" s="243"/>
      <c r="C55" s="25" t="s">
        <v>218</v>
      </c>
      <c r="D55" s="25" t="s">
        <v>137</v>
      </c>
      <c r="E55" s="78">
        <f>200+68+1121.7</f>
        <v>1389.7</v>
      </c>
      <c r="F55" s="78">
        <v>1121.7</v>
      </c>
      <c r="G55" s="78">
        <v>1121.7</v>
      </c>
    </row>
    <row r="56" spans="1:7" x14ac:dyDescent="0.35">
      <c r="A56" s="236"/>
      <c r="B56" s="238"/>
      <c r="C56" s="25" t="s">
        <v>263</v>
      </c>
      <c r="D56" s="25" t="s">
        <v>187</v>
      </c>
      <c r="E56" s="78"/>
      <c r="F56" s="78">
        <v>2743.9560000000001</v>
      </c>
      <c r="G56" s="78">
        <v>2293.9850000000001</v>
      </c>
    </row>
    <row r="57" spans="1:7" ht="16.75" customHeight="1" x14ac:dyDescent="0.3">
      <c r="A57" s="212"/>
      <c r="B57" s="172" t="s">
        <v>314</v>
      </c>
      <c r="C57" s="180" t="s">
        <v>175</v>
      </c>
      <c r="D57" s="173"/>
      <c r="E57" s="167">
        <f>SUM(E60:E70)</f>
        <v>2436.7490000000003</v>
      </c>
      <c r="F57" s="167">
        <f>SUM(F60:F70)</f>
        <v>1665.24</v>
      </c>
      <c r="G57" s="167">
        <f>SUM(G60:G70)</f>
        <v>1686.8799999999999</v>
      </c>
    </row>
    <row r="58" spans="1:7" x14ac:dyDescent="0.35">
      <c r="A58" s="211"/>
      <c r="B58" s="4" t="s">
        <v>2</v>
      </c>
      <c r="C58" s="119"/>
      <c r="D58" s="27"/>
      <c r="E58" s="78"/>
      <c r="F58" s="78"/>
      <c r="G58" s="78"/>
    </row>
    <row r="59" spans="1:7" ht="13" hidden="1" customHeight="1" x14ac:dyDescent="0.35">
      <c r="A59" s="25" t="s">
        <v>22</v>
      </c>
      <c r="B59" s="26" t="s">
        <v>34</v>
      </c>
      <c r="C59" s="27"/>
      <c r="D59" s="40" t="s">
        <v>125</v>
      </c>
      <c r="E59" s="78"/>
      <c r="F59" s="78"/>
      <c r="G59" s="78"/>
    </row>
    <row r="60" spans="1:7" x14ac:dyDescent="0.35">
      <c r="A60" s="231" t="s">
        <v>25</v>
      </c>
      <c r="B60" s="233" t="s">
        <v>41</v>
      </c>
      <c r="C60" s="27" t="s">
        <v>26</v>
      </c>
      <c r="D60" s="25" t="s">
        <v>125</v>
      </c>
      <c r="E60" s="78">
        <f>658.521+40.062</f>
        <v>698.58299999999997</v>
      </c>
      <c r="F60" s="78">
        <f>415.52+41+3.48</f>
        <v>460</v>
      </c>
      <c r="G60" s="78">
        <f>434.69+43+3.65+0.7</f>
        <v>482.03999999999996</v>
      </c>
    </row>
    <row r="61" spans="1:7" x14ac:dyDescent="0.35">
      <c r="A61" s="241"/>
      <c r="B61" s="242"/>
      <c r="C61" s="27" t="s">
        <v>51</v>
      </c>
      <c r="D61" s="25" t="s">
        <v>49</v>
      </c>
      <c r="E61" s="78">
        <v>1035.3699999999999</v>
      </c>
      <c r="F61" s="78">
        <v>1111.2</v>
      </c>
      <c r="G61" s="78">
        <v>1170.8</v>
      </c>
    </row>
    <row r="62" spans="1:7" x14ac:dyDescent="0.35">
      <c r="A62" s="241"/>
      <c r="B62" s="242"/>
      <c r="C62" s="27" t="s">
        <v>52</v>
      </c>
      <c r="D62" s="25" t="s">
        <v>187</v>
      </c>
      <c r="E62" s="78">
        <v>595.97299999999996</v>
      </c>
      <c r="F62" s="78"/>
      <c r="G62" s="78"/>
    </row>
    <row r="63" spans="1:7" ht="13" hidden="1" customHeight="1" x14ac:dyDescent="0.35">
      <c r="A63" s="232"/>
      <c r="B63" s="234"/>
      <c r="C63" s="27"/>
      <c r="D63" s="25" t="s">
        <v>137</v>
      </c>
      <c r="E63" s="78"/>
      <c r="F63" s="78"/>
      <c r="G63" s="78"/>
    </row>
    <row r="64" spans="1:7" x14ac:dyDescent="0.35">
      <c r="A64" s="231" t="s">
        <v>23</v>
      </c>
      <c r="B64" s="233" t="s">
        <v>44</v>
      </c>
      <c r="C64" s="27" t="s">
        <v>53</v>
      </c>
      <c r="D64" s="25" t="s">
        <v>38</v>
      </c>
      <c r="E64" s="78">
        <v>32.28</v>
      </c>
      <c r="F64" s="78">
        <v>32.28</v>
      </c>
      <c r="G64" s="78">
        <v>32.28</v>
      </c>
    </row>
    <row r="65" spans="1:7" hidden="1" x14ac:dyDescent="0.35">
      <c r="A65" s="232"/>
      <c r="B65" s="234"/>
      <c r="C65" s="27" t="s">
        <v>105</v>
      </c>
      <c r="D65" s="25" t="s">
        <v>137</v>
      </c>
      <c r="E65" s="78"/>
      <c r="F65" s="78"/>
      <c r="G65" s="78"/>
    </row>
    <row r="66" spans="1:7" ht="13" hidden="1" customHeight="1" x14ac:dyDescent="0.35">
      <c r="A66" s="231" t="s">
        <v>33</v>
      </c>
      <c r="B66" s="237" t="s">
        <v>45</v>
      </c>
      <c r="C66" s="27"/>
      <c r="D66" s="25" t="s">
        <v>125</v>
      </c>
      <c r="E66" s="78"/>
      <c r="F66" s="78"/>
      <c r="G66" s="78"/>
    </row>
    <row r="67" spans="1:7" ht="13" hidden="1" customHeight="1" x14ac:dyDescent="0.35">
      <c r="A67" s="232"/>
      <c r="B67" s="238"/>
      <c r="C67" s="27"/>
      <c r="D67" s="25" t="s">
        <v>137</v>
      </c>
      <c r="E67" s="78"/>
      <c r="F67" s="78"/>
      <c r="G67" s="78"/>
    </row>
    <row r="68" spans="1:7" x14ac:dyDescent="0.35">
      <c r="A68" s="235" t="s">
        <v>32</v>
      </c>
      <c r="B68" s="237" t="s">
        <v>46</v>
      </c>
      <c r="C68" s="27" t="s">
        <v>105</v>
      </c>
      <c r="D68" s="25" t="s">
        <v>125</v>
      </c>
      <c r="E68" s="78">
        <v>1.76</v>
      </c>
      <c r="F68" s="78">
        <v>1.76</v>
      </c>
      <c r="G68" s="78">
        <v>1.76</v>
      </c>
    </row>
    <row r="69" spans="1:7" ht="13" hidden="1" customHeight="1" x14ac:dyDescent="0.35">
      <c r="A69" s="236"/>
      <c r="B69" s="238"/>
      <c r="C69" s="27"/>
      <c r="D69" s="25" t="s">
        <v>50</v>
      </c>
      <c r="E69" s="78"/>
      <c r="F69" s="78"/>
      <c r="G69" s="78"/>
    </row>
    <row r="70" spans="1:7" x14ac:dyDescent="0.35">
      <c r="A70" s="47" t="s">
        <v>7</v>
      </c>
      <c r="B70" s="23" t="s">
        <v>48</v>
      </c>
      <c r="C70" s="27" t="s">
        <v>234</v>
      </c>
      <c r="D70" s="25" t="s">
        <v>125</v>
      </c>
      <c r="E70" s="78">
        <v>72.783000000000001</v>
      </c>
      <c r="F70" s="78">
        <v>60</v>
      </c>
      <c r="G70" s="78"/>
    </row>
    <row r="71" spans="1:7" ht="17.399999999999999" customHeight="1" x14ac:dyDescent="0.3">
      <c r="A71" s="212"/>
      <c r="B71" s="172" t="s">
        <v>315</v>
      </c>
      <c r="C71" s="180" t="s">
        <v>176</v>
      </c>
      <c r="D71" s="173"/>
      <c r="E71" s="167">
        <f>SUM(E74:E84)</f>
        <v>3754.576</v>
      </c>
      <c r="F71" s="167">
        <f>SUM(F74:F84)</f>
        <v>2277.1440000000002</v>
      </c>
      <c r="G71" s="167">
        <f>SUM(G74:G84)</f>
        <v>2253.0100000000002</v>
      </c>
    </row>
    <row r="72" spans="1:7" x14ac:dyDescent="0.35">
      <c r="A72" s="211"/>
      <c r="B72" s="4" t="s">
        <v>2</v>
      </c>
      <c r="C72" s="119"/>
      <c r="D72" s="27"/>
      <c r="E72" s="78"/>
      <c r="F72" s="78"/>
      <c r="G72" s="78"/>
    </row>
    <row r="73" spans="1:7" ht="13" hidden="1" customHeight="1" x14ac:dyDescent="0.35">
      <c r="A73" s="25" t="s">
        <v>22</v>
      </c>
      <c r="B73" s="26" t="s">
        <v>34</v>
      </c>
      <c r="C73" s="27"/>
      <c r="D73" s="40" t="s">
        <v>125</v>
      </c>
      <c r="E73" s="78"/>
      <c r="F73" s="78"/>
      <c r="G73" s="78"/>
    </row>
    <row r="74" spans="1:7" x14ac:dyDescent="0.35">
      <c r="A74" s="231" t="s">
        <v>25</v>
      </c>
      <c r="B74" s="233" t="s">
        <v>41</v>
      </c>
      <c r="C74" s="27" t="s">
        <v>27</v>
      </c>
      <c r="D74" s="25" t="s">
        <v>125</v>
      </c>
      <c r="E74" s="78">
        <f>1286.808+40.5</f>
        <v>1327.308</v>
      </c>
      <c r="F74" s="78">
        <f>483.51+42.1+17.84+34.493</f>
        <v>577.9430000000001</v>
      </c>
      <c r="G74" s="78">
        <f>505.6+43.9+18.74</f>
        <v>568.24</v>
      </c>
    </row>
    <row r="75" spans="1:7" x14ac:dyDescent="0.35">
      <c r="A75" s="241"/>
      <c r="B75" s="242"/>
      <c r="C75" s="27" t="s">
        <v>28</v>
      </c>
      <c r="D75" s="25" t="s">
        <v>49</v>
      </c>
      <c r="E75" s="78">
        <v>1421.15</v>
      </c>
      <c r="F75" s="78">
        <v>1522.4</v>
      </c>
      <c r="G75" s="78">
        <v>1606.27</v>
      </c>
    </row>
    <row r="76" spans="1:7" ht="13" hidden="1" customHeight="1" x14ac:dyDescent="0.35">
      <c r="A76" s="241"/>
      <c r="B76" s="242"/>
      <c r="C76" s="27" t="s">
        <v>54</v>
      </c>
      <c r="D76" s="25" t="s">
        <v>137</v>
      </c>
      <c r="E76" s="78"/>
      <c r="F76" s="78"/>
      <c r="G76" s="78"/>
    </row>
    <row r="77" spans="1:7" x14ac:dyDescent="0.35">
      <c r="A77" s="232"/>
      <c r="B77" s="234"/>
      <c r="C77" s="27" t="s">
        <v>54</v>
      </c>
      <c r="D77" s="25" t="s">
        <v>187</v>
      </c>
      <c r="E77" s="78">
        <v>638.73299999999995</v>
      </c>
      <c r="F77" s="78">
        <v>48.301000000000002</v>
      </c>
      <c r="G77" s="78"/>
    </row>
    <row r="78" spans="1:7" x14ac:dyDescent="0.35">
      <c r="A78" s="231" t="s">
        <v>23</v>
      </c>
      <c r="B78" s="233" t="s">
        <v>44</v>
      </c>
      <c r="C78" s="27" t="s">
        <v>158</v>
      </c>
      <c r="D78" s="25" t="s">
        <v>38</v>
      </c>
      <c r="E78" s="78">
        <v>76.7</v>
      </c>
      <c r="F78" s="78">
        <v>76.7</v>
      </c>
      <c r="G78" s="78">
        <v>76.7</v>
      </c>
    </row>
    <row r="79" spans="1:7" x14ac:dyDescent="0.35">
      <c r="A79" s="232"/>
      <c r="B79" s="234"/>
      <c r="C79" s="27" t="s">
        <v>159</v>
      </c>
      <c r="D79" s="25" t="s">
        <v>137</v>
      </c>
      <c r="E79" s="78"/>
      <c r="F79" s="78"/>
      <c r="G79" s="78"/>
    </row>
    <row r="80" spans="1:7" ht="13" hidden="1" customHeight="1" x14ac:dyDescent="0.35">
      <c r="A80" s="231" t="s">
        <v>33</v>
      </c>
      <c r="B80" s="233" t="s">
        <v>45</v>
      </c>
      <c r="C80" s="27"/>
      <c r="D80" s="25" t="s">
        <v>125</v>
      </c>
      <c r="E80" s="78"/>
      <c r="F80" s="78"/>
      <c r="G80" s="78"/>
    </row>
    <row r="81" spans="1:7" ht="13" hidden="1" customHeight="1" x14ac:dyDescent="0.35">
      <c r="A81" s="232"/>
      <c r="B81" s="234"/>
      <c r="C81" s="27"/>
      <c r="D81" s="25" t="s">
        <v>137</v>
      </c>
      <c r="E81" s="78"/>
      <c r="F81" s="78"/>
      <c r="G81" s="78"/>
    </row>
    <row r="82" spans="1:7" ht="13.75" customHeight="1" x14ac:dyDescent="0.35">
      <c r="A82" s="47" t="s">
        <v>32</v>
      </c>
      <c r="B82" s="46" t="s">
        <v>46</v>
      </c>
      <c r="C82" s="27" t="s">
        <v>221</v>
      </c>
      <c r="D82" s="25" t="s">
        <v>125</v>
      </c>
      <c r="E82" s="78">
        <v>1.8</v>
      </c>
      <c r="F82" s="78">
        <v>1.8</v>
      </c>
      <c r="G82" s="78">
        <v>1.8</v>
      </c>
    </row>
    <row r="83" spans="1:7" x14ac:dyDescent="0.35">
      <c r="A83" s="235" t="s">
        <v>7</v>
      </c>
      <c r="B83" s="237" t="s">
        <v>48</v>
      </c>
      <c r="C83" s="27" t="s">
        <v>233</v>
      </c>
      <c r="D83" s="25" t="s">
        <v>125</v>
      </c>
      <c r="E83" s="78">
        <v>288.88499999999999</v>
      </c>
      <c r="F83" s="78">
        <f>50</f>
        <v>50</v>
      </c>
      <c r="G83" s="78"/>
    </row>
    <row r="84" spans="1:7" ht="13" hidden="1" customHeight="1" x14ac:dyDescent="0.35">
      <c r="A84" s="236"/>
      <c r="B84" s="238"/>
      <c r="C84" s="27" t="s">
        <v>297</v>
      </c>
      <c r="D84" s="25" t="s">
        <v>137</v>
      </c>
      <c r="E84" s="78"/>
      <c r="F84" s="78"/>
      <c r="G84" s="78"/>
    </row>
    <row r="85" spans="1:7" ht="18.55" customHeight="1" x14ac:dyDescent="0.3">
      <c r="A85" s="212"/>
      <c r="B85" s="168" t="s">
        <v>316</v>
      </c>
      <c r="C85" s="180" t="s">
        <v>177</v>
      </c>
      <c r="D85" s="174"/>
      <c r="E85" s="167">
        <f>SUM(E88:E98)</f>
        <v>3237.9349999999995</v>
      </c>
      <c r="F85" s="167">
        <f>SUM(F88:F98)</f>
        <v>2818.7799999999997</v>
      </c>
      <c r="G85" s="167">
        <f>SUM(G88:G98)</f>
        <v>2902.0199999999995</v>
      </c>
    </row>
    <row r="86" spans="1:7" x14ac:dyDescent="0.35">
      <c r="A86" s="213"/>
      <c r="B86" s="4" t="s">
        <v>2</v>
      </c>
      <c r="C86" s="44"/>
      <c r="D86" s="28"/>
      <c r="E86" s="78"/>
      <c r="F86" s="78"/>
      <c r="G86" s="78"/>
    </row>
    <row r="87" spans="1:7" ht="13" hidden="1" customHeight="1" x14ac:dyDescent="0.35">
      <c r="A87" s="47" t="s">
        <v>22</v>
      </c>
      <c r="B87" s="26" t="s">
        <v>34</v>
      </c>
      <c r="C87" s="27"/>
      <c r="D87" s="40" t="s">
        <v>125</v>
      </c>
      <c r="E87" s="78"/>
      <c r="F87" s="78"/>
      <c r="G87" s="78"/>
    </row>
    <row r="88" spans="1:7" x14ac:dyDescent="0.35">
      <c r="A88" s="231" t="s">
        <v>25</v>
      </c>
      <c r="B88" s="233" t="s">
        <v>41</v>
      </c>
      <c r="C88" s="27" t="s">
        <v>29</v>
      </c>
      <c r="D88" s="25" t="s">
        <v>125</v>
      </c>
      <c r="E88" s="78">
        <f>733.532+53.167</f>
        <v>786.69900000000007</v>
      </c>
      <c r="F88" s="78">
        <f>566.97+52.4+37.33</f>
        <v>656.7</v>
      </c>
      <c r="G88" s="78">
        <f>592.44+55+39.2</f>
        <v>686.6400000000001</v>
      </c>
    </row>
    <row r="89" spans="1:7" x14ac:dyDescent="0.35">
      <c r="A89" s="241"/>
      <c r="B89" s="242"/>
      <c r="C89" s="27" t="s">
        <v>55</v>
      </c>
      <c r="D89" s="25" t="s">
        <v>49</v>
      </c>
      <c r="E89" s="78">
        <v>1689.34</v>
      </c>
      <c r="F89" s="78">
        <v>1806.8</v>
      </c>
      <c r="G89" s="78">
        <v>1908.1</v>
      </c>
    </row>
    <row r="90" spans="1:7" x14ac:dyDescent="0.35">
      <c r="A90" s="241"/>
      <c r="B90" s="242"/>
      <c r="C90" s="27" t="s">
        <v>56</v>
      </c>
      <c r="D90" s="25" t="s">
        <v>187</v>
      </c>
      <c r="E90" s="78">
        <v>514.79200000000003</v>
      </c>
      <c r="F90" s="78"/>
      <c r="G90" s="78"/>
    </row>
    <row r="91" spans="1:7" x14ac:dyDescent="0.35">
      <c r="A91" s="232"/>
      <c r="B91" s="234"/>
      <c r="C91" s="27" t="s">
        <v>57</v>
      </c>
      <c r="D91" s="25" t="s">
        <v>137</v>
      </c>
      <c r="E91" s="78">
        <v>11.028</v>
      </c>
      <c r="F91" s="78">
        <v>11.91</v>
      </c>
      <c r="G91" s="78">
        <v>11.91</v>
      </c>
    </row>
    <row r="92" spans="1:7" x14ac:dyDescent="0.35">
      <c r="A92" s="231" t="s">
        <v>23</v>
      </c>
      <c r="B92" s="233" t="s">
        <v>44</v>
      </c>
      <c r="C92" s="27" t="s">
        <v>160</v>
      </c>
      <c r="D92" s="25" t="s">
        <v>38</v>
      </c>
      <c r="E92" s="78">
        <v>111.4</v>
      </c>
      <c r="F92" s="78">
        <v>111.4</v>
      </c>
      <c r="G92" s="78">
        <v>111.4</v>
      </c>
    </row>
    <row r="93" spans="1:7" hidden="1" x14ac:dyDescent="0.35">
      <c r="A93" s="232"/>
      <c r="B93" s="234"/>
      <c r="C93" s="27" t="s">
        <v>232</v>
      </c>
      <c r="D93" s="25" t="s">
        <v>137</v>
      </c>
      <c r="E93" s="78"/>
      <c r="F93" s="78"/>
      <c r="G93" s="78"/>
    </row>
    <row r="94" spans="1:7" ht="13" hidden="1" customHeight="1" x14ac:dyDescent="0.35">
      <c r="A94" s="231" t="s">
        <v>33</v>
      </c>
      <c r="B94" s="233" t="s">
        <v>45</v>
      </c>
      <c r="C94" s="27"/>
      <c r="D94" s="25" t="s">
        <v>125</v>
      </c>
      <c r="E94" s="78"/>
      <c r="F94" s="78"/>
      <c r="G94" s="78"/>
    </row>
    <row r="95" spans="1:7" ht="13" hidden="1" customHeight="1" x14ac:dyDescent="0.35">
      <c r="A95" s="232"/>
      <c r="B95" s="234"/>
      <c r="C95" s="27" t="s">
        <v>238</v>
      </c>
      <c r="D95" s="25" t="s">
        <v>137</v>
      </c>
      <c r="E95" s="78"/>
      <c r="F95" s="78"/>
      <c r="G95" s="78"/>
    </row>
    <row r="96" spans="1:7" x14ac:dyDescent="0.35">
      <c r="A96" s="231" t="s">
        <v>32</v>
      </c>
      <c r="B96" s="233" t="s">
        <v>46</v>
      </c>
      <c r="C96" s="27" t="s">
        <v>232</v>
      </c>
      <c r="D96" s="25" t="s">
        <v>125</v>
      </c>
      <c r="E96" s="78">
        <v>1.97</v>
      </c>
      <c r="F96" s="78">
        <v>1.97</v>
      </c>
      <c r="G96" s="78">
        <v>1.97</v>
      </c>
    </row>
    <row r="97" spans="1:7" hidden="1" x14ac:dyDescent="0.35">
      <c r="A97" s="232"/>
      <c r="B97" s="234"/>
      <c r="C97" s="27" t="s">
        <v>244</v>
      </c>
      <c r="D97" s="25" t="s">
        <v>50</v>
      </c>
      <c r="E97" s="78"/>
      <c r="F97" s="78"/>
      <c r="G97" s="78"/>
    </row>
    <row r="98" spans="1:7" x14ac:dyDescent="0.35">
      <c r="A98" s="121" t="s">
        <v>7</v>
      </c>
      <c r="B98" s="23" t="s">
        <v>48</v>
      </c>
      <c r="C98" s="27" t="s">
        <v>238</v>
      </c>
      <c r="D98" s="25" t="s">
        <v>125</v>
      </c>
      <c r="E98" s="78">
        <v>122.706</v>
      </c>
      <c r="F98" s="78">
        <f>200+30</f>
        <v>230</v>
      </c>
      <c r="G98" s="78">
        <v>182</v>
      </c>
    </row>
    <row r="99" spans="1:7" ht="19.75" customHeight="1" x14ac:dyDescent="0.3">
      <c r="A99" s="212"/>
      <c r="B99" s="168" t="s">
        <v>317</v>
      </c>
      <c r="C99" s="180" t="s">
        <v>178</v>
      </c>
      <c r="D99" s="173"/>
      <c r="E99" s="167">
        <f>SUM(E102:E114)</f>
        <v>3446.4629999999997</v>
      </c>
      <c r="F99" s="167">
        <f>SUM(F102:F114)</f>
        <v>3646.7699999999995</v>
      </c>
      <c r="G99" s="167">
        <f>SUM(G102:G114)</f>
        <v>3849.6299999999997</v>
      </c>
    </row>
    <row r="100" spans="1:7" x14ac:dyDescent="0.35">
      <c r="A100" s="214"/>
      <c r="B100" s="4" t="s">
        <v>2</v>
      </c>
      <c r="C100" s="44"/>
      <c r="D100" s="28"/>
      <c r="E100" s="78"/>
      <c r="F100" s="78"/>
      <c r="G100" s="78"/>
    </row>
    <row r="101" spans="1:7" ht="13" hidden="1" customHeight="1" x14ac:dyDescent="0.35">
      <c r="A101" s="25" t="s">
        <v>22</v>
      </c>
      <c r="B101" s="26" t="s">
        <v>34</v>
      </c>
      <c r="C101" s="27" t="s">
        <v>58</v>
      </c>
      <c r="D101" s="25" t="s">
        <v>125</v>
      </c>
      <c r="E101" s="78"/>
      <c r="F101" s="78"/>
      <c r="G101" s="78"/>
    </row>
    <row r="102" spans="1:7" x14ac:dyDescent="0.35">
      <c r="A102" s="231" t="s">
        <v>25</v>
      </c>
      <c r="B102" s="233" t="s">
        <v>41</v>
      </c>
      <c r="C102" s="27" t="s">
        <v>58</v>
      </c>
      <c r="D102" s="25" t="s">
        <v>125</v>
      </c>
      <c r="E102" s="78">
        <f>523.15+76.189</f>
        <v>599.33899999999994</v>
      </c>
      <c r="F102" s="78">
        <f>492.34+76.6+48.83</f>
        <v>617.77</v>
      </c>
      <c r="G102" s="78">
        <f>514.54+80+51.27</f>
        <v>645.80999999999995</v>
      </c>
    </row>
    <row r="103" spans="1:7" x14ac:dyDescent="0.35">
      <c r="A103" s="241"/>
      <c r="B103" s="242"/>
      <c r="C103" s="27" t="s">
        <v>59</v>
      </c>
      <c r="D103" s="25" t="s">
        <v>49</v>
      </c>
      <c r="E103" s="78">
        <v>2263.5500000000002</v>
      </c>
      <c r="F103" s="78">
        <v>2421</v>
      </c>
      <c r="G103" s="78">
        <v>2552.62</v>
      </c>
    </row>
    <row r="104" spans="1:7" x14ac:dyDescent="0.35">
      <c r="A104" s="241"/>
      <c r="B104" s="242"/>
      <c r="C104" s="27" t="s">
        <v>60</v>
      </c>
      <c r="D104" s="25" t="s">
        <v>305</v>
      </c>
      <c r="E104" s="78">
        <v>40.200000000000003</v>
      </c>
      <c r="F104" s="78">
        <v>40.200000000000003</v>
      </c>
      <c r="G104" s="78">
        <v>40.200000000000003</v>
      </c>
    </row>
    <row r="105" spans="1:7" x14ac:dyDescent="0.35">
      <c r="A105" s="241"/>
      <c r="B105" s="242"/>
      <c r="C105" s="27" t="s">
        <v>61</v>
      </c>
      <c r="D105" s="25" t="s">
        <v>137</v>
      </c>
      <c r="E105" s="78">
        <v>13.51</v>
      </c>
      <c r="F105" s="78">
        <v>14.59</v>
      </c>
      <c r="G105" s="78">
        <v>14.59</v>
      </c>
    </row>
    <row r="106" spans="1:7" x14ac:dyDescent="0.35">
      <c r="A106" s="232"/>
      <c r="B106" s="234"/>
      <c r="C106" s="27" t="s">
        <v>100</v>
      </c>
      <c r="D106" s="25" t="s">
        <v>187</v>
      </c>
      <c r="E106" s="78">
        <v>209.75</v>
      </c>
      <c r="F106" s="78"/>
      <c r="G106" s="78"/>
    </row>
    <row r="107" spans="1:7" x14ac:dyDescent="0.35">
      <c r="A107" s="231" t="s">
        <v>23</v>
      </c>
      <c r="B107" s="233" t="s">
        <v>44</v>
      </c>
      <c r="C107" s="27" t="s">
        <v>101</v>
      </c>
      <c r="D107" s="25" t="s">
        <v>38</v>
      </c>
      <c r="E107" s="78">
        <v>100.56</v>
      </c>
      <c r="F107" s="78">
        <v>100.56</v>
      </c>
      <c r="G107" s="78">
        <v>100.56</v>
      </c>
    </row>
    <row r="108" spans="1:7" hidden="1" x14ac:dyDescent="0.35">
      <c r="A108" s="232"/>
      <c r="B108" s="234"/>
      <c r="C108" s="27" t="s">
        <v>102</v>
      </c>
      <c r="D108" s="25" t="s">
        <v>137</v>
      </c>
      <c r="E108" s="78"/>
      <c r="F108" s="78"/>
      <c r="G108" s="78"/>
    </row>
    <row r="109" spans="1:7" ht="13" hidden="1" customHeight="1" x14ac:dyDescent="0.35">
      <c r="A109" s="231" t="s">
        <v>33</v>
      </c>
      <c r="B109" s="233" t="s">
        <v>45</v>
      </c>
      <c r="C109" s="27" t="s">
        <v>258</v>
      </c>
      <c r="D109" s="25" t="s">
        <v>125</v>
      </c>
      <c r="E109" s="78"/>
      <c r="F109" s="78"/>
      <c r="G109" s="78"/>
    </row>
    <row r="110" spans="1:7" ht="13" hidden="1" customHeight="1" x14ac:dyDescent="0.35">
      <c r="A110" s="232"/>
      <c r="B110" s="234"/>
      <c r="C110" s="27" t="s">
        <v>282</v>
      </c>
      <c r="D110" s="25" t="s">
        <v>137</v>
      </c>
      <c r="E110" s="78"/>
      <c r="F110" s="78"/>
      <c r="G110" s="78"/>
    </row>
    <row r="111" spans="1:7" x14ac:dyDescent="0.35">
      <c r="A111" s="231" t="s">
        <v>32</v>
      </c>
      <c r="B111" s="233" t="s">
        <v>46</v>
      </c>
      <c r="C111" s="27" t="s">
        <v>102</v>
      </c>
      <c r="D111" s="25" t="s">
        <v>125</v>
      </c>
      <c r="E111" s="78">
        <v>0.91</v>
      </c>
      <c r="F111" s="78">
        <v>0.91</v>
      </c>
      <c r="G111" s="78">
        <v>0.91</v>
      </c>
    </row>
    <row r="112" spans="1:7" ht="13" hidden="1" customHeight="1" x14ac:dyDescent="0.35">
      <c r="A112" s="232"/>
      <c r="B112" s="234"/>
      <c r="C112" s="27" t="s">
        <v>282</v>
      </c>
      <c r="D112" s="25" t="s">
        <v>50</v>
      </c>
      <c r="E112" s="78"/>
      <c r="F112" s="78"/>
      <c r="G112" s="78"/>
    </row>
    <row r="113" spans="1:7" x14ac:dyDescent="0.35">
      <c r="A113" s="231" t="s">
        <v>7</v>
      </c>
      <c r="B113" s="233" t="s">
        <v>48</v>
      </c>
      <c r="C113" s="27" t="s">
        <v>258</v>
      </c>
      <c r="D113" s="25" t="s">
        <v>125</v>
      </c>
      <c r="E113" s="78">
        <v>218.64400000000001</v>
      </c>
      <c r="F113" s="78">
        <f>425.74+26</f>
        <v>451.74</v>
      </c>
      <c r="G113" s="78">
        <f>476.44+18.5</f>
        <v>494.94</v>
      </c>
    </row>
    <row r="114" spans="1:7" ht="12.65" hidden="1" customHeight="1" x14ac:dyDescent="0.35">
      <c r="A114" s="232"/>
      <c r="B114" s="234"/>
      <c r="C114" s="27"/>
      <c r="D114" s="25" t="s">
        <v>137</v>
      </c>
      <c r="E114" s="78"/>
      <c r="F114" s="78"/>
      <c r="G114" s="78"/>
    </row>
    <row r="115" spans="1:7" ht="20.399999999999999" customHeight="1" x14ac:dyDescent="0.3">
      <c r="A115" s="212"/>
      <c r="B115" s="168" t="s">
        <v>318</v>
      </c>
      <c r="C115" s="180" t="s">
        <v>106</v>
      </c>
      <c r="D115" s="173"/>
      <c r="E115" s="167">
        <f>SUM(E118:E128)</f>
        <v>2150.1559999999995</v>
      </c>
      <c r="F115" s="167">
        <f>SUM(F118:F128)</f>
        <v>1843.2</v>
      </c>
      <c r="G115" s="167">
        <f>SUM(G118:G128)</f>
        <v>1935.5600000000002</v>
      </c>
    </row>
    <row r="116" spans="1:7" x14ac:dyDescent="0.35">
      <c r="A116" s="213"/>
      <c r="B116" s="4" t="s">
        <v>2</v>
      </c>
      <c r="C116" s="44"/>
      <c r="D116" s="28"/>
      <c r="E116" s="78"/>
      <c r="F116" s="78"/>
      <c r="G116" s="78"/>
    </row>
    <row r="117" spans="1:7" ht="13" hidden="1" customHeight="1" x14ac:dyDescent="0.35">
      <c r="A117" s="25" t="s">
        <v>22</v>
      </c>
      <c r="B117" s="26" t="s">
        <v>34</v>
      </c>
      <c r="C117" s="27"/>
      <c r="D117" s="40" t="s">
        <v>125</v>
      </c>
      <c r="E117" s="78"/>
      <c r="F117" s="78"/>
      <c r="G117" s="78"/>
    </row>
    <row r="118" spans="1:7" x14ac:dyDescent="0.35">
      <c r="A118" s="231" t="s">
        <v>25</v>
      </c>
      <c r="B118" s="233" t="s">
        <v>41</v>
      </c>
      <c r="C118" s="27" t="s">
        <v>62</v>
      </c>
      <c r="D118" s="25" t="s">
        <v>125</v>
      </c>
      <c r="E118" s="78">
        <f>395.55+31.308</f>
        <v>426.858</v>
      </c>
      <c r="F118" s="78">
        <f>378.55+32.6+27.49+0.7</f>
        <v>439.34000000000003</v>
      </c>
      <c r="G118" s="78">
        <f>395.83+34.3+28.87</f>
        <v>459</v>
      </c>
    </row>
    <row r="119" spans="1:7" x14ac:dyDescent="0.35">
      <c r="A119" s="241"/>
      <c r="B119" s="242"/>
      <c r="C119" s="27" t="s">
        <v>63</v>
      </c>
      <c r="D119" s="25" t="s">
        <v>49</v>
      </c>
      <c r="E119" s="78">
        <v>1253.57</v>
      </c>
      <c r="F119" s="78">
        <v>1340.2</v>
      </c>
      <c r="G119" s="78">
        <v>1412.9</v>
      </c>
    </row>
    <row r="120" spans="1:7" ht="13" hidden="1" customHeight="1" x14ac:dyDescent="0.35">
      <c r="A120" s="241"/>
      <c r="B120" s="242"/>
      <c r="C120" s="27" t="s">
        <v>64</v>
      </c>
      <c r="D120" s="25" t="s">
        <v>137</v>
      </c>
      <c r="E120" s="78"/>
      <c r="F120" s="78"/>
      <c r="G120" s="78"/>
    </row>
    <row r="121" spans="1:7" x14ac:dyDescent="0.35">
      <c r="A121" s="232"/>
      <c r="B121" s="234"/>
      <c r="C121" s="27" t="s">
        <v>64</v>
      </c>
      <c r="D121" s="25" t="s">
        <v>187</v>
      </c>
      <c r="E121" s="78">
        <v>343.798</v>
      </c>
      <c r="F121" s="78"/>
      <c r="G121" s="78"/>
    </row>
    <row r="122" spans="1:7" x14ac:dyDescent="0.35">
      <c r="A122" s="231" t="s">
        <v>23</v>
      </c>
      <c r="B122" s="233" t="s">
        <v>44</v>
      </c>
      <c r="C122" s="27" t="s">
        <v>65</v>
      </c>
      <c r="D122" s="25" t="s">
        <v>38</v>
      </c>
      <c r="E122" s="78">
        <v>62.42</v>
      </c>
      <c r="F122" s="78">
        <v>62.42</v>
      </c>
      <c r="G122" s="78">
        <v>62.42</v>
      </c>
    </row>
    <row r="123" spans="1:7" hidden="1" x14ac:dyDescent="0.35">
      <c r="A123" s="232"/>
      <c r="B123" s="234"/>
      <c r="C123" s="27" t="s">
        <v>222</v>
      </c>
      <c r="D123" s="25" t="s">
        <v>137</v>
      </c>
      <c r="E123" s="78"/>
      <c r="F123" s="78"/>
      <c r="G123" s="78"/>
    </row>
    <row r="124" spans="1:7" ht="13" hidden="1" customHeight="1" x14ac:dyDescent="0.35">
      <c r="A124" s="231" t="s">
        <v>33</v>
      </c>
      <c r="B124" s="233" t="s">
        <v>45</v>
      </c>
      <c r="C124" s="27"/>
      <c r="D124" s="25" t="s">
        <v>125</v>
      </c>
      <c r="E124" s="78"/>
      <c r="F124" s="78"/>
      <c r="G124" s="78"/>
    </row>
    <row r="125" spans="1:7" ht="13" hidden="1" customHeight="1" x14ac:dyDescent="0.35">
      <c r="A125" s="232"/>
      <c r="B125" s="234"/>
      <c r="C125" s="27" t="s">
        <v>222</v>
      </c>
      <c r="D125" s="25" t="s">
        <v>137</v>
      </c>
      <c r="E125" s="78"/>
      <c r="F125" s="78"/>
      <c r="G125" s="78"/>
    </row>
    <row r="126" spans="1:7" ht="13.75" customHeight="1" x14ac:dyDescent="0.35">
      <c r="A126" s="47" t="s">
        <v>32</v>
      </c>
      <c r="B126" s="46" t="s">
        <v>46</v>
      </c>
      <c r="C126" s="27" t="s">
        <v>161</v>
      </c>
      <c r="D126" s="25" t="s">
        <v>125</v>
      </c>
      <c r="E126" s="78">
        <v>1.24</v>
      </c>
      <c r="F126" s="78">
        <v>1.24</v>
      </c>
      <c r="G126" s="78">
        <v>1.24</v>
      </c>
    </row>
    <row r="127" spans="1:7" x14ac:dyDescent="0.35">
      <c r="A127" s="231" t="s">
        <v>7</v>
      </c>
      <c r="B127" s="233" t="s">
        <v>48</v>
      </c>
      <c r="C127" s="27" t="s">
        <v>222</v>
      </c>
      <c r="D127" s="25" t="s">
        <v>125</v>
      </c>
      <c r="E127" s="78">
        <v>62.27</v>
      </c>
      <c r="F127" s="78"/>
      <c r="G127" s="78"/>
    </row>
    <row r="128" spans="1:7" ht="13" hidden="1" customHeight="1" x14ac:dyDescent="0.35">
      <c r="A128" s="232"/>
      <c r="B128" s="234"/>
      <c r="C128" s="27"/>
      <c r="D128" s="25" t="s">
        <v>137</v>
      </c>
      <c r="E128" s="78"/>
      <c r="F128" s="78"/>
      <c r="G128" s="78"/>
    </row>
    <row r="129" spans="1:7" ht="22.5" customHeight="1" x14ac:dyDescent="0.3">
      <c r="A129" s="212"/>
      <c r="B129" s="168" t="s">
        <v>319</v>
      </c>
      <c r="C129" s="180" t="s">
        <v>107</v>
      </c>
      <c r="D129" s="174"/>
      <c r="E129" s="167">
        <f>SUM(E132:E146)</f>
        <v>1632.8480000000002</v>
      </c>
      <c r="F129" s="167">
        <f>SUM(F132:F146)</f>
        <v>1820.5440000000001</v>
      </c>
      <c r="G129" s="167">
        <f>SUM(G132:G146)</f>
        <v>1772.57</v>
      </c>
    </row>
    <row r="130" spans="1:7" x14ac:dyDescent="0.35">
      <c r="A130" s="213"/>
      <c r="B130" s="4" t="s">
        <v>2</v>
      </c>
      <c r="C130" s="44"/>
      <c r="D130" s="28"/>
      <c r="E130" s="78"/>
      <c r="F130" s="78"/>
      <c r="G130" s="78"/>
    </row>
    <row r="131" spans="1:7" ht="13" hidden="1" customHeight="1" x14ac:dyDescent="0.35">
      <c r="A131" s="25" t="s">
        <v>22</v>
      </c>
      <c r="B131" s="26" t="s">
        <v>34</v>
      </c>
      <c r="C131" s="27"/>
      <c r="D131" s="40" t="s">
        <v>125</v>
      </c>
      <c r="E131" s="78"/>
      <c r="F131" s="78"/>
      <c r="G131" s="78"/>
    </row>
    <row r="132" spans="1:7" x14ac:dyDescent="0.35">
      <c r="A132" s="231" t="s">
        <v>25</v>
      </c>
      <c r="B132" s="233" t="s">
        <v>41</v>
      </c>
      <c r="C132" s="27" t="s">
        <v>66</v>
      </c>
      <c r="D132" s="25" t="s">
        <v>125</v>
      </c>
      <c r="E132" s="78">
        <f>681.14+159.134</f>
        <v>840.274</v>
      </c>
      <c r="F132" s="78">
        <f>636.99+159.8+65.89+135.814</f>
        <v>998.49399999999991</v>
      </c>
      <c r="G132" s="78">
        <f>667.49+172.4+69.18</f>
        <v>909.06999999999994</v>
      </c>
    </row>
    <row r="133" spans="1:7" x14ac:dyDescent="0.35">
      <c r="A133" s="241"/>
      <c r="B133" s="242"/>
      <c r="C133" s="27" t="s">
        <v>67</v>
      </c>
      <c r="D133" s="25" t="s">
        <v>49</v>
      </c>
      <c r="E133" s="78">
        <v>702.05</v>
      </c>
      <c r="F133" s="78">
        <v>752.33</v>
      </c>
      <c r="G133" s="78">
        <v>793.78</v>
      </c>
    </row>
    <row r="134" spans="1:7" ht="13.3" hidden="1" customHeight="1" x14ac:dyDescent="0.35">
      <c r="A134" s="241"/>
      <c r="B134" s="242"/>
      <c r="C134" s="27"/>
      <c r="D134" s="25" t="s">
        <v>187</v>
      </c>
      <c r="E134" s="78"/>
      <c r="F134" s="78"/>
      <c r="G134" s="78"/>
    </row>
    <row r="135" spans="1:7" x14ac:dyDescent="0.35">
      <c r="A135" s="232"/>
      <c r="B135" s="234"/>
      <c r="C135" s="27" t="s">
        <v>68</v>
      </c>
      <c r="D135" s="25" t="s">
        <v>137</v>
      </c>
      <c r="E135" s="78">
        <v>20.27</v>
      </c>
      <c r="F135" s="78">
        <v>21.83</v>
      </c>
      <c r="G135" s="78">
        <v>21.83</v>
      </c>
    </row>
    <row r="136" spans="1:7" x14ac:dyDescent="0.35">
      <c r="A136" s="204" t="s">
        <v>31</v>
      </c>
      <c r="B136" s="205" t="s">
        <v>308</v>
      </c>
      <c r="C136" s="27" t="s">
        <v>69</v>
      </c>
      <c r="D136" s="25" t="s">
        <v>125</v>
      </c>
      <c r="E136" s="78">
        <v>2.7040000000000002</v>
      </c>
      <c r="F136" s="78"/>
      <c r="G136" s="78"/>
    </row>
    <row r="137" spans="1:7" hidden="1" x14ac:dyDescent="0.35">
      <c r="A137" s="47" t="s">
        <v>39</v>
      </c>
      <c r="B137" s="23" t="s">
        <v>124</v>
      </c>
      <c r="C137" s="27" t="s">
        <v>162</v>
      </c>
      <c r="D137" s="25" t="s">
        <v>125</v>
      </c>
      <c r="E137" s="78"/>
      <c r="F137" s="78"/>
      <c r="G137" s="78"/>
    </row>
    <row r="138" spans="1:7" x14ac:dyDescent="0.35">
      <c r="A138" s="231" t="s">
        <v>23</v>
      </c>
      <c r="B138" s="233" t="s">
        <v>44</v>
      </c>
      <c r="C138" s="27" t="s">
        <v>162</v>
      </c>
      <c r="D138" s="25" t="s">
        <v>38</v>
      </c>
      <c r="E138" s="78">
        <v>19.14</v>
      </c>
      <c r="F138" s="78">
        <v>19.14</v>
      </c>
      <c r="G138" s="78">
        <v>19.14</v>
      </c>
    </row>
    <row r="139" spans="1:7" hidden="1" x14ac:dyDescent="0.35">
      <c r="A139" s="241"/>
      <c r="B139" s="242"/>
      <c r="C139" s="27" t="s">
        <v>230</v>
      </c>
      <c r="D139" s="25" t="s">
        <v>137</v>
      </c>
      <c r="E139" s="78"/>
      <c r="F139" s="78"/>
      <c r="G139" s="78"/>
    </row>
    <row r="140" spans="1:7" x14ac:dyDescent="0.35">
      <c r="A140" s="232"/>
      <c r="B140" s="234"/>
      <c r="C140" s="27" t="s">
        <v>190</v>
      </c>
      <c r="D140" s="25" t="s">
        <v>125</v>
      </c>
      <c r="E140" s="78">
        <v>26.7</v>
      </c>
      <c r="F140" s="78">
        <v>28.04</v>
      </c>
      <c r="G140" s="78">
        <v>28.04</v>
      </c>
    </row>
    <row r="141" spans="1:7" ht="13" hidden="1" customHeight="1" x14ac:dyDescent="0.35">
      <c r="A141" s="231" t="s">
        <v>33</v>
      </c>
      <c r="B141" s="233" t="s">
        <v>45</v>
      </c>
      <c r="C141" s="27" t="s">
        <v>265</v>
      </c>
      <c r="D141" s="25" t="s">
        <v>125</v>
      </c>
      <c r="E141" s="78"/>
      <c r="F141" s="78"/>
      <c r="G141" s="78"/>
    </row>
    <row r="142" spans="1:7" ht="13" hidden="1" customHeight="1" x14ac:dyDescent="0.35">
      <c r="A142" s="241"/>
      <c r="B142" s="242"/>
      <c r="C142" s="27" t="s">
        <v>271</v>
      </c>
      <c r="D142" s="25" t="s">
        <v>50</v>
      </c>
      <c r="E142" s="78"/>
      <c r="F142" s="78"/>
      <c r="G142" s="78"/>
    </row>
    <row r="143" spans="1:7" ht="13" hidden="1" customHeight="1" x14ac:dyDescent="0.35">
      <c r="A143" s="232"/>
      <c r="B143" s="234"/>
      <c r="C143" s="27" t="s">
        <v>271</v>
      </c>
      <c r="D143" s="25" t="s">
        <v>137</v>
      </c>
      <c r="E143" s="78"/>
      <c r="F143" s="78"/>
      <c r="G143" s="78"/>
    </row>
    <row r="144" spans="1:7" x14ac:dyDescent="0.35">
      <c r="A144" s="231" t="s">
        <v>32</v>
      </c>
      <c r="B144" s="233" t="s">
        <v>46</v>
      </c>
      <c r="C144" s="27" t="s">
        <v>230</v>
      </c>
      <c r="D144" s="25" t="s">
        <v>125</v>
      </c>
      <c r="E144" s="78">
        <v>0.71</v>
      </c>
      <c r="F144" s="78">
        <v>0.71</v>
      </c>
      <c r="G144" s="78">
        <v>0.71</v>
      </c>
    </row>
    <row r="145" spans="1:7" hidden="1" x14ac:dyDescent="0.35">
      <c r="A145" s="232"/>
      <c r="B145" s="234"/>
      <c r="C145" s="27" t="s">
        <v>311</v>
      </c>
      <c r="D145" s="25" t="s">
        <v>50</v>
      </c>
      <c r="E145" s="78"/>
      <c r="F145" s="78"/>
      <c r="G145" s="78"/>
    </row>
    <row r="146" spans="1:7" x14ac:dyDescent="0.35">
      <c r="A146" s="121" t="s">
        <v>7</v>
      </c>
      <c r="B146" s="23" t="s">
        <v>48</v>
      </c>
      <c r="C146" s="27" t="s">
        <v>265</v>
      </c>
      <c r="D146" s="25" t="s">
        <v>125</v>
      </c>
      <c r="E146" s="78">
        <v>21</v>
      </c>
      <c r="F146" s="78"/>
      <c r="G146" s="78"/>
    </row>
    <row r="147" spans="1:7" ht="19.3" customHeight="1" x14ac:dyDescent="0.3">
      <c r="A147" s="212"/>
      <c r="B147" s="168" t="s">
        <v>320</v>
      </c>
      <c r="C147" s="180" t="s">
        <v>179</v>
      </c>
      <c r="D147" s="174"/>
      <c r="E147" s="167">
        <f>SUM(E150:E160)</f>
        <v>835.91800000000001</v>
      </c>
      <c r="F147" s="167">
        <f>SUM(F150:F160)</f>
        <v>818.59</v>
      </c>
      <c r="G147" s="167">
        <f>SUM(G150:G160)</f>
        <v>963.02700000000004</v>
      </c>
    </row>
    <row r="148" spans="1:7" ht="12.65" customHeight="1" x14ac:dyDescent="0.35">
      <c r="A148" s="213"/>
      <c r="B148" s="4" t="s">
        <v>2</v>
      </c>
      <c r="C148" s="44"/>
      <c r="D148" s="28"/>
      <c r="E148" s="78"/>
      <c r="F148" s="78"/>
      <c r="G148" s="78"/>
    </row>
    <row r="149" spans="1:7" ht="13" hidden="1" customHeight="1" x14ac:dyDescent="0.35">
      <c r="A149" s="25" t="s">
        <v>22</v>
      </c>
      <c r="B149" s="26" t="s">
        <v>34</v>
      </c>
      <c r="C149" s="27"/>
      <c r="D149" s="40" t="s">
        <v>125</v>
      </c>
      <c r="E149" s="78"/>
      <c r="F149" s="78"/>
      <c r="G149" s="78"/>
    </row>
    <row r="150" spans="1:7" x14ac:dyDescent="0.35">
      <c r="A150" s="231" t="s">
        <v>25</v>
      </c>
      <c r="B150" s="233" t="s">
        <v>41</v>
      </c>
      <c r="C150" s="27" t="s">
        <v>70</v>
      </c>
      <c r="D150" s="25" t="s">
        <v>125</v>
      </c>
      <c r="E150" s="78">
        <f>406.82+30.578</f>
        <v>437.39799999999997</v>
      </c>
      <c r="F150" s="78">
        <f>362.14+25.5+67.3</f>
        <v>454.94</v>
      </c>
      <c r="G150" s="78">
        <f>379.05+22.1+70.66+108.867</f>
        <v>580.67700000000002</v>
      </c>
    </row>
    <row r="151" spans="1:7" x14ac:dyDescent="0.35">
      <c r="A151" s="241"/>
      <c r="B151" s="242"/>
      <c r="C151" s="27" t="s">
        <v>71</v>
      </c>
      <c r="D151" s="25" t="s">
        <v>49</v>
      </c>
      <c r="E151" s="78">
        <v>320.04000000000002</v>
      </c>
      <c r="F151" s="78">
        <v>332.8</v>
      </c>
      <c r="G151" s="78">
        <v>351.5</v>
      </c>
    </row>
    <row r="152" spans="1:7" x14ac:dyDescent="0.35">
      <c r="A152" s="232"/>
      <c r="B152" s="234"/>
      <c r="C152" s="27" t="s">
        <v>72</v>
      </c>
      <c r="D152" s="25" t="s">
        <v>137</v>
      </c>
      <c r="E152" s="78">
        <v>12.38</v>
      </c>
      <c r="F152" s="78">
        <v>13.33</v>
      </c>
      <c r="G152" s="78">
        <v>13.33</v>
      </c>
    </row>
    <row r="153" spans="1:7" x14ac:dyDescent="0.35">
      <c r="A153" s="231" t="s">
        <v>23</v>
      </c>
      <c r="B153" s="233" t="s">
        <v>44</v>
      </c>
      <c r="C153" s="27" t="s">
        <v>163</v>
      </c>
      <c r="D153" s="25" t="s">
        <v>38</v>
      </c>
      <c r="E153" s="78">
        <v>8.14</v>
      </c>
      <c r="F153" s="78">
        <v>8.14</v>
      </c>
      <c r="G153" s="78">
        <v>8.14</v>
      </c>
    </row>
    <row r="154" spans="1:7" hidden="1" x14ac:dyDescent="0.35">
      <c r="A154" s="241"/>
      <c r="B154" s="242"/>
      <c r="C154" s="27" t="s">
        <v>164</v>
      </c>
      <c r="D154" s="25" t="s">
        <v>137</v>
      </c>
      <c r="E154" s="78"/>
      <c r="F154" s="78"/>
      <c r="G154" s="78"/>
    </row>
    <row r="155" spans="1:7" x14ac:dyDescent="0.35">
      <c r="A155" s="232"/>
      <c r="B155" s="234"/>
      <c r="C155" s="27" t="s">
        <v>164</v>
      </c>
      <c r="D155" s="25" t="s">
        <v>125</v>
      </c>
      <c r="E155" s="78">
        <v>8.5</v>
      </c>
      <c r="F155" s="78">
        <v>8.92</v>
      </c>
      <c r="G155" s="78">
        <v>8.92</v>
      </c>
    </row>
    <row r="156" spans="1:7" ht="13" hidden="1" customHeight="1" x14ac:dyDescent="0.35">
      <c r="A156" s="231" t="s">
        <v>33</v>
      </c>
      <c r="B156" s="233" t="s">
        <v>45</v>
      </c>
      <c r="C156" s="27"/>
      <c r="D156" s="25" t="s">
        <v>125</v>
      </c>
      <c r="E156" s="78"/>
      <c r="F156" s="78"/>
      <c r="G156" s="78"/>
    </row>
    <row r="157" spans="1:7" ht="13" hidden="1" customHeight="1" x14ac:dyDescent="0.35">
      <c r="A157" s="232"/>
      <c r="B157" s="234"/>
      <c r="C157" s="27"/>
      <c r="D157" s="25" t="s">
        <v>137</v>
      </c>
      <c r="E157" s="78"/>
      <c r="F157" s="78"/>
      <c r="G157" s="78"/>
    </row>
    <row r="158" spans="1:7" x14ac:dyDescent="0.35">
      <c r="A158" s="231" t="s">
        <v>32</v>
      </c>
      <c r="B158" s="233" t="s">
        <v>46</v>
      </c>
      <c r="C158" s="27" t="s">
        <v>223</v>
      </c>
      <c r="D158" s="25" t="s">
        <v>125</v>
      </c>
      <c r="E158" s="78">
        <v>0.46</v>
      </c>
      <c r="F158" s="78">
        <v>0.46</v>
      </c>
      <c r="G158" s="78">
        <v>0.46</v>
      </c>
    </row>
    <row r="159" spans="1:7" hidden="1" x14ac:dyDescent="0.35">
      <c r="A159" s="232"/>
      <c r="B159" s="234"/>
      <c r="C159" s="27" t="s">
        <v>274</v>
      </c>
      <c r="D159" s="25" t="s">
        <v>50</v>
      </c>
      <c r="E159" s="78"/>
      <c r="F159" s="78"/>
      <c r="G159" s="78"/>
    </row>
    <row r="160" spans="1:7" x14ac:dyDescent="0.35">
      <c r="A160" s="121" t="s">
        <v>7</v>
      </c>
      <c r="B160" s="23" t="s">
        <v>48</v>
      </c>
      <c r="C160" s="27" t="s">
        <v>266</v>
      </c>
      <c r="D160" s="25" t="s">
        <v>125</v>
      </c>
      <c r="E160" s="78">
        <v>49</v>
      </c>
      <c r="F160" s="78"/>
      <c r="G160" s="78"/>
    </row>
    <row r="161" spans="1:7" ht="18" customHeight="1" x14ac:dyDescent="0.3">
      <c r="A161" s="212"/>
      <c r="B161" s="168" t="s">
        <v>321</v>
      </c>
      <c r="C161" s="180" t="s">
        <v>108</v>
      </c>
      <c r="D161" s="174"/>
      <c r="E161" s="167">
        <f>SUM(E164:E174)</f>
        <v>1177.374</v>
      </c>
      <c r="F161" s="167">
        <f>SUM(F164:F174)</f>
        <v>1335.789</v>
      </c>
      <c r="G161" s="167">
        <f>SUM(G164:G174)</f>
        <v>1268.1399999999999</v>
      </c>
    </row>
    <row r="162" spans="1:7" x14ac:dyDescent="0.35">
      <c r="A162" s="213"/>
      <c r="B162" s="4" t="s">
        <v>2</v>
      </c>
      <c r="C162" s="44"/>
      <c r="D162" s="28"/>
      <c r="E162" s="78"/>
      <c r="F162" s="78"/>
      <c r="G162" s="78"/>
    </row>
    <row r="163" spans="1:7" ht="13" hidden="1" customHeight="1" x14ac:dyDescent="0.35">
      <c r="A163" s="25" t="s">
        <v>22</v>
      </c>
      <c r="B163" s="26" t="s">
        <v>34</v>
      </c>
      <c r="C163" s="27"/>
      <c r="D163" s="40" t="s">
        <v>125</v>
      </c>
      <c r="E163" s="78"/>
      <c r="F163" s="78"/>
      <c r="G163" s="78"/>
    </row>
    <row r="164" spans="1:7" x14ac:dyDescent="0.35">
      <c r="A164" s="231" t="s">
        <v>25</v>
      </c>
      <c r="B164" s="233" t="s">
        <v>41</v>
      </c>
      <c r="C164" s="27" t="s">
        <v>73</v>
      </c>
      <c r="D164" s="25" t="s">
        <v>125</v>
      </c>
      <c r="E164" s="78">
        <f>541.6+80.31</f>
        <v>621.91000000000008</v>
      </c>
      <c r="F164" s="78">
        <f>488.85+80.9+79.09+0.7+125.269</f>
        <v>774.80900000000008</v>
      </c>
      <c r="G164" s="78">
        <f>512+82.9+83.04</f>
        <v>677.93999999999994</v>
      </c>
    </row>
    <row r="165" spans="1:7" ht="12.65" customHeight="1" x14ac:dyDescent="0.35">
      <c r="A165" s="241"/>
      <c r="B165" s="242"/>
      <c r="C165" s="27" t="s">
        <v>74</v>
      </c>
      <c r="D165" s="25" t="s">
        <v>49</v>
      </c>
      <c r="E165" s="78">
        <v>494.83</v>
      </c>
      <c r="F165" s="78">
        <v>512.45000000000005</v>
      </c>
      <c r="G165" s="78">
        <v>541.66999999999996</v>
      </c>
    </row>
    <row r="166" spans="1:7" x14ac:dyDescent="0.35">
      <c r="A166" s="232"/>
      <c r="B166" s="234"/>
      <c r="C166" s="27" t="s">
        <v>75</v>
      </c>
      <c r="D166" s="25" t="s">
        <v>137</v>
      </c>
      <c r="E166" s="78">
        <v>16.77</v>
      </c>
      <c r="F166" s="78">
        <v>18.059999999999999</v>
      </c>
      <c r="G166" s="78">
        <v>18.059999999999999</v>
      </c>
    </row>
    <row r="167" spans="1:7" x14ac:dyDescent="0.35">
      <c r="A167" s="231" t="s">
        <v>23</v>
      </c>
      <c r="B167" s="233" t="s">
        <v>44</v>
      </c>
      <c r="C167" s="27" t="s">
        <v>165</v>
      </c>
      <c r="D167" s="25" t="s">
        <v>38</v>
      </c>
      <c r="E167" s="78">
        <v>9.2799999999999994</v>
      </c>
      <c r="F167" s="78">
        <v>9.2799999999999994</v>
      </c>
      <c r="G167" s="78">
        <v>9.2799999999999994</v>
      </c>
    </row>
    <row r="168" spans="1:7" hidden="1" x14ac:dyDescent="0.35">
      <c r="A168" s="241"/>
      <c r="B168" s="242"/>
      <c r="C168" s="27" t="s">
        <v>166</v>
      </c>
      <c r="D168" s="25" t="s">
        <v>137</v>
      </c>
      <c r="E168" s="78"/>
      <c r="F168" s="78"/>
      <c r="G168" s="78"/>
    </row>
    <row r="169" spans="1:7" x14ac:dyDescent="0.35">
      <c r="A169" s="232"/>
      <c r="B169" s="234"/>
      <c r="C169" s="27" t="s">
        <v>166</v>
      </c>
      <c r="D169" s="25" t="s">
        <v>125</v>
      </c>
      <c r="E169" s="78">
        <v>19.7</v>
      </c>
      <c r="F169" s="78">
        <v>20.69</v>
      </c>
      <c r="G169" s="78">
        <v>20.69</v>
      </c>
    </row>
    <row r="170" spans="1:7" ht="13" hidden="1" customHeight="1" x14ac:dyDescent="0.35">
      <c r="A170" s="231" t="s">
        <v>33</v>
      </c>
      <c r="B170" s="233" t="s">
        <v>45</v>
      </c>
      <c r="C170" s="27" t="s">
        <v>166</v>
      </c>
      <c r="D170" s="25" t="s">
        <v>125</v>
      </c>
      <c r="E170" s="78"/>
      <c r="F170" s="78"/>
      <c r="G170" s="78"/>
    </row>
    <row r="171" spans="1:7" ht="13" hidden="1" customHeight="1" x14ac:dyDescent="0.35">
      <c r="A171" s="232"/>
      <c r="B171" s="234"/>
      <c r="C171" s="27" t="s">
        <v>224</v>
      </c>
      <c r="D171" s="25" t="s">
        <v>137</v>
      </c>
      <c r="E171" s="78"/>
      <c r="F171" s="78"/>
      <c r="G171" s="78"/>
    </row>
    <row r="172" spans="1:7" x14ac:dyDescent="0.35">
      <c r="A172" s="47" t="s">
        <v>32</v>
      </c>
      <c r="B172" s="237" t="s">
        <v>46</v>
      </c>
      <c r="C172" s="27" t="s">
        <v>224</v>
      </c>
      <c r="D172" s="25" t="s">
        <v>125</v>
      </c>
      <c r="E172" s="78">
        <v>0.5</v>
      </c>
      <c r="F172" s="78">
        <v>0.5</v>
      </c>
      <c r="G172" s="78">
        <v>0.5</v>
      </c>
    </row>
    <row r="173" spans="1:7" ht="13" hidden="1" customHeight="1" x14ac:dyDescent="0.35">
      <c r="A173" s="121"/>
      <c r="B173" s="238"/>
      <c r="C173" s="27" t="s">
        <v>229</v>
      </c>
      <c r="D173" s="25" t="s">
        <v>50</v>
      </c>
      <c r="E173" s="78"/>
      <c r="F173" s="78"/>
      <c r="G173" s="78"/>
    </row>
    <row r="174" spans="1:7" x14ac:dyDescent="0.35">
      <c r="A174" s="121" t="s">
        <v>7</v>
      </c>
      <c r="B174" s="23" t="s">
        <v>48</v>
      </c>
      <c r="C174" s="27" t="s">
        <v>229</v>
      </c>
      <c r="D174" s="25" t="s">
        <v>125</v>
      </c>
      <c r="E174" s="78">
        <v>14.384</v>
      </c>
      <c r="F174" s="78"/>
      <c r="G174" s="78"/>
    </row>
    <row r="175" spans="1:7" ht="19.3" customHeight="1" x14ac:dyDescent="0.3">
      <c r="A175" s="212"/>
      <c r="B175" s="168" t="s">
        <v>322</v>
      </c>
      <c r="C175" s="180" t="s">
        <v>109</v>
      </c>
      <c r="D175" s="174"/>
      <c r="E175" s="167">
        <f>SUM(E178:E187)</f>
        <v>1406.922</v>
      </c>
      <c r="F175" s="167">
        <f>SUM(F178:F187)</f>
        <v>1372.9700000000003</v>
      </c>
      <c r="G175" s="167">
        <f>SUM(G178:G187)</f>
        <v>1444.8300000000002</v>
      </c>
    </row>
    <row r="176" spans="1:7" x14ac:dyDescent="0.35">
      <c r="A176" s="213"/>
      <c r="B176" s="4" t="s">
        <v>2</v>
      </c>
      <c r="C176" s="44"/>
      <c r="D176" s="28"/>
      <c r="E176" s="78"/>
      <c r="F176" s="78"/>
      <c r="G176" s="78"/>
    </row>
    <row r="177" spans="1:7" ht="13" hidden="1" customHeight="1" x14ac:dyDescent="0.35">
      <c r="A177" s="25" t="s">
        <v>22</v>
      </c>
      <c r="B177" s="26" t="s">
        <v>34</v>
      </c>
      <c r="C177" s="27"/>
      <c r="D177" s="40" t="s">
        <v>125</v>
      </c>
      <c r="E177" s="78"/>
      <c r="F177" s="78"/>
      <c r="G177" s="78"/>
    </row>
    <row r="178" spans="1:7" x14ac:dyDescent="0.35">
      <c r="A178" s="231" t="s">
        <v>25</v>
      </c>
      <c r="B178" s="233" t="s">
        <v>41</v>
      </c>
      <c r="C178" s="27" t="s">
        <v>76</v>
      </c>
      <c r="D178" s="25" t="s">
        <v>125</v>
      </c>
      <c r="E178" s="78">
        <f>663.307+109.145</f>
        <v>772.452</v>
      </c>
      <c r="F178" s="78">
        <f>545.95+108.6+41.04</f>
        <v>695.59</v>
      </c>
      <c r="G178" s="78">
        <f>571.88+117.2+43.09</f>
        <v>732.17000000000007</v>
      </c>
    </row>
    <row r="179" spans="1:7" x14ac:dyDescent="0.35">
      <c r="A179" s="241"/>
      <c r="B179" s="242"/>
      <c r="C179" s="27" t="s">
        <v>77</v>
      </c>
      <c r="D179" s="25" t="s">
        <v>49</v>
      </c>
      <c r="E179" s="78">
        <v>586.61</v>
      </c>
      <c r="F179" s="78">
        <v>627.5</v>
      </c>
      <c r="G179" s="78">
        <v>662.78</v>
      </c>
    </row>
    <row r="180" spans="1:7" ht="13" customHeight="1" x14ac:dyDescent="0.35">
      <c r="A180" s="232"/>
      <c r="B180" s="234"/>
      <c r="C180" s="27" t="s">
        <v>78</v>
      </c>
      <c r="D180" s="25" t="s">
        <v>137</v>
      </c>
      <c r="E180" s="78">
        <v>16.440000000000001</v>
      </c>
      <c r="F180" s="78">
        <v>17.71</v>
      </c>
      <c r="G180" s="78">
        <v>17.71</v>
      </c>
    </row>
    <row r="181" spans="1:7" x14ac:dyDescent="0.35">
      <c r="A181" s="231" t="s">
        <v>23</v>
      </c>
      <c r="B181" s="233" t="s">
        <v>44</v>
      </c>
      <c r="C181" s="27" t="s">
        <v>167</v>
      </c>
      <c r="D181" s="25" t="s">
        <v>38</v>
      </c>
      <c r="E181" s="78">
        <v>15.68</v>
      </c>
      <c r="F181" s="78">
        <v>15.68</v>
      </c>
      <c r="G181" s="78">
        <v>15.68</v>
      </c>
    </row>
    <row r="182" spans="1:7" x14ac:dyDescent="0.35">
      <c r="A182" s="232"/>
      <c r="B182" s="234"/>
      <c r="C182" s="27" t="s">
        <v>168</v>
      </c>
      <c r="D182" s="25" t="s">
        <v>125</v>
      </c>
      <c r="E182" s="78">
        <v>14.95</v>
      </c>
      <c r="F182" s="78">
        <v>15.7</v>
      </c>
      <c r="G182" s="78">
        <v>15.7</v>
      </c>
    </row>
    <row r="183" spans="1:7" ht="13" hidden="1" customHeight="1" x14ac:dyDescent="0.35">
      <c r="A183" s="121" t="s">
        <v>33</v>
      </c>
      <c r="B183" s="23" t="s">
        <v>45</v>
      </c>
      <c r="C183" s="27" t="s">
        <v>219</v>
      </c>
      <c r="D183" s="25" t="s">
        <v>50</v>
      </c>
      <c r="E183" s="78"/>
      <c r="F183" s="78"/>
      <c r="G183" s="78"/>
    </row>
    <row r="184" spans="1:7" ht="13" hidden="1" customHeight="1" x14ac:dyDescent="0.35">
      <c r="A184" s="231" t="s">
        <v>33</v>
      </c>
      <c r="B184" s="233" t="s">
        <v>45</v>
      </c>
      <c r="C184" s="27"/>
      <c r="D184" s="25" t="s">
        <v>125</v>
      </c>
      <c r="E184" s="78"/>
      <c r="F184" s="78"/>
      <c r="G184" s="78"/>
    </row>
    <row r="185" spans="1:7" ht="13" hidden="1" customHeight="1" x14ac:dyDescent="0.35">
      <c r="A185" s="232"/>
      <c r="B185" s="234"/>
      <c r="C185" s="27" t="s">
        <v>168</v>
      </c>
      <c r="D185" s="25" t="s">
        <v>137</v>
      </c>
      <c r="E185" s="78"/>
      <c r="F185" s="78"/>
      <c r="G185" s="78"/>
    </row>
    <row r="186" spans="1:7" x14ac:dyDescent="0.35">
      <c r="A186" s="47" t="s">
        <v>32</v>
      </c>
      <c r="B186" s="46" t="s">
        <v>46</v>
      </c>
      <c r="C186" s="27" t="s">
        <v>219</v>
      </c>
      <c r="D186" s="25" t="s">
        <v>125</v>
      </c>
      <c r="E186" s="78">
        <v>0.79</v>
      </c>
      <c r="F186" s="78">
        <v>0.79</v>
      </c>
      <c r="G186" s="78">
        <v>0.79</v>
      </c>
    </row>
    <row r="187" spans="1:7" ht="13" hidden="1" customHeight="1" x14ac:dyDescent="0.35">
      <c r="A187" s="121" t="s">
        <v>7</v>
      </c>
      <c r="B187" s="23" t="s">
        <v>48</v>
      </c>
      <c r="C187" s="27" t="s">
        <v>228</v>
      </c>
      <c r="D187" s="25" t="s">
        <v>125</v>
      </c>
      <c r="E187" s="78"/>
      <c r="F187" s="78"/>
      <c r="G187" s="78"/>
    </row>
    <row r="188" spans="1:7" ht="18.649999999999999" customHeight="1" x14ac:dyDescent="0.3">
      <c r="A188" s="212"/>
      <c r="B188" s="168" t="s">
        <v>323</v>
      </c>
      <c r="C188" s="180" t="s">
        <v>110</v>
      </c>
      <c r="D188" s="173"/>
      <c r="E188" s="167">
        <f>SUM(E191:E202)</f>
        <v>1405.53</v>
      </c>
      <c r="F188" s="167">
        <f>SUM(F191:F202)</f>
        <v>1301.5100000000004</v>
      </c>
      <c r="G188" s="167">
        <f>SUM(G191:G202)</f>
        <v>1368.2300000000002</v>
      </c>
    </row>
    <row r="189" spans="1:7" x14ac:dyDescent="0.35">
      <c r="A189" s="213"/>
      <c r="B189" s="4" t="s">
        <v>2</v>
      </c>
      <c r="C189" s="44"/>
      <c r="D189" s="28"/>
      <c r="E189" s="78"/>
      <c r="F189" s="78"/>
      <c r="G189" s="78"/>
    </row>
    <row r="190" spans="1:7" ht="13" hidden="1" customHeight="1" x14ac:dyDescent="0.35">
      <c r="A190" s="25" t="s">
        <v>22</v>
      </c>
      <c r="B190" s="26" t="s">
        <v>34</v>
      </c>
      <c r="C190" s="27"/>
      <c r="D190" s="40" t="s">
        <v>125</v>
      </c>
      <c r="E190" s="78"/>
      <c r="F190" s="78"/>
      <c r="G190" s="78"/>
    </row>
    <row r="191" spans="1:7" x14ac:dyDescent="0.35">
      <c r="A191" s="265" t="s">
        <v>25</v>
      </c>
      <c r="B191" s="266" t="s">
        <v>41</v>
      </c>
      <c r="C191" s="27" t="s">
        <v>79</v>
      </c>
      <c r="D191" s="25" t="s">
        <v>125</v>
      </c>
      <c r="E191" s="78">
        <f>710.03+81.9</f>
        <v>791.93</v>
      </c>
      <c r="F191" s="78">
        <f>515.71+91.8+50.32</f>
        <v>657.83</v>
      </c>
      <c r="G191" s="78">
        <f>540.08+99+52.84</f>
        <v>691.92000000000007</v>
      </c>
    </row>
    <row r="192" spans="1:7" x14ac:dyDescent="0.35">
      <c r="A192" s="265"/>
      <c r="B192" s="266"/>
      <c r="C192" s="27" t="s">
        <v>80</v>
      </c>
      <c r="D192" s="25" t="s">
        <v>49</v>
      </c>
      <c r="E192" s="78">
        <v>552.16</v>
      </c>
      <c r="F192" s="78">
        <v>589.20000000000005</v>
      </c>
      <c r="G192" s="78">
        <v>621.83000000000004</v>
      </c>
    </row>
    <row r="193" spans="1:7" hidden="1" x14ac:dyDescent="0.35">
      <c r="A193" s="265"/>
      <c r="B193" s="266"/>
      <c r="C193" s="27" t="s">
        <v>81</v>
      </c>
      <c r="D193" s="25" t="s">
        <v>187</v>
      </c>
      <c r="E193" s="78"/>
      <c r="F193" s="78"/>
      <c r="G193" s="78"/>
    </row>
    <row r="194" spans="1:7" x14ac:dyDescent="0.35">
      <c r="A194" s="265"/>
      <c r="B194" s="266"/>
      <c r="C194" s="27" t="s">
        <v>81</v>
      </c>
      <c r="D194" s="25" t="s">
        <v>137</v>
      </c>
      <c r="E194" s="78">
        <v>16.600000000000001</v>
      </c>
      <c r="F194" s="78">
        <v>17.88</v>
      </c>
      <c r="G194" s="78">
        <v>17.88</v>
      </c>
    </row>
    <row r="195" spans="1:7" hidden="1" x14ac:dyDescent="0.35">
      <c r="A195" s="187" t="s">
        <v>39</v>
      </c>
      <c r="B195" s="188" t="s">
        <v>124</v>
      </c>
      <c r="C195" s="27" t="s">
        <v>169</v>
      </c>
      <c r="D195" s="25" t="s">
        <v>125</v>
      </c>
      <c r="E195" s="78"/>
      <c r="F195" s="78"/>
      <c r="G195" s="78"/>
    </row>
    <row r="196" spans="1:7" x14ac:dyDescent="0.35">
      <c r="A196" s="231" t="s">
        <v>23</v>
      </c>
      <c r="B196" s="233" t="s">
        <v>44</v>
      </c>
      <c r="C196" s="27" t="s">
        <v>135</v>
      </c>
      <c r="D196" s="25" t="s">
        <v>38</v>
      </c>
      <c r="E196" s="78">
        <v>14.14</v>
      </c>
      <c r="F196" s="78">
        <v>14.14</v>
      </c>
      <c r="G196" s="78">
        <v>14.14</v>
      </c>
    </row>
    <row r="197" spans="1:7" x14ac:dyDescent="0.35">
      <c r="A197" s="241"/>
      <c r="B197" s="242"/>
      <c r="C197" s="27" t="s">
        <v>169</v>
      </c>
      <c r="D197" s="25" t="s">
        <v>125</v>
      </c>
      <c r="E197" s="78">
        <v>20.3</v>
      </c>
      <c r="F197" s="78">
        <v>21.3</v>
      </c>
      <c r="G197" s="78">
        <v>21.3</v>
      </c>
    </row>
    <row r="198" spans="1:7" hidden="1" x14ac:dyDescent="0.35">
      <c r="A198" s="232"/>
      <c r="B198" s="234"/>
      <c r="C198" s="27" t="s">
        <v>276</v>
      </c>
      <c r="D198" s="25" t="s">
        <v>137</v>
      </c>
      <c r="E198" s="78"/>
      <c r="F198" s="78"/>
      <c r="G198" s="78"/>
    </row>
    <row r="199" spans="1:7" ht="13" hidden="1" customHeight="1" x14ac:dyDescent="0.35">
      <c r="A199" s="265" t="s">
        <v>33</v>
      </c>
      <c r="B199" s="266" t="s">
        <v>45</v>
      </c>
      <c r="C199" s="41" t="s">
        <v>270</v>
      </c>
      <c r="D199" s="25" t="s">
        <v>125</v>
      </c>
      <c r="E199" s="78"/>
      <c r="F199" s="78"/>
      <c r="G199" s="78"/>
    </row>
    <row r="200" spans="1:7" ht="13" hidden="1" customHeight="1" x14ac:dyDescent="0.35">
      <c r="A200" s="265"/>
      <c r="B200" s="266"/>
      <c r="C200" s="41" t="s">
        <v>276</v>
      </c>
      <c r="D200" s="25" t="s">
        <v>137</v>
      </c>
      <c r="E200" s="78"/>
      <c r="F200" s="78"/>
      <c r="G200" s="78"/>
    </row>
    <row r="201" spans="1:7" x14ac:dyDescent="0.35">
      <c r="A201" s="47" t="s">
        <v>32</v>
      </c>
      <c r="B201" s="46" t="s">
        <v>46</v>
      </c>
      <c r="C201" s="41" t="s">
        <v>225</v>
      </c>
      <c r="D201" s="25" t="s">
        <v>125</v>
      </c>
      <c r="E201" s="78">
        <v>1.1599999999999999</v>
      </c>
      <c r="F201" s="78">
        <v>1.1599999999999999</v>
      </c>
      <c r="G201" s="78">
        <v>1.1599999999999999</v>
      </c>
    </row>
    <row r="202" spans="1:7" x14ac:dyDescent="0.35">
      <c r="A202" s="235" t="s">
        <v>7</v>
      </c>
      <c r="B202" s="237" t="s">
        <v>48</v>
      </c>
      <c r="C202" s="41" t="s">
        <v>270</v>
      </c>
      <c r="D202" s="25" t="s">
        <v>125</v>
      </c>
      <c r="E202" s="78">
        <f>5.94+3.3</f>
        <v>9.24</v>
      </c>
      <c r="F202" s="78"/>
      <c r="G202" s="78"/>
    </row>
    <row r="203" spans="1:7" ht="13" hidden="1" customHeight="1" x14ac:dyDescent="0.35">
      <c r="A203" s="236"/>
      <c r="B203" s="238"/>
      <c r="C203" s="41"/>
      <c r="D203" s="27" t="s">
        <v>137</v>
      </c>
      <c r="E203" s="78"/>
      <c r="F203" s="78"/>
      <c r="G203" s="78"/>
    </row>
    <row r="204" spans="1:7" ht="13" hidden="1" customHeight="1" x14ac:dyDescent="0.35">
      <c r="A204" s="213"/>
      <c r="B204" s="4"/>
      <c r="C204" s="44"/>
      <c r="D204" s="28"/>
      <c r="E204" s="78"/>
      <c r="F204" s="78"/>
      <c r="G204" s="78"/>
    </row>
    <row r="205" spans="1:7" ht="13" hidden="1" customHeight="1" x14ac:dyDescent="0.35">
      <c r="A205" s="235"/>
      <c r="B205" s="237"/>
      <c r="C205" s="27"/>
      <c r="D205" s="25"/>
      <c r="E205" s="78"/>
      <c r="F205" s="78"/>
      <c r="G205" s="78"/>
    </row>
    <row r="206" spans="1:7" ht="13" hidden="1" customHeight="1" x14ac:dyDescent="0.35">
      <c r="A206" s="244"/>
      <c r="B206" s="243"/>
      <c r="C206" s="27"/>
      <c r="D206" s="25"/>
      <c r="E206" s="78"/>
      <c r="F206" s="78"/>
      <c r="G206" s="78"/>
    </row>
    <row r="207" spans="1:7" ht="13" hidden="1" customHeight="1" x14ac:dyDescent="0.35">
      <c r="A207" s="244"/>
      <c r="B207" s="243"/>
      <c r="C207" s="27"/>
      <c r="D207" s="25"/>
      <c r="E207" s="78"/>
      <c r="F207" s="78"/>
      <c r="G207" s="78"/>
    </row>
    <row r="208" spans="1:7" ht="13" hidden="1" customHeight="1" x14ac:dyDescent="0.35">
      <c r="A208" s="236"/>
      <c r="B208" s="238"/>
      <c r="C208" s="27"/>
      <c r="D208" s="25"/>
      <c r="E208" s="78"/>
      <c r="F208" s="78"/>
      <c r="G208" s="78"/>
    </row>
    <row r="209" spans="1:7" ht="13" hidden="1" customHeight="1" x14ac:dyDescent="0.35">
      <c r="A209" s="47"/>
      <c r="B209" s="46"/>
      <c r="C209" s="27"/>
      <c r="D209" s="25"/>
      <c r="E209" s="78"/>
      <c r="F209" s="78"/>
      <c r="G209" s="78"/>
    </row>
    <row r="210" spans="1:7" ht="13" hidden="1" customHeight="1" x14ac:dyDescent="0.35">
      <c r="A210" s="121"/>
      <c r="B210" s="76"/>
      <c r="C210" s="27"/>
      <c r="D210" s="25"/>
      <c r="E210" s="78"/>
      <c r="F210" s="78"/>
      <c r="G210" s="78"/>
    </row>
    <row r="211" spans="1:7" ht="13" hidden="1" customHeight="1" x14ac:dyDescent="0.35">
      <c r="A211" s="121"/>
      <c r="B211" s="23"/>
      <c r="C211" s="27"/>
      <c r="D211" s="25"/>
      <c r="E211" s="78"/>
      <c r="F211" s="78"/>
      <c r="G211" s="78"/>
    </row>
    <row r="212" spans="1:7" ht="13" hidden="1" customHeight="1" x14ac:dyDescent="0.35">
      <c r="A212" s="214"/>
      <c r="B212" s="24"/>
      <c r="C212" s="42"/>
      <c r="D212" s="28"/>
      <c r="E212" s="123"/>
      <c r="F212" s="123"/>
      <c r="G212" s="123"/>
    </row>
    <row r="213" spans="1:7" ht="13" hidden="1" customHeight="1" x14ac:dyDescent="0.35">
      <c r="A213" s="213"/>
      <c r="B213" s="4"/>
      <c r="C213" s="44"/>
      <c r="D213" s="28"/>
      <c r="E213" s="78"/>
      <c r="F213" s="78"/>
      <c r="G213" s="78"/>
    </row>
    <row r="214" spans="1:7" ht="13" hidden="1" customHeight="1" x14ac:dyDescent="0.35">
      <c r="A214" s="25"/>
      <c r="B214" s="26"/>
      <c r="C214" s="27"/>
      <c r="D214" s="40"/>
      <c r="E214" s="78"/>
      <c r="F214" s="78"/>
      <c r="G214" s="78"/>
    </row>
    <row r="215" spans="1:7" ht="13" hidden="1" customHeight="1" x14ac:dyDescent="0.35">
      <c r="A215" s="235"/>
      <c r="B215" s="237"/>
      <c r="C215" s="27"/>
      <c r="D215" s="25"/>
      <c r="E215" s="78"/>
      <c r="F215" s="78"/>
      <c r="G215" s="78"/>
    </row>
    <row r="216" spans="1:7" ht="13" hidden="1" customHeight="1" x14ac:dyDescent="0.35">
      <c r="A216" s="244"/>
      <c r="B216" s="243"/>
      <c r="C216" s="27"/>
      <c r="D216" s="25"/>
      <c r="E216" s="78"/>
      <c r="F216" s="78"/>
      <c r="G216" s="78"/>
    </row>
    <row r="217" spans="1:7" ht="13" hidden="1" customHeight="1" x14ac:dyDescent="0.35">
      <c r="A217" s="244"/>
      <c r="B217" s="243"/>
      <c r="C217" s="27"/>
      <c r="D217" s="25"/>
      <c r="E217" s="78"/>
      <c r="F217" s="78"/>
      <c r="G217" s="78"/>
    </row>
    <row r="218" spans="1:7" ht="13" hidden="1" customHeight="1" x14ac:dyDescent="0.35">
      <c r="A218" s="236"/>
      <c r="B218" s="238"/>
      <c r="C218" s="27"/>
      <c r="D218" s="25"/>
      <c r="E218" s="78"/>
      <c r="F218" s="78"/>
      <c r="G218" s="78"/>
    </row>
    <row r="219" spans="1:7" ht="13" hidden="1" customHeight="1" x14ac:dyDescent="0.35">
      <c r="A219" s="121"/>
      <c r="B219" s="23"/>
      <c r="C219" s="27"/>
      <c r="D219" s="25"/>
      <c r="E219" s="78"/>
      <c r="F219" s="78"/>
      <c r="G219" s="78"/>
    </row>
    <row r="220" spans="1:7" ht="13" hidden="1" customHeight="1" x14ac:dyDescent="0.35">
      <c r="A220" s="121"/>
      <c r="B220" s="76"/>
      <c r="C220" s="27"/>
      <c r="D220" s="25"/>
      <c r="E220" s="78"/>
      <c r="F220" s="78"/>
      <c r="G220" s="78"/>
    </row>
    <row r="221" spans="1:7" ht="13" hidden="1" customHeight="1" x14ac:dyDescent="0.35">
      <c r="A221" s="235"/>
      <c r="B221" s="237"/>
      <c r="C221" s="27"/>
      <c r="D221" s="25"/>
      <c r="E221" s="78"/>
      <c r="F221" s="78"/>
      <c r="G221" s="78"/>
    </row>
    <row r="222" spans="1:7" ht="13" hidden="1" customHeight="1" x14ac:dyDescent="0.35">
      <c r="A222" s="236"/>
      <c r="B222" s="238"/>
      <c r="C222" s="27"/>
      <c r="D222" s="25"/>
      <c r="E222" s="78"/>
      <c r="F222" s="78"/>
      <c r="G222" s="78"/>
    </row>
    <row r="223" spans="1:7" ht="13" hidden="1" customHeight="1" x14ac:dyDescent="0.35">
      <c r="A223" s="121"/>
      <c r="B223" s="76"/>
      <c r="C223" s="27"/>
      <c r="D223" s="25"/>
      <c r="E223" s="78"/>
      <c r="F223" s="78"/>
      <c r="G223" s="78"/>
    </row>
    <row r="224" spans="1:7" ht="13" hidden="1" customHeight="1" x14ac:dyDescent="0.35">
      <c r="A224" s="231"/>
      <c r="B224" s="233"/>
      <c r="C224" s="27"/>
      <c r="D224" s="25"/>
      <c r="E224" s="78"/>
      <c r="F224" s="78"/>
      <c r="G224" s="78"/>
    </row>
    <row r="225" spans="1:7" ht="13" hidden="1" customHeight="1" x14ac:dyDescent="0.35">
      <c r="A225" s="232"/>
      <c r="B225" s="234"/>
      <c r="C225" s="27"/>
      <c r="D225" s="25"/>
      <c r="E225" s="78"/>
      <c r="F225" s="78"/>
      <c r="G225" s="78"/>
    </row>
    <row r="226" spans="1:7" ht="13" hidden="1" customHeight="1" x14ac:dyDescent="0.35">
      <c r="A226" s="231"/>
      <c r="B226" s="233"/>
      <c r="C226" s="27"/>
      <c r="D226" s="25"/>
      <c r="E226" s="78"/>
      <c r="F226" s="78"/>
      <c r="G226" s="78"/>
    </row>
    <row r="227" spans="1:7" ht="13" hidden="1" customHeight="1" x14ac:dyDescent="0.35">
      <c r="A227" s="232"/>
      <c r="B227" s="234"/>
      <c r="C227" s="27"/>
      <c r="D227" s="25"/>
      <c r="E227" s="78"/>
      <c r="F227" s="78"/>
      <c r="G227" s="78"/>
    </row>
    <row r="228" spans="1:7" ht="18.649999999999999" customHeight="1" x14ac:dyDescent="0.3">
      <c r="A228" s="212"/>
      <c r="B228" s="168" t="s">
        <v>324</v>
      </c>
      <c r="C228" s="180" t="s">
        <v>111</v>
      </c>
      <c r="D228" s="170"/>
      <c r="E228" s="167">
        <f>SUM(E230:E238)</f>
        <v>2077.2400000000007</v>
      </c>
      <c r="F228" s="167">
        <f>SUM(F230:F238)</f>
        <v>2096.9800000000005</v>
      </c>
      <c r="G228" s="167">
        <f>SUM(G230:G238)</f>
        <v>2182.4100000000003</v>
      </c>
    </row>
    <row r="229" spans="1:7" x14ac:dyDescent="0.35">
      <c r="A229" s="215"/>
      <c r="B229" s="4" t="s">
        <v>2</v>
      </c>
      <c r="C229" s="44"/>
      <c r="D229" s="25"/>
      <c r="E229" s="78"/>
      <c r="F229" s="78"/>
      <c r="G229" s="78"/>
    </row>
    <row r="230" spans="1:7" x14ac:dyDescent="0.35">
      <c r="A230" s="25" t="s">
        <v>22</v>
      </c>
      <c r="B230" s="26" t="s">
        <v>34</v>
      </c>
      <c r="C230" s="27" t="s">
        <v>82</v>
      </c>
      <c r="D230" s="25" t="s">
        <v>125</v>
      </c>
      <c r="E230" s="78">
        <v>0.88</v>
      </c>
      <c r="F230" s="78">
        <v>0.88</v>
      </c>
      <c r="G230" s="78">
        <v>0.88</v>
      </c>
    </row>
    <row r="231" spans="1:7" x14ac:dyDescent="0.35">
      <c r="A231" s="231" t="s">
        <v>25</v>
      </c>
      <c r="B231" s="262" t="s">
        <v>41</v>
      </c>
      <c r="C231" s="27" t="s">
        <v>83</v>
      </c>
      <c r="D231" s="25" t="s">
        <v>125</v>
      </c>
      <c r="E231" s="78">
        <f>1644.7+158.2</f>
        <v>1802.9</v>
      </c>
      <c r="F231" s="78">
        <f>1618.6+28.23+171</f>
        <v>1817.83</v>
      </c>
      <c r="G231" s="78">
        <f>1698.23+28.61+184.6</f>
        <v>1911.4399999999998</v>
      </c>
    </row>
    <row r="232" spans="1:7" x14ac:dyDescent="0.35">
      <c r="A232" s="241"/>
      <c r="B232" s="263"/>
      <c r="C232" s="27" t="s">
        <v>170</v>
      </c>
      <c r="D232" s="25" t="s">
        <v>49</v>
      </c>
      <c r="E232" s="78">
        <v>20.45</v>
      </c>
      <c r="F232" s="78">
        <v>22.13</v>
      </c>
      <c r="G232" s="78">
        <v>23.95</v>
      </c>
    </row>
    <row r="233" spans="1:7" ht="13" hidden="1" customHeight="1" x14ac:dyDescent="0.35">
      <c r="A233" s="241"/>
      <c r="B233" s="263"/>
      <c r="C233" s="27"/>
      <c r="D233" s="25" t="s">
        <v>187</v>
      </c>
      <c r="E233" s="78"/>
      <c r="F233" s="78"/>
      <c r="G233" s="78"/>
    </row>
    <row r="234" spans="1:7" x14ac:dyDescent="0.35">
      <c r="A234" s="232"/>
      <c r="B234" s="264"/>
      <c r="C234" s="27" t="s">
        <v>171</v>
      </c>
      <c r="D234" s="25" t="s">
        <v>137</v>
      </c>
      <c r="E234" s="78">
        <v>228.5</v>
      </c>
      <c r="F234" s="78">
        <v>241.13</v>
      </c>
      <c r="G234" s="78">
        <v>241.13</v>
      </c>
    </row>
    <row r="235" spans="1:7" ht="25.75" x14ac:dyDescent="0.3">
      <c r="A235" s="178" t="s">
        <v>30</v>
      </c>
      <c r="B235" s="179" t="s">
        <v>43</v>
      </c>
      <c r="C235" s="181" t="s">
        <v>188</v>
      </c>
      <c r="D235" s="132" t="s">
        <v>125</v>
      </c>
      <c r="E235" s="78">
        <v>4</v>
      </c>
      <c r="F235" s="78">
        <v>14</v>
      </c>
      <c r="G235" s="78">
        <v>4</v>
      </c>
    </row>
    <row r="236" spans="1:7" ht="13" hidden="1" customHeight="1" x14ac:dyDescent="0.35">
      <c r="A236" s="47" t="s">
        <v>33</v>
      </c>
      <c r="B236" s="46" t="s">
        <v>45</v>
      </c>
      <c r="C236" s="27"/>
      <c r="D236" s="25" t="s">
        <v>125</v>
      </c>
      <c r="E236" s="78"/>
      <c r="F236" s="78"/>
      <c r="G236" s="78"/>
    </row>
    <row r="237" spans="1:7" x14ac:dyDescent="0.35">
      <c r="A237" s="25" t="s">
        <v>32</v>
      </c>
      <c r="B237" s="76" t="s">
        <v>46</v>
      </c>
      <c r="C237" s="27" t="s">
        <v>200</v>
      </c>
      <c r="D237" s="25" t="s">
        <v>125</v>
      </c>
      <c r="E237" s="78">
        <v>1.01</v>
      </c>
      <c r="F237" s="78">
        <v>1.01</v>
      </c>
      <c r="G237" s="78">
        <v>1.01</v>
      </c>
    </row>
    <row r="238" spans="1:7" x14ac:dyDescent="0.35">
      <c r="A238" s="235" t="s">
        <v>7</v>
      </c>
      <c r="B238" s="237" t="s">
        <v>48</v>
      </c>
      <c r="C238" s="27" t="s">
        <v>252</v>
      </c>
      <c r="D238" s="25" t="s">
        <v>125</v>
      </c>
      <c r="E238" s="78">
        <v>19.5</v>
      </c>
      <c r="F238" s="78"/>
      <c r="G238" s="78"/>
    </row>
    <row r="239" spans="1:7" ht="13" hidden="1" customHeight="1" x14ac:dyDescent="0.35">
      <c r="A239" s="236"/>
      <c r="B239" s="238"/>
      <c r="C239" s="27"/>
      <c r="D239" s="25" t="s">
        <v>137</v>
      </c>
      <c r="E239" s="78"/>
      <c r="F239" s="78"/>
      <c r="G239" s="78"/>
    </row>
    <row r="240" spans="1:7" ht="21" customHeight="1" x14ac:dyDescent="0.3">
      <c r="A240" s="212"/>
      <c r="B240" s="175" t="s">
        <v>325</v>
      </c>
      <c r="C240" s="174" t="s">
        <v>112</v>
      </c>
      <c r="D240" s="174"/>
      <c r="E240" s="167">
        <f>SUM(E242:E250)</f>
        <v>500.26400000000001</v>
      </c>
      <c r="F240" s="167">
        <f>SUM(F242:F250)</f>
        <v>566.44099999999992</v>
      </c>
      <c r="G240" s="167">
        <f>SUM(G242:G250)</f>
        <v>594.16099999999994</v>
      </c>
    </row>
    <row r="241" spans="1:7" x14ac:dyDescent="0.35">
      <c r="A241" s="213"/>
      <c r="B241" s="4" t="s">
        <v>2</v>
      </c>
      <c r="C241" s="44"/>
      <c r="D241" s="28"/>
      <c r="E241" s="78"/>
      <c r="F241" s="78"/>
      <c r="G241" s="78"/>
    </row>
    <row r="242" spans="1:7" ht="13.75" hidden="1" customHeight="1" x14ac:dyDescent="0.35">
      <c r="A242" s="47" t="s">
        <v>22</v>
      </c>
      <c r="B242" s="26" t="s">
        <v>34</v>
      </c>
      <c r="C242" s="27"/>
      <c r="D242" s="40" t="s">
        <v>125</v>
      </c>
      <c r="E242" s="78"/>
      <c r="F242" s="78"/>
      <c r="G242" s="78"/>
    </row>
    <row r="243" spans="1:7" x14ac:dyDescent="0.35">
      <c r="A243" s="231" t="s">
        <v>25</v>
      </c>
      <c r="B243" s="233" t="s">
        <v>41</v>
      </c>
      <c r="C243" s="27" t="s">
        <v>84</v>
      </c>
      <c r="D243" s="25" t="s">
        <v>125</v>
      </c>
      <c r="E243" s="78">
        <v>373.33</v>
      </c>
      <c r="F243" s="78">
        <f>154.29+29.1+172.07+8+65.6</f>
        <v>429.05999999999995</v>
      </c>
      <c r="G243" s="78">
        <f>161.87+30.8+180.67+8+0.7+65.6</f>
        <v>447.64</v>
      </c>
    </row>
    <row r="244" spans="1:7" x14ac:dyDescent="0.35">
      <c r="A244" s="241"/>
      <c r="B244" s="242"/>
      <c r="C244" s="27" t="s">
        <v>85</v>
      </c>
      <c r="D244" s="25" t="s">
        <v>49</v>
      </c>
      <c r="E244" s="78">
        <v>101.73</v>
      </c>
      <c r="F244" s="78">
        <v>110.16</v>
      </c>
      <c r="G244" s="78">
        <v>119.3</v>
      </c>
    </row>
    <row r="245" spans="1:7" hidden="1" x14ac:dyDescent="0.35">
      <c r="A245" s="241"/>
      <c r="B245" s="242"/>
      <c r="C245" s="27" t="s">
        <v>172</v>
      </c>
      <c r="D245" s="25" t="s">
        <v>187</v>
      </c>
      <c r="E245" s="78"/>
      <c r="F245" s="78"/>
      <c r="G245" s="78"/>
    </row>
    <row r="246" spans="1:7" x14ac:dyDescent="0.35">
      <c r="A246" s="232"/>
      <c r="B246" s="234"/>
      <c r="C246" s="27" t="s">
        <v>172</v>
      </c>
      <c r="D246" s="25" t="s">
        <v>137</v>
      </c>
      <c r="E246" s="78">
        <v>25.204000000000001</v>
      </c>
      <c r="F246" s="78">
        <v>27.221</v>
      </c>
      <c r="G246" s="78">
        <v>27.221</v>
      </c>
    </row>
    <row r="247" spans="1:7" ht="13" hidden="1" customHeight="1" x14ac:dyDescent="0.35">
      <c r="A247" s="121" t="s">
        <v>33</v>
      </c>
      <c r="B247" s="23" t="s">
        <v>45</v>
      </c>
      <c r="C247" s="27" t="s">
        <v>189</v>
      </c>
      <c r="D247" s="25" t="s">
        <v>50</v>
      </c>
      <c r="E247" s="78"/>
      <c r="F247" s="78"/>
      <c r="G247" s="78"/>
    </row>
    <row r="248" spans="1:7" ht="13" hidden="1" customHeight="1" x14ac:dyDescent="0.35">
      <c r="A248" s="231" t="s">
        <v>33</v>
      </c>
      <c r="B248" s="233" t="s">
        <v>45</v>
      </c>
      <c r="C248" s="27"/>
      <c r="D248" s="25" t="s">
        <v>125</v>
      </c>
      <c r="E248" s="78"/>
      <c r="F248" s="78"/>
      <c r="G248" s="78"/>
    </row>
    <row r="249" spans="1:7" ht="13" hidden="1" customHeight="1" x14ac:dyDescent="0.35">
      <c r="A249" s="232"/>
      <c r="B249" s="234"/>
      <c r="C249" s="27"/>
      <c r="D249" s="25" t="s">
        <v>137</v>
      </c>
      <c r="E249" s="78"/>
      <c r="F249" s="78"/>
      <c r="G249" s="78"/>
    </row>
    <row r="250" spans="1:7" ht="13" hidden="1" customHeight="1" x14ac:dyDescent="0.35">
      <c r="A250" s="121" t="s">
        <v>7</v>
      </c>
      <c r="B250" s="23" t="s">
        <v>48</v>
      </c>
      <c r="C250" s="27" t="s">
        <v>191</v>
      </c>
      <c r="D250" s="25" t="s">
        <v>137</v>
      </c>
      <c r="E250" s="78"/>
      <c r="F250" s="78"/>
      <c r="G250" s="78"/>
    </row>
    <row r="251" spans="1:7" ht="21" customHeight="1" x14ac:dyDescent="0.3">
      <c r="A251" s="212"/>
      <c r="B251" s="176" t="s">
        <v>326</v>
      </c>
      <c r="C251" s="174" t="s">
        <v>113</v>
      </c>
      <c r="D251" s="173"/>
      <c r="E251" s="167">
        <f>SUM(E253:E265)</f>
        <v>855.4</v>
      </c>
      <c r="F251" s="167">
        <f>SUM(F253:F265)</f>
        <v>852.65000000000009</v>
      </c>
      <c r="G251" s="167">
        <f>SUM(G253:G265)</f>
        <v>891.25</v>
      </c>
    </row>
    <row r="252" spans="1:7" x14ac:dyDescent="0.35">
      <c r="A252" s="213"/>
      <c r="B252" s="4" t="s">
        <v>2</v>
      </c>
      <c r="C252" s="44"/>
      <c r="D252" s="28"/>
      <c r="E252" s="78"/>
      <c r="F252" s="78"/>
      <c r="G252" s="78"/>
    </row>
    <row r="253" spans="1:7" ht="13" hidden="1" customHeight="1" x14ac:dyDescent="0.35">
      <c r="A253" s="47" t="s">
        <v>22</v>
      </c>
      <c r="B253" s="26" t="s">
        <v>34</v>
      </c>
      <c r="C253" s="27"/>
      <c r="D253" s="25" t="s">
        <v>125</v>
      </c>
      <c r="E253" s="78"/>
      <c r="F253" s="78"/>
      <c r="G253" s="78"/>
    </row>
    <row r="254" spans="1:7" hidden="1" x14ac:dyDescent="0.35">
      <c r="A254" s="120" t="s">
        <v>25</v>
      </c>
      <c r="B254" s="116" t="s">
        <v>41</v>
      </c>
      <c r="C254" s="27" t="s">
        <v>86</v>
      </c>
      <c r="D254" s="25" t="s">
        <v>125</v>
      </c>
      <c r="E254" s="78"/>
      <c r="F254" s="78"/>
      <c r="G254" s="78"/>
    </row>
    <row r="255" spans="1:7" ht="13" hidden="1" customHeight="1" x14ac:dyDescent="0.35">
      <c r="A255" s="47" t="s">
        <v>31</v>
      </c>
      <c r="B255" s="116" t="s">
        <v>308</v>
      </c>
      <c r="C255" s="27"/>
      <c r="D255" s="25" t="s">
        <v>125</v>
      </c>
      <c r="E255" s="78"/>
      <c r="F255" s="78"/>
      <c r="G255" s="78"/>
    </row>
    <row r="256" spans="1:7" ht="26.05" hidden="1" customHeight="1" x14ac:dyDescent="0.35">
      <c r="A256" s="121" t="s">
        <v>30</v>
      </c>
      <c r="B256" s="23" t="s">
        <v>43</v>
      </c>
      <c r="C256" s="27"/>
      <c r="D256" s="25" t="s">
        <v>125</v>
      </c>
      <c r="E256" s="78"/>
      <c r="F256" s="78"/>
      <c r="G256" s="78"/>
    </row>
    <row r="257" spans="1:7" ht="13" hidden="1" customHeight="1" x14ac:dyDescent="0.35">
      <c r="A257" s="121" t="s">
        <v>39</v>
      </c>
      <c r="B257" s="23" t="s">
        <v>124</v>
      </c>
      <c r="C257" s="27"/>
      <c r="D257" s="25" t="s">
        <v>125</v>
      </c>
      <c r="E257" s="78"/>
      <c r="F257" s="78"/>
      <c r="G257" s="78"/>
    </row>
    <row r="258" spans="1:7" ht="13" hidden="1" customHeight="1" x14ac:dyDescent="0.35">
      <c r="A258" s="121" t="s">
        <v>23</v>
      </c>
      <c r="B258" s="23" t="s">
        <v>44</v>
      </c>
      <c r="C258" s="27"/>
      <c r="D258" s="25" t="s">
        <v>125</v>
      </c>
      <c r="E258" s="78"/>
      <c r="F258" s="78"/>
      <c r="G258" s="78"/>
    </row>
    <row r="259" spans="1:7" ht="13" hidden="1" customHeight="1" x14ac:dyDescent="0.35">
      <c r="A259" s="231" t="s">
        <v>33</v>
      </c>
      <c r="B259" s="233" t="s">
        <v>45</v>
      </c>
      <c r="C259" s="27"/>
      <c r="D259" s="25" t="s">
        <v>125</v>
      </c>
      <c r="E259" s="78"/>
      <c r="F259" s="78"/>
      <c r="G259" s="78"/>
    </row>
    <row r="260" spans="1:7" ht="13" hidden="1" customHeight="1" x14ac:dyDescent="0.35">
      <c r="A260" s="232"/>
      <c r="B260" s="234"/>
      <c r="C260" s="27" t="s">
        <v>181</v>
      </c>
      <c r="D260" s="25" t="s">
        <v>137</v>
      </c>
      <c r="E260" s="78"/>
      <c r="F260" s="78"/>
      <c r="G260" s="78"/>
    </row>
    <row r="261" spans="1:7" ht="13" hidden="1" customHeight="1" x14ac:dyDescent="0.35">
      <c r="A261" s="47" t="s">
        <v>32</v>
      </c>
      <c r="B261" s="46" t="s">
        <v>46</v>
      </c>
      <c r="C261" s="27" t="s">
        <v>213</v>
      </c>
      <c r="D261" s="25" t="s">
        <v>125</v>
      </c>
      <c r="E261" s="78"/>
      <c r="F261" s="78"/>
      <c r="G261" s="78"/>
    </row>
    <row r="262" spans="1:7" x14ac:dyDescent="0.35">
      <c r="A262" s="231" t="s">
        <v>40</v>
      </c>
      <c r="B262" s="233" t="s">
        <v>47</v>
      </c>
      <c r="C262" s="27" t="s">
        <v>86</v>
      </c>
      <c r="D262" s="25" t="s">
        <v>125</v>
      </c>
      <c r="E262" s="78">
        <f>249.98+145.3</f>
        <v>395.28</v>
      </c>
      <c r="F262" s="78">
        <f>252.71+156.5</f>
        <v>409.21000000000004</v>
      </c>
      <c r="G262" s="78">
        <f>263.47+168.6</f>
        <v>432.07000000000005</v>
      </c>
    </row>
    <row r="263" spans="1:7" ht="13" hidden="1" customHeight="1" x14ac:dyDescent="0.35">
      <c r="A263" s="241"/>
      <c r="B263" s="242"/>
      <c r="C263" s="27"/>
      <c r="D263" s="25" t="s">
        <v>137</v>
      </c>
      <c r="E263" s="78"/>
      <c r="F263" s="78"/>
      <c r="G263" s="78"/>
    </row>
    <row r="264" spans="1:7" hidden="1" x14ac:dyDescent="0.35">
      <c r="A264" s="232"/>
      <c r="B264" s="234"/>
      <c r="C264" s="27" t="s">
        <v>181</v>
      </c>
      <c r="D264" s="25" t="s">
        <v>38</v>
      </c>
      <c r="E264" s="78"/>
      <c r="F264" s="78"/>
      <c r="G264" s="78"/>
    </row>
    <row r="265" spans="1:7" x14ac:dyDescent="0.35">
      <c r="A265" s="47" t="s">
        <v>7</v>
      </c>
      <c r="B265" s="23" t="s">
        <v>48</v>
      </c>
      <c r="C265" s="27" t="s">
        <v>180</v>
      </c>
      <c r="D265" s="25" t="s">
        <v>125</v>
      </c>
      <c r="E265" s="78">
        <v>460.12</v>
      </c>
      <c r="F265" s="78">
        <f>360.44+83</f>
        <v>443.44</v>
      </c>
      <c r="G265" s="78">
        <f>376.18+83</f>
        <v>459.18</v>
      </c>
    </row>
    <row r="266" spans="1:7" ht="13" hidden="1" customHeight="1" x14ac:dyDescent="0.35">
      <c r="A266" s="214"/>
      <c r="B266" s="24"/>
      <c r="C266" s="42"/>
      <c r="D266" s="28"/>
      <c r="E266" s="123"/>
      <c r="F266" s="123"/>
      <c r="G266" s="123"/>
    </row>
    <row r="267" spans="1:7" ht="13" hidden="1" customHeight="1" x14ac:dyDescent="0.35">
      <c r="A267" s="213"/>
      <c r="B267" s="4"/>
      <c r="C267" s="44"/>
      <c r="D267" s="28"/>
      <c r="E267" s="78"/>
      <c r="F267" s="78"/>
      <c r="G267" s="78"/>
    </row>
    <row r="268" spans="1:7" ht="13" hidden="1" customHeight="1" x14ac:dyDescent="0.35">
      <c r="A268" s="25"/>
      <c r="B268" s="26"/>
      <c r="C268" s="27"/>
      <c r="D268" s="40"/>
      <c r="E268" s="78"/>
      <c r="F268" s="78"/>
      <c r="G268" s="78"/>
    </row>
    <row r="269" spans="1:7" ht="13" hidden="1" customHeight="1" x14ac:dyDescent="0.35">
      <c r="A269" s="120"/>
      <c r="B269" s="116"/>
      <c r="C269" s="27"/>
      <c r="D269" s="40"/>
      <c r="E269" s="78"/>
      <c r="F269" s="78"/>
      <c r="G269" s="78"/>
    </row>
    <row r="270" spans="1:7" ht="13" hidden="1" customHeight="1" x14ac:dyDescent="0.35">
      <c r="A270" s="235"/>
      <c r="B270" s="237"/>
      <c r="C270" s="27"/>
      <c r="D270" s="25"/>
      <c r="E270" s="78"/>
      <c r="F270" s="78"/>
      <c r="G270" s="78"/>
    </row>
    <row r="271" spans="1:7" ht="13" hidden="1" customHeight="1" x14ac:dyDescent="0.35">
      <c r="A271" s="244"/>
      <c r="B271" s="243"/>
      <c r="C271" s="27"/>
      <c r="D271" s="25"/>
      <c r="E271" s="78"/>
      <c r="F271" s="78"/>
      <c r="G271" s="78"/>
    </row>
    <row r="272" spans="1:7" ht="13" hidden="1" customHeight="1" x14ac:dyDescent="0.35">
      <c r="A272" s="236"/>
      <c r="B272" s="238"/>
      <c r="C272" s="27"/>
      <c r="D272" s="25"/>
      <c r="E272" s="78"/>
      <c r="F272" s="78"/>
      <c r="G272" s="78"/>
    </row>
    <row r="273" spans="1:7" ht="13" hidden="1" customHeight="1" x14ac:dyDescent="0.35">
      <c r="A273" s="121"/>
      <c r="B273" s="76"/>
      <c r="C273" s="27"/>
      <c r="D273" s="25"/>
      <c r="E273" s="78"/>
      <c r="F273" s="78"/>
      <c r="G273" s="78"/>
    </row>
    <row r="274" spans="1:7" ht="13" hidden="1" customHeight="1" x14ac:dyDescent="0.35">
      <c r="A274" s="121"/>
      <c r="B274" s="23"/>
      <c r="C274" s="27"/>
      <c r="D274" s="25"/>
      <c r="E274" s="78"/>
      <c r="F274" s="78"/>
      <c r="G274" s="78"/>
    </row>
    <row r="275" spans="1:7" ht="13" hidden="1" customHeight="1" x14ac:dyDescent="0.35">
      <c r="A275" s="121"/>
      <c r="B275" s="23"/>
      <c r="C275" s="27"/>
      <c r="D275" s="25"/>
      <c r="E275" s="78"/>
      <c r="F275" s="78"/>
      <c r="G275" s="78"/>
    </row>
    <row r="276" spans="1:7" ht="13" hidden="1" customHeight="1" x14ac:dyDescent="0.35">
      <c r="A276" s="47"/>
      <c r="B276" s="46"/>
      <c r="C276" s="27"/>
      <c r="D276" s="25"/>
      <c r="E276" s="78"/>
      <c r="F276" s="78"/>
      <c r="G276" s="78"/>
    </row>
    <row r="277" spans="1:7" ht="13" hidden="1" customHeight="1" x14ac:dyDescent="0.35">
      <c r="A277" s="121"/>
      <c r="B277" s="76"/>
      <c r="C277" s="27"/>
      <c r="D277" s="25"/>
      <c r="E277" s="78"/>
      <c r="F277" s="78"/>
      <c r="G277" s="78"/>
    </row>
    <row r="278" spans="1:7" ht="13" hidden="1" customHeight="1" x14ac:dyDescent="0.35">
      <c r="A278" s="47"/>
      <c r="B278" s="23"/>
      <c r="C278" s="27"/>
      <c r="D278" s="25"/>
      <c r="E278" s="78"/>
      <c r="F278" s="78"/>
      <c r="G278" s="78"/>
    </row>
    <row r="279" spans="1:7" ht="19.3" customHeight="1" x14ac:dyDescent="0.3">
      <c r="A279" s="212"/>
      <c r="B279" s="168" t="s">
        <v>327</v>
      </c>
      <c r="C279" s="180" t="s">
        <v>114</v>
      </c>
      <c r="D279" s="174"/>
      <c r="E279" s="167">
        <f>SUM(E281:E289)</f>
        <v>528.12599999999986</v>
      </c>
      <c r="F279" s="167">
        <f>SUM(F281:F289)</f>
        <v>513.79599999999994</v>
      </c>
      <c r="G279" s="167">
        <f>SUM(G281:G289)</f>
        <v>537.53599999999994</v>
      </c>
    </row>
    <row r="280" spans="1:7" x14ac:dyDescent="0.35">
      <c r="A280" s="213"/>
      <c r="B280" s="4" t="s">
        <v>2</v>
      </c>
      <c r="C280" s="44"/>
      <c r="D280" s="28"/>
      <c r="E280" s="78"/>
      <c r="F280" s="78"/>
      <c r="G280" s="78"/>
    </row>
    <row r="281" spans="1:7" ht="13" hidden="1" customHeight="1" x14ac:dyDescent="0.35">
      <c r="A281" s="120" t="s">
        <v>22</v>
      </c>
      <c r="B281" s="26" t="s">
        <v>34</v>
      </c>
      <c r="C281" s="27"/>
      <c r="D281" s="40" t="s">
        <v>125</v>
      </c>
      <c r="E281" s="78"/>
      <c r="F281" s="78"/>
      <c r="G281" s="78"/>
    </row>
    <row r="282" spans="1:7" ht="13" hidden="1" customHeight="1" x14ac:dyDescent="0.35">
      <c r="A282" s="120" t="s">
        <v>25</v>
      </c>
      <c r="B282" s="116" t="s">
        <v>41</v>
      </c>
      <c r="C282" s="27"/>
      <c r="D282" s="40" t="s">
        <v>137</v>
      </c>
      <c r="E282" s="78"/>
      <c r="F282" s="78"/>
      <c r="G282" s="78"/>
    </row>
    <row r="283" spans="1:7" x14ac:dyDescent="0.35">
      <c r="A283" s="235" t="s">
        <v>30</v>
      </c>
      <c r="B283" s="237" t="s">
        <v>43</v>
      </c>
      <c r="C283" s="27" t="s">
        <v>87</v>
      </c>
      <c r="D283" s="25" t="s">
        <v>125</v>
      </c>
      <c r="E283" s="78">
        <f>486.64+1.9</f>
        <v>488.53999999999996</v>
      </c>
      <c r="F283" s="78">
        <f>483.31+2.3+2.6</f>
        <v>488.21000000000004</v>
      </c>
      <c r="G283" s="78">
        <f>506.55+2.8+2.6</f>
        <v>511.95000000000005</v>
      </c>
    </row>
    <row r="284" spans="1:7" x14ac:dyDescent="0.35">
      <c r="A284" s="236"/>
      <c r="B284" s="238"/>
      <c r="C284" s="27" t="s">
        <v>88</v>
      </c>
      <c r="D284" s="25" t="s">
        <v>137</v>
      </c>
      <c r="E284" s="78">
        <v>25.276</v>
      </c>
      <c r="F284" s="78">
        <v>25.276</v>
      </c>
      <c r="G284" s="78">
        <v>25.276</v>
      </c>
    </row>
    <row r="285" spans="1:7" ht="12" hidden="1" customHeight="1" x14ac:dyDescent="0.35">
      <c r="A285" s="231" t="s">
        <v>33</v>
      </c>
      <c r="B285" s="233" t="s">
        <v>45</v>
      </c>
      <c r="C285" s="27"/>
      <c r="D285" s="25" t="s">
        <v>125</v>
      </c>
      <c r="E285" s="78"/>
      <c r="F285" s="78"/>
      <c r="G285" s="78"/>
    </row>
    <row r="286" spans="1:7" ht="13" hidden="1" customHeight="1" x14ac:dyDescent="0.35">
      <c r="A286" s="232"/>
      <c r="B286" s="234"/>
      <c r="C286" s="27" t="s">
        <v>183</v>
      </c>
      <c r="D286" s="25" t="s">
        <v>137</v>
      </c>
      <c r="E286" s="78"/>
      <c r="F286" s="78"/>
      <c r="G286" s="78"/>
    </row>
    <row r="287" spans="1:7" x14ac:dyDescent="0.35">
      <c r="A287" s="47" t="s">
        <v>32</v>
      </c>
      <c r="B287" s="46" t="s">
        <v>46</v>
      </c>
      <c r="C287" s="27" t="s">
        <v>89</v>
      </c>
      <c r="D287" s="25" t="s">
        <v>125</v>
      </c>
      <c r="E287" s="78">
        <v>0.31</v>
      </c>
      <c r="F287" s="78">
        <v>0.31</v>
      </c>
      <c r="G287" s="78">
        <v>0.31</v>
      </c>
    </row>
    <row r="288" spans="1:7" x14ac:dyDescent="0.35">
      <c r="A288" s="235" t="s">
        <v>7</v>
      </c>
      <c r="B288" s="237" t="s">
        <v>48</v>
      </c>
      <c r="C288" s="27" t="s">
        <v>182</v>
      </c>
      <c r="D288" s="25" t="s">
        <v>125</v>
      </c>
      <c r="E288" s="78">
        <v>14</v>
      </c>
      <c r="F288" s="78"/>
      <c r="G288" s="78"/>
    </row>
    <row r="289" spans="1:7" ht="13" hidden="1" customHeight="1" x14ac:dyDescent="0.35">
      <c r="A289" s="236"/>
      <c r="B289" s="238"/>
      <c r="C289" s="27" t="s">
        <v>290</v>
      </c>
      <c r="D289" s="25" t="s">
        <v>137</v>
      </c>
      <c r="E289" s="78"/>
      <c r="F289" s="78"/>
      <c r="G289" s="78"/>
    </row>
    <row r="290" spans="1:7" ht="19.3" customHeight="1" x14ac:dyDescent="0.3">
      <c r="A290" s="212"/>
      <c r="B290" s="168" t="s">
        <v>328</v>
      </c>
      <c r="C290" s="180" t="s">
        <v>115</v>
      </c>
      <c r="D290" s="174"/>
      <c r="E290" s="167">
        <f>SUM(E292:E304)</f>
        <v>1553.07</v>
      </c>
      <c r="F290" s="167">
        <f>SUM(F292:F304)</f>
        <v>1410.8500000000001</v>
      </c>
      <c r="G290" s="167">
        <f>SUM(G292:G304)</f>
        <v>1461.29</v>
      </c>
    </row>
    <row r="291" spans="1:7" ht="12.65" customHeight="1" x14ac:dyDescent="0.35">
      <c r="A291" s="213"/>
      <c r="B291" s="4" t="s">
        <v>2</v>
      </c>
      <c r="C291" s="44"/>
      <c r="D291" s="28"/>
      <c r="E291" s="78"/>
      <c r="F291" s="78"/>
      <c r="G291" s="78"/>
    </row>
    <row r="292" spans="1:7" ht="13" hidden="1" customHeight="1" x14ac:dyDescent="0.35">
      <c r="A292" s="120" t="s">
        <v>22</v>
      </c>
      <c r="B292" s="26" t="s">
        <v>34</v>
      </c>
      <c r="C292" s="27"/>
      <c r="D292" s="40" t="s">
        <v>125</v>
      </c>
      <c r="E292" s="78"/>
      <c r="F292" s="78"/>
      <c r="G292" s="78"/>
    </row>
    <row r="293" spans="1:7" ht="13" hidden="1" customHeight="1" x14ac:dyDescent="0.35">
      <c r="A293" s="235" t="s">
        <v>25</v>
      </c>
      <c r="B293" s="237" t="s">
        <v>41</v>
      </c>
      <c r="C293" s="27"/>
      <c r="D293" s="40" t="s">
        <v>125</v>
      </c>
      <c r="E293" s="78"/>
      <c r="F293" s="78"/>
      <c r="G293" s="78"/>
    </row>
    <row r="294" spans="1:7" ht="13" hidden="1" customHeight="1" x14ac:dyDescent="0.35">
      <c r="A294" s="236"/>
      <c r="B294" s="238"/>
      <c r="C294" s="27"/>
      <c r="D294" s="40" t="s">
        <v>137</v>
      </c>
      <c r="E294" s="78"/>
      <c r="F294" s="78"/>
      <c r="G294" s="78"/>
    </row>
    <row r="295" spans="1:7" ht="24" customHeight="1" x14ac:dyDescent="0.3">
      <c r="A295" s="231" t="s">
        <v>30</v>
      </c>
      <c r="B295" s="237" t="s">
        <v>43</v>
      </c>
      <c r="C295" s="181" t="s">
        <v>90</v>
      </c>
      <c r="D295" s="132" t="s">
        <v>125</v>
      </c>
      <c r="E295" s="78">
        <f>1436.3+47-15</f>
        <v>1468.3</v>
      </c>
      <c r="F295" s="78">
        <f>1175.07+50.9+179.2</f>
        <v>1405.17</v>
      </c>
      <c r="G295" s="78">
        <f>1231.11+54.7+169.8</f>
        <v>1455.61</v>
      </c>
    </row>
    <row r="296" spans="1:7" ht="13" hidden="1" customHeight="1" x14ac:dyDescent="0.35">
      <c r="A296" s="241"/>
      <c r="B296" s="243"/>
      <c r="C296" s="27"/>
      <c r="D296" s="25" t="s">
        <v>137</v>
      </c>
      <c r="E296" s="78"/>
      <c r="F296" s="78"/>
      <c r="G296" s="78"/>
    </row>
    <row r="297" spans="1:7" ht="13" hidden="1" customHeight="1" x14ac:dyDescent="0.35">
      <c r="A297" s="232"/>
      <c r="B297" s="238"/>
      <c r="C297" s="27" t="s">
        <v>93</v>
      </c>
      <c r="D297" s="25" t="s">
        <v>187</v>
      </c>
      <c r="E297" s="78"/>
      <c r="F297" s="78"/>
      <c r="G297" s="78"/>
    </row>
    <row r="298" spans="1:7" ht="13" hidden="1" customHeight="1" x14ac:dyDescent="0.35">
      <c r="A298" s="231" t="s">
        <v>33</v>
      </c>
      <c r="B298" s="233" t="s">
        <v>45</v>
      </c>
      <c r="C298" s="27"/>
      <c r="D298" s="25" t="s">
        <v>125</v>
      </c>
      <c r="E298" s="78"/>
      <c r="F298" s="78"/>
      <c r="G298" s="78"/>
    </row>
    <row r="299" spans="1:7" ht="13" hidden="1" customHeight="1" x14ac:dyDescent="0.35">
      <c r="A299" s="232"/>
      <c r="B299" s="234"/>
      <c r="C299" s="27" t="s">
        <v>117</v>
      </c>
      <c r="D299" s="25" t="s">
        <v>137</v>
      </c>
      <c r="E299" s="78"/>
      <c r="F299" s="78"/>
      <c r="G299" s="78"/>
    </row>
    <row r="300" spans="1:7" x14ac:dyDescent="0.35">
      <c r="A300" s="47" t="s">
        <v>32</v>
      </c>
      <c r="B300" s="26" t="s">
        <v>46</v>
      </c>
      <c r="C300" s="27" t="s">
        <v>91</v>
      </c>
      <c r="D300" s="27" t="s">
        <v>125</v>
      </c>
      <c r="E300" s="78">
        <v>1.98</v>
      </c>
      <c r="F300" s="78">
        <v>1.98</v>
      </c>
      <c r="G300" s="78">
        <v>1.98</v>
      </c>
    </row>
    <row r="301" spans="1:7" x14ac:dyDescent="0.35">
      <c r="A301" s="120" t="s">
        <v>40</v>
      </c>
      <c r="B301" s="50" t="s">
        <v>47</v>
      </c>
      <c r="C301" s="27" t="s">
        <v>92</v>
      </c>
      <c r="D301" s="40" t="s">
        <v>125</v>
      </c>
      <c r="E301" s="78">
        <v>3.7</v>
      </c>
      <c r="F301" s="78">
        <v>3.7</v>
      </c>
      <c r="G301" s="78">
        <v>3.7</v>
      </c>
    </row>
    <row r="302" spans="1:7" x14ac:dyDescent="0.35">
      <c r="A302" s="235" t="s">
        <v>7</v>
      </c>
      <c r="B302" s="237" t="s">
        <v>48</v>
      </c>
      <c r="C302" s="27" t="s">
        <v>93</v>
      </c>
      <c r="D302" s="25" t="s">
        <v>125</v>
      </c>
      <c r="E302" s="78">
        <v>79.09</v>
      </c>
      <c r="F302" s="78"/>
      <c r="G302" s="78"/>
    </row>
    <row r="303" spans="1:7" ht="13" hidden="1" customHeight="1" x14ac:dyDescent="0.35">
      <c r="A303" s="244"/>
      <c r="B303" s="243"/>
      <c r="C303" s="27" t="s">
        <v>214</v>
      </c>
      <c r="D303" s="25" t="s">
        <v>187</v>
      </c>
      <c r="E303" s="78"/>
      <c r="F303" s="78"/>
      <c r="G303" s="78"/>
    </row>
    <row r="304" spans="1:7" ht="13" hidden="1" customHeight="1" x14ac:dyDescent="0.35">
      <c r="A304" s="236"/>
      <c r="B304" s="238"/>
      <c r="C304" s="27" t="s">
        <v>302</v>
      </c>
      <c r="D304" s="25" t="s">
        <v>137</v>
      </c>
      <c r="E304" s="78"/>
      <c r="F304" s="78"/>
      <c r="G304" s="78"/>
    </row>
    <row r="305" spans="1:7" ht="20.399999999999999" customHeight="1" x14ac:dyDescent="0.3">
      <c r="A305" s="212"/>
      <c r="B305" s="168" t="s">
        <v>329</v>
      </c>
      <c r="C305" s="180" t="s">
        <v>118</v>
      </c>
      <c r="D305" s="173"/>
      <c r="E305" s="167">
        <f>SUM(E307:E319)</f>
        <v>3023.4560000000001</v>
      </c>
      <c r="F305" s="167">
        <f>SUM(F307:F319)</f>
        <v>3925.8199999999997</v>
      </c>
      <c r="G305" s="167">
        <f>SUM(G307:G319)</f>
        <v>2816.7159999999999</v>
      </c>
    </row>
    <row r="306" spans="1:7" x14ac:dyDescent="0.35">
      <c r="A306" s="213"/>
      <c r="B306" s="4" t="s">
        <v>2</v>
      </c>
      <c r="C306" s="44"/>
      <c r="D306" s="28"/>
      <c r="E306" s="78"/>
      <c r="F306" s="78"/>
      <c r="G306" s="78"/>
    </row>
    <row r="307" spans="1:7" ht="13" hidden="1" customHeight="1" x14ac:dyDescent="0.35">
      <c r="A307" s="120" t="s">
        <v>22</v>
      </c>
      <c r="B307" s="26" t="s">
        <v>34</v>
      </c>
      <c r="C307" s="27"/>
      <c r="D307" s="40" t="s">
        <v>125</v>
      </c>
      <c r="E307" s="78"/>
      <c r="F307" s="78"/>
      <c r="G307" s="78"/>
    </row>
    <row r="308" spans="1:7" hidden="1" x14ac:dyDescent="0.35">
      <c r="A308" s="231" t="s">
        <v>25</v>
      </c>
      <c r="B308" s="233" t="s">
        <v>41</v>
      </c>
      <c r="C308" s="27" t="s">
        <v>94</v>
      </c>
      <c r="D308" s="40" t="s">
        <v>125</v>
      </c>
      <c r="E308" s="78"/>
      <c r="F308" s="78"/>
      <c r="G308" s="78"/>
    </row>
    <row r="309" spans="1:7" ht="13" hidden="1" customHeight="1" x14ac:dyDescent="0.35">
      <c r="A309" s="232"/>
      <c r="B309" s="234"/>
      <c r="C309" s="27" t="s">
        <v>227</v>
      </c>
      <c r="D309" s="40" t="s">
        <v>137</v>
      </c>
      <c r="E309" s="78"/>
      <c r="F309" s="78"/>
      <c r="G309" s="78"/>
    </row>
    <row r="310" spans="1:7" x14ac:dyDescent="0.35">
      <c r="A310" s="231" t="s">
        <v>23</v>
      </c>
      <c r="B310" s="233" t="s">
        <v>44</v>
      </c>
      <c r="C310" s="27" t="s">
        <v>94</v>
      </c>
      <c r="D310" s="25" t="s">
        <v>125</v>
      </c>
      <c r="E310" s="78">
        <f>589.335+430.3+26.21</f>
        <v>1045.845</v>
      </c>
      <c r="F310" s="78">
        <f>450.93+465.9+34.28+211.654</f>
        <v>1162.7639999999999</v>
      </c>
      <c r="G310" s="78">
        <f>470.15+503+34.28+45.076</f>
        <v>1052.5059999999999</v>
      </c>
    </row>
    <row r="311" spans="1:7" x14ac:dyDescent="0.35">
      <c r="A311" s="241"/>
      <c r="B311" s="242"/>
      <c r="C311" s="27" t="s">
        <v>95</v>
      </c>
      <c r="D311" s="25" t="s">
        <v>38</v>
      </c>
      <c r="E311" s="78">
        <v>1153.5999999999999</v>
      </c>
      <c r="F311" s="78">
        <v>1153.5999999999999</v>
      </c>
      <c r="G311" s="78">
        <v>1153.5999999999999</v>
      </c>
    </row>
    <row r="312" spans="1:7" x14ac:dyDescent="0.35">
      <c r="A312" s="241"/>
      <c r="B312" s="242"/>
      <c r="C312" s="27" t="s">
        <v>227</v>
      </c>
      <c r="D312" s="25" t="s">
        <v>137</v>
      </c>
      <c r="E312" s="78">
        <v>241.99199999999999</v>
      </c>
      <c r="F312" s="78">
        <v>241.49199999999999</v>
      </c>
      <c r="G312" s="78">
        <v>241.49199999999999</v>
      </c>
    </row>
    <row r="313" spans="1:7" x14ac:dyDescent="0.35">
      <c r="A313" s="232"/>
      <c r="B313" s="234"/>
      <c r="C313" s="27" t="s">
        <v>235</v>
      </c>
      <c r="D313" s="25" t="s">
        <v>187</v>
      </c>
      <c r="E313" s="78">
        <f>376.059-0.013</f>
        <v>376.04600000000005</v>
      </c>
      <c r="F313" s="78">
        <v>1287.5039999999999</v>
      </c>
      <c r="G313" s="78">
        <v>308.65800000000002</v>
      </c>
    </row>
    <row r="314" spans="1:7" x14ac:dyDescent="0.35">
      <c r="A314" s="231" t="s">
        <v>33</v>
      </c>
      <c r="B314" s="233" t="s">
        <v>45</v>
      </c>
      <c r="C314" s="27" t="s">
        <v>239</v>
      </c>
      <c r="D314" s="25" t="s">
        <v>125</v>
      </c>
      <c r="E314" s="78">
        <v>0.8</v>
      </c>
      <c r="F314" s="78">
        <v>0.8</v>
      </c>
      <c r="G314" s="78">
        <v>0.8</v>
      </c>
    </row>
    <row r="315" spans="1:7" ht="13" hidden="1" customHeight="1" x14ac:dyDescent="0.35">
      <c r="A315" s="241"/>
      <c r="B315" s="242"/>
      <c r="C315" s="27" t="s">
        <v>262</v>
      </c>
      <c r="D315" s="25" t="s">
        <v>137</v>
      </c>
      <c r="E315" s="78"/>
      <c r="F315" s="78"/>
      <c r="G315" s="78"/>
    </row>
    <row r="316" spans="1:7" ht="15.65" hidden="1" customHeight="1" x14ac:dyDescent="0.35">
      <c r="A316" s="232"/>
      <c r="B316" s="234"/>
      <c r="C316" s="27" t="s">
        <v>242</v>
      </c>
      <c r="D316" s="25" t="s">
        <v>50</v>
      </c>
      <c r="E316" s="78"/>
      <c r="F316" s="78"/>
      <c r="G316" s="78"/>
    </row>
    <row r="317" spans="1:7" ht="13.75" customHeight="1" x14ac:dyDescent="0.35">
      <c r="A317" s="47" t="s">
        <v>32</v>
      </c>
      <c r="B317" s="26" t="s">
        <v>46</v>
      </c>
      <c r="C317" s="27" t="s">
        <v>241</v>
      </c>
      <c r="D317" s="25" t="s">
        <v>125</v>
      </c>
      <c r="E317" s="78">
        <v>2.16</v>
      </c>
      <c r="F317" s="78">
        <v>2.16</v>
      </c>
      <c r="G317" s="78">
        <v>2.16</v>
      </c>
    </row>
    <row r="318" spans="1:7" ht="16.3" hidden="1" customHeight="1" x14ac:dyDescent="0.35">
      <c r="A318" s="121" t="s">
        <v>40</v>
      </c>
      <c r="B318" s="50" t="s">
        <v>47</v>
      </c>
      <c r="C318" s="27" t="s">
        <v>242</v>
      </c>
      <c r="D318" s="25" t="s">
        <v>38</v>
      </c>
      <c r="E318" s="78"/>
      <c r="F318" s="78"/>
      <c r="G318" s="78"/>
    </row>
    <row r="319" spans="1:7" ht="13.75" customHeight="1" x14ac:dyDescent="0.35">
      <c r="A319" s="235" t="s">
        <v>7</v>
      </c>
      <c r="B319" s="237" t="s">
        <v>48</v>
      </c>
      <c r="C319" s="27" t="s">
        <v>242</v>
      </c>
      <c r="D319" s="25" t="s">
        <v>125</v>
      </c>
      <c r="E319" s="78">
        <v>203.01300000000001</v>
      </c>
      <c r="F319" s="78">
        <v>77.5</v>
      </c>
      <c r="G319" s="78">
        <v>57.5</v>
      </c>
    </row>
    <row r="320" spans="1:7" ht="12.65" hidden="1" customHeight="1" x14ac:dyDescent="0.35">
      <c r="A320" s="236"/>
      <c r="B320" s="238"/>
      <c r="C320" s="27" t="s">
        <v>291</v>
      </c>
      <c r="D320" s="48" t="s">
        <v>137</v>
      </c>
      <c r="E320" s="78"/>
      <c r="F320" s="78"/>
      <c r="G320" s="78"/>
    </row>
    <row r="321" spans="1:7" ht="19.75" customHeight="1" x14ac:dyDescent="0.3">
      <c r="A321" s="216"/>
      <c r="B321" s="168" t="s">
        <v>330</v>
      </c>
      <c r="C321" s="182" t="s">
        <v>119</v>
      </c>
      <c r="D321" s="177"/>
      <c r="E321" s="167">
        <f>SUM(E323:E334)</f>
        <v>1196.5610000000004</v>
      </c>
      <c r="F321" s="167">
        <f>SUM(F323:F334)</f>
        <v>2415.8040000000001</v>
      </c>
      <c r="G321" s="167">
        <f>SUM(G323:G334)</f>
        <v>1894.3129999999999</v>
      </c>
    </row>
    <row r="322" spans="1:7" x14ac:dyDescent="0.35">
      <c r="A322" s="213"/>
      <c r="B322" s="4" t="s">
        <v>2</v>
      </c>
      <c r="C322" s="44"/>
      <c r="D322" s="28"/>
      <c r="E322" s="78"/>
      <c r="F322" s="78"/>
      <c r="G322" s="78"/>
    </row>
    <row r="323" spans="1:7" ht="13" hidden="1" customHeight="1" x14ac:dyDescent="0.35">
      <c r="A323" s="120" t="s">
        <v>22</v>
      </c>
      <c r="B323" s="26" t="s">
        <v>34</v>
      </c>
      <c r="C323" s="27"/>
      <c r="D323" s="40" t="s">
        <v>125</v>
      </c>
      <c r="E323" s="78"/>
      <c r="F323" s="78"/>
      <c r="G323" s="78"/>
    </row>
    <row r="324" spans="1:7" hidden="1" x14ac:dyDescent="0.35">
      <c r="A324" s="120" t="s">
        <v>25</v>
      </c>
      <c r="B324" s="116" t="s">
        <v>41</v>
      </c>
      <c r="C324" s="27" t="s">
        <v>96</v>
      </c>
      <c r="D324" s="40" t="s">
        <v>125</v>
      </c>
      <c r="E324" s="78"/>
      <c r="F324" s="78"/>
      <c r="G324" s="78"/>
    </row>
    <row r="325" spans="1:7" x14ac:dyDescent="0.35">
      <c r="A325" s="231" t="s">
        <v>23</v>
      </c>
      <c r="B325" s="233" t="s">
        <v>44</v>
      </c>
      <c r="C325" s="27" t="s">
        <v>96</v>
      </c>
      <c r="D325" s="25" t="s">
        <v>125</v>
      </c>
      <c r="E325" s="78">
        <f>917.727+43.2</f>
        <v>960.92700000000002</v>
      </c>
      <c r="F325" s="78">
        <f>623.66+46.3+167.06+284.822</f>
        <v>1121.8420000000001</v>
      </c>
      <c r="G325" s="78">
        <f>653.99+49.3+167.06+194.532</f>
        <v>1064.8819999999998</v>
      </c>
    </row>
    <row r="326" spans="1:7" x14ac:dyDescent="0.35">
      <c r="A326" s="241"/>
      <c r="B326" s="242"/>
      <c r="C326" s="27" t="s">
        <v>184</v>
      </c>
      <c r="D326" s="25" t="s">
        <v>38</v>
      </c>
      <c r="E326" s="78">
        <v>85.8</v>
      </c>
      <c r="F326" s="78">
        <v>85.8</v>
      </c>
      <c r="G326" s="78">
        <v>85.8</v>
      </c>
    </row>
    <row r="327" spans="1:7" x14ac:dyDescent="0.35">
      <c r="A327" s="241"/>
      <c r="B327" s="242"/>
      <c r="C327" s="27" t="s">
        <v>192</v>
      </c>
      <c r="D327" s="25" t="s">
        <v>137</v>
      </c>
      <c r="E327" s="78">
        <v>65.64</v>
      </c>
      <c r="F327" s="78">
        <v>65.64</v>
      </c>
      <c r="G327" s="78">
        <v>65.64</v>
      </c>
    </row>
    <row r="328" spans="1:7" x14ac:dyDescent="0.35">
      <c r="A328" s="232"/>
      <c r="B328" s="234"/>
      <c r="C328" s="27" t="s">
        <v>195</v>
      </c>
      <c r="D328" s="25" t="s">
        <v>187</v>
      </c>
      <c r="E328" s="78">
        <v>66.429000000000002</v>
      </c>
      <c r="F328" s="78">
        <v>1091.8119999999999</v>
      </c>
      <c r="G328" s="78">
        <v>589.28099999999995</v>
      </c>
    </row>
    <row r="329" spans="1:7" ht="13" hidden="1" customHeight="1" x14ac:dyDescent="0.35">
      <c r="A329" s="121" t="s">
        <v>33</v>
      </c>
      <c r="B329" s="23" t="s">
        <v>45</v>
      </c>
      <c r="C329" s="27" t="s">
        <v>226</v>
      </c>
      <c r="D329" s="25" t="s">
        <v>50</v>
      </c>
      <c r="E329" s="78"/>
      <c r="F329" s="78"/>
      <c r="G329" s="78"/>
    </row>
    <row r="330" spans="1:7" ht="13" hidden="1" customHeight="1" x14ac:dyDescent="0.35">
      <c r="A330" s="231" t="s">
        <v>33</v>
      </c>
      <c r="B330" s="233" t="s">
        <v>45</v>
      </c>
      <c r="C330" s="8" t="s">
        <v>278</v>
      </c>
      <c r="D330" s="25" t="s">
        <v>125</v>
      </c>
      <c r="E330" s="78"/>
      <c r="F330" s="78"/>
      <c r="G330" s="78"/>
    </row>
    <row r="331" spans="1:7" ht="13" hidden="1" customHeight="1" x14ac:dyDescent="0.35">
      <c r="A331" s="232"/>
      <c r="B331" s="234"/>
      <c r="C331" s="8" t="s">
        <v>203</v>
      </c>
      <c r="D331" s="25" t="s">
        <v>137</v>
      </c>
      <c r="E331" s="78"/>
      <c r="F331" s="78"/>
      <c r="G331" s="78"/>
    </row>
    <row r="332" spans="1:7" x14ac:dyDescent="0.35">
      <c r="A332" s="235" t="s">
        <v>32</v>
      </c>
      <c r="B332" s="237" t="s">
        <v>46</v>
      </c>
      <c r="C332" s="27" t="s">
        <v>203</v>
      </c>
      <c r="D332" s="25" t="s">
        <v>125</v>
      </c>
      <c r="E332" s="78">
        <v>0.71</v>
      </c>
      <c r="F332" s="78">
        <v>0.71</v>
      </c>
      <c r="G332" s="78">
        <v>0.71</v>
      </c>
    </row>
    <row r="333" spans="1:7" ht="13" hidden="1" customHeight="1" x14ac:dyDescent="0.35">
      <c r="A333" s="236"/>
      <c r="B333" s="238"/>
      <c r="C333" s="27" t="s">
        <v>226</v>
      </c>
      <c r="D333" s="25" t="s">
        <v>50</v>
      </c>
      <c r="E333" s="78"/>
      <c r="F333" s="78"/>
      <c r="G333" s="78"/>
    </row>
    <row r="334" spans="1:7" x14ac:dyDescent="0.35">
      <c r="A334" s="120" t="s">
        <v>7</v>
      </c>
      <c r="B334" s="116" t="s">
        <v>48</v>
      </c>
      <c r="C334" s="27" t="s">
        <v>226</v>
      </c>
      <c r="D334" s="25" t="s">
        <v>125</v>
      </c>
      <c r="E334" s="78">
        <v>17.055</v>
      </c>
      <c r="F334" s="78">
        <f>30+20</f>
        <v>50</v>
      </c>
      <c r="G334" s="78">
        <v>88</v>
      </c>
    </row>
    <row r="335" spans="1:7" ht="36" customHeight="1" x14ac:dyDescent="0.3">
      <c r="A335" s="212"/>
      <c r="B335" s="168" t="s">
        <v>331</v>
      </c>
      <c r="C335" s="180" t="s">
        <v>120</v>
      </c>
      <c r="D335" s="174"/>
      <c r="E335" s="167">
        <f>E337+E338</f>
        <v>681.3</v>
      </c>
      <c r="F335" s="167">
        <f>F337+F338</f>
        <v>631.52</v>
      </c>
      <c r="G335" s="167">
        <f>G337+G338</f>
        <v>670.7</v>
      </c>
    </row>
    <row r="336" spans="1:7" x14ac:dyDescent="0.35">
      <c r="A336" s="209"/>
      <c r="B336" s="10" t="s">
        <v>2</v>
      </c>
      <c r="C336" s="25"/>
      <c r="D336" s="25"/>
      <c r="E336" s="78"/>
      <c r="F336" s="78"/>
      <c r="G336" s="78"/>
    </row>
    <row r="337" spans="1:7" ht="13.3" thickBot="1" x14ac:dyDescent="0.4">
      <c r="A337" s="120" t="s">
        <v>22</v>
      </c>
      <c r="B337" s="116" t="s">
        <v>34</v>
      </c>
      <c r="C337" s="27" t="s">
        <v>97</v>
      </c>
      <c r="D337" s="25" t="s">
        <v>125</v>
      </c>
      <c r="E337" s="78">
        <v>681.3</v>
      </c>
      <c r="F337" s="78">
        <f>563+68.52</f>
        <v>631.52</v>
      </c>
      <c r="G337" s="78">
        <f>620+50.7</f>
        <v>670.7</v>
      </c>
    </row>
    <row r="338" spans="1:7" ht="13.5" hidden="1" customHeight="1" x14ac:dyDescent="0.35">
      <c r="A338" s="120" t="s">
        <v>32</v>
      </c>
      <c r="B338" s="116" t="s">
        <v>46</v>
      </c>
      <c r="C338" s="48" t="s">
        <v>98</v>
      </c>
      <c r="D338" s="48" t="s">
        <v>137</v>
      </c>
      <c r="E338" s="153"/>
      <c r="F338" s="153"/>
      <c r="G338" s="153"/>
    </row>
    <row r="339" spans="1:7" ht="19.75" customHeight="1" thickBot="1" x14ac:dyDescent="0.35">
      <c r="A339" s="192"/>
      <c r="B339" s="193" t="s">
        <v>140</v>
      </c>
      <c r="C339" s="194" t="s">
        <v>121</v>
      </c>
      <c r="D339" s="194"/>
      <c r="E339" s="195">
        <f>SUM(E335,E321,E305,E290,E279,E266,E251,E240,E212,E188,E175,E161,E147,E129,E115,E99,E85,E71,E57,E17,E14,E228)</f>
        <v>57579.303999999996</v>
      </c>
      <c r="F339" s="195">
        <f>SUM(F335,F321,F305,F290,F279,F266,F251,F240,F212,F188,F175,F161,F147,F129,F115,F99,F85,F71,F57,F17,F14,F228)</f>
        <v>63233.077000000012</v>
      </c>
      <c r="G339" s="195">
        <f>SUM(G335,G321,G305,G290,G279,G266,G251,G240,G212,G188,G175,G161,G147,G129,G115,G99,G85,G71,G57,G17,G14,G228)</f>
        <v>59142.503000000012</v>
      </c>
    </row>
    <row r="340" spans="1:7" ht="15" customHeight="1" x14ac:dyDescent="0.35">
      <c r="A340" s="239"/>
      <c r="B340" s="196" t="s">
        <v>139</v>
      </c>
      <c r="C340" s="184" t="s">
        <v>122</v>
      </c>
      <c r="D340" s="184"/>
      <c r="E340" s="185">
        <v>490</v>
      </c>
      <c r="F340" s="185">
        <v>450</v>
      </c>
      <c r="G340" s="185">
        <v>490</v>
      </c>
    </row>
    <row r="341" spans="1:7" ht="26.15" thickBot="1" x14ac:dyDescent="0.4">
      <c r="A341" s="240"/>
      <c r="B341" s="197" t="s">
        <v>310</v>
      </c>
      <c r="C341" s="189" t="s">
        <v>123</v>
      </c>
      <c r="D341" s="198"/>
      <c r="E341" s="186">
        <v>0.4</v>
      </c>
      <c r="F341" s="186"/>
      <c r="G341" s="186"/>
    </row>
    <row r="342" spans="1:7" ht="21" customHeight="1" thickBot="1" x14ac:dyDescent="0.4">
      <c r="A342" s="217"/>
      <c r="B342" s="199" t="s">
        <v>309</v>
      </c>
      <c r="C342" s="200"/>
      <c r="D342" s="201"/>
      <c r="E342" s="195">
        <f>E339-E340-E341</f>
        <v>57088.903999999995</v>
      </c>
      <c r="F342" s="195">
        <f>F339-F340-F341</f>
        <v>62783.077000000012</v>
      </c>
      <c r="G342" s="195">
        <f>G339-G340-G341</f>
        <v>58652.503000000012</v>
      </c>
    </row>
    <row r="343" spans="1:7" ht="13.3" thickBot="1" x14ac:dyDescent="0.35">
      <c r="A343" s="61"/>
      <c r="B343" s="62" t="s">
        <v>2</v>
      </c>
      <c r="C343" s="63"/>
      <c r="D343" s="63"/>
      <c r="E343" s="87"/>
      <c r="F343" s="87"/>
      <c r="G343" s="87"/>
    </row>
    <row r="344" spans="1:7" x14ac:dyDescent="0.35">
      <c r="A344" s="218"/>
      <c r="B344" s="60" t="s">
        <v>127</v>
      </c>
      <c r="C344" s="253" t="s">
        <v>125</v>
      </c>
      <c r="D344" s="254"/>
      <c r="E344" s="95">
        <f>SUM(E195,E137,E324,E98,E235,E197,E182,E169,E155,E140,E230,E231,E237,E278,E187,E160,E146,E40,E302,E101,E337,E325,E310,E295,E281,E270,E261:E262,E253:E255,E243,E214:E215,E205,E190:E191,E177:E178,E163:E164,E149:E150,E131:E132,E127,E117:E118,E102,E87:E88,E73:E74,E70,E59:E60,E54,E49,E45,E27,E23,E19,E16,E314,E317,E332,E300,E277,E223:E224,E210,E201,E186,E172,E158,E144,E126,E111,E96,E82,E68,E265,E334,E242,E319,E202,E226,E211,E307:E308,E268:E269,E174,E220,E275,E31,E33,E36,E274,E219,E273,E292:E293,E323,E283,E330,E298,E285,E259,E248,E236,E199,E184,E170,E156,E141,E124,E109,E94,E80,E66,E288,E238,E287,E113,E83,E301,E136)-E340-E341</f>
        <v>38159.614999999983</v>
      </c>
      <c r="F344" s="95">
        <f>SUM(F195,F137,F324,F98,F235,F197,F182,F169,F155,F140,F230,F231,F237,F278,F187,F160,F146,F40,F302,F101,F337,F325,F310,F295,F281,F270,F261:F262,F253:F255,F243,F214:F215,F205,F190:F191,F177:F178,F163:F164,F149:F150,F131:F132,F127,F117:F118,F102,F87:F88,F73:F74,F70,F59:F60,F54,F49,F45,F27,F23,F19,F16,F314,F317,F332,F300,F277,F223:F224,F210,F201,F186,F172,F158,F144,F126,F111,F96,F82,F68,F265,F334,F242,F319,F202,F226,F211,F307:F308,F268:F269,F174,F220,F275,F31,F33,F36,F274,F219,F273,F292:F293,F323,F283,F330,F298,F285,F259,F248,F236,F199,F184,F170,F156,F141,F124,F109,F94,F80,F66,F288,F238,F287,F113,F83,F301,F136)-F340-F341</f>
        <v>35425.05999999999</v>
      </c>
      <c r="G344" s="95">
        <f>SUM(G195,G137,G324,G98,G235,G197,G182,G169,G155,G140,G230,G231,G237,G278,G187,G160,G146,G40,G302,G101,G337,G325,G310,G295,G281,G270,G261:G262,G253:G255,G243,G214:G215,G205,G190:G191,G177:G178,G163:G164,G149:G150,G131:G132,G127,G117:G118,G102,G87:G88,G73:G74,G70,G59:G60,G54,G49,G45,G27,G23,G19,G16,G314,G317,G332,G300,G277,G223:G224,G210,G201,G186,G172,G158,G144,G126,G111,G96,G82,G68,G265,G334,G242,G319,G202,G226,G211,G307:G308,G268:G269,G174,G220,G275,G31,G33,G36,G274,G219,G273,G292:G293,G323,G283,G330,G298,G285,G259,G248,G236,G199,G184,G170,G156,G141,G124,G109,G94,G80,G66,G288,G238,G287,G113,G83,G301,G136)-G340-G341</f>
        <v>35401.159999999996</v>
      </c>
    </row>
    <row r="345" spans="1:7" x14ac:dyDescent="0.35">
      <c r="A345" s="219"/>
      <c r="B345" s="19" t="s">
        <v>128</v>
      </c>
      <c r="C345" s="255" t="s">
        <v>38</v>
      </c>
      <c r="D345" s="256"/>
      <c r="E345" s="183">
        <f t="shared" ref="E345:G345" si="0">SUM(E41,E20,E37,E311,E326,E64,E78,E92,E107,E122,E138,E153,E167,E181,E196,E264,E50,E318)</f>
        <v>2617.127</v>
      </c>
      <c r="F345" s="183">
        <f t="shared" si="0"/>
        <v>2620.8269999999998</v>
      </c>
      <c r="G345" s="183">
        <f t="shared" si="0"/>
        <v>2624.5269999999996</v>
      </c>
    </row>
    <row r="346" spans="1:7" x14ac:dyDescent="0.35">
      <c r="A346" s="219"/>
      <c r="B346" s="19" t="s">
        <v>215</v>
      </c>
      <c r="C346" s="255" t="s">
        <v>49</v>
      </c>
      <c r="D346" s="256"/>
      <c r="E346" s="183">
        <f t="shared" ref="E346:G346" si="1">SUM(E271,E61,E75,E89,E103,E119,E133,E151,E165,E179,E192,E244,E206,E216,E26,E232,E28)</f>
        <v>10540</v>
      </c>
      <c r="F346" s="183">
        <f t="shared" si="1"/>
        <v>11187</v>
      </c>
      <c r="G346" s="183">
        <f t="shared" si="1"/>
        <v>11807.000000000002</v>
      </c>
    </row>
    <row r="347" spans="1:7" ht="35.15" x14ac:dyDescent="0.35">
      <c r="A347" s="219"/>
      <c r="B347" s="20" t="s">
        <v>306</v>
      </c>
      <c r="C347" s="251" t="s">
        <v>305</v>
      </c>
      <c r="D347" s="257"/>
      <c r="E347" s="183">
        <f t="shared" ref="E347" si="2">E104</f>
        <v>40.200000000000003</v>
      </c>
      <c r="F347" s="183">
        <v>40.200000000000003</v>
      </c>
      <c r="G347" s="183">
        <v>40.200000000000003</v>
      </c>
    </row>
    <row r="348" spans="1:7" ht="16.3" customHeight="1" x14ac:dyDescent="0.35">
      <c r="A348" s="219"/>
      <c r="B348" s="20" t="s">
        <v>304</v>
      </c>
      <c r="C348" s="258" t="s">
        <v>137</v>
      </c>
      <c r="D348" s="259"/>
      <c r="E348" s="183">
        <f>SUM(E139,E135,E105,E22,E55,E24,E304,E48,E39,E63,E76,E91,E120,E272,E218,E208,E52,E43,E327,E312,E294,E246,E194,E180,E166,E152,E282,E309,E331,E315,E299,E286,E276,E260,E249,E222,E209,E200,E185,E171,E157,E143,E125,E110,E95,E81,E67,E234,E284,E296,E320,E289,E250,E239,E114,E84,E29,E338,E203,E128,E35,E32,E263,E154,E198,E108,E93,E79,E65,E123,E168)</f>
        <v>2400.7349999999997</v>
      </c>
      <c r="F348" s="183">
        <f>SUM(F139,F135,F105,F22,F55,F24,F304,F48,F39,F63,F76,F91,F120,F272,F218,F208,F52,F43,F327,F312,F294,F246,F194,F180,F166,F152,F282,F309,F331,F315,F299,F286,F276,F260,F249,F222,F209,F200,F185,F171,F157,F143,F125,F110,F95,F81,F67,F234,F284,F296,F320,F289,F250,F239,F114,F84,F29,F338,F203,F128,F35,F32,F263,F154,F198,F108,F93,F79,F65,F123,F168)</f>
        <v>2133.6619999999998</v>
      </c>
      <c r="G348" s="183">
        <f>SUM(G139,G135,G105,G22,G55,G24,G304,G48,G39,G63,G76,G91,G120,G272,G218,G208,G52,G43,G327,G312,G294,G246,G194,G180,G166,G152,G282,G309,G331,G315,G299,G286,G276,G260,G249,G222,G209,G200,G185,G171,G157,G143,G125,G110,G95,G81,G67,G234,G284,G296,G320,G289,G250,G239,G114,G84,G29,G338,G203,G128,G35,G32,G263,G154,G198,G108,G93,G79,G65,G123,G168)</f>
        <v>2133.6619999999998</v>
      </c>
    </row>
    <row r="349" spans="1:7" x14ac:dyDescent="0.35">
      <c r="A349" s="219"/>
      <c r="B349" s="19" t="s">
        <v>193</v>
      </c>
      <c r="C349" s="255" t="s">
        <v>50</v>
      </c>
      <c r="D349" s="256"/>
      <c r="E349" s="183">
        <f t="shared" ref="E349:G349" si="3">SUM(E42,E46,E112,E145,E173,E333,E329,E316,E221,E142,E247,E69,E183,E159,E97)</f>
        <v>128.327</v>
      </c>
      <c r="F349" s="183">
        <f t="shared" si="3"/>
        <v>58</v>
      </c>
      <c r="G349" s="183">
        <f t="shared" si="3"/>
        <v>58</v>
      </c>
    </row>
    <row r="350" spans="1:7" ht="13.3" thickBot="1" x14ac:dyDescent="0.4">
      <c r="A350" s="220"/>
      <c r="B350" s="65" t="s">
        <v>186</v>
      </c>
      <c r="C350" s="247" t="s">
        <v>187</v>
      </c>
      <c r="D350" s="248"/>
      <c r="E350" s="99">
        <f t="shared" ref="E350:G350" si="4">SUM(E106,E25,E34,E121,E207,E217,E303,E51,E47,E38,E62,E313,E56,E21,E44,E225,E227,E30,E328,E77,E134,E297,E233,E245,E90,E193)</f>
        <v>3202.9</v>
      </c>
      <c r="F350" s="99">
        <f t="shared" si="4"/>
        <v>11318.328</v>
      </c>
      <c r="G350" s="99">
        <f t="shared" si="4"/>
        <v>6587.9539999999997</v>
      </c>
    </row>
    <row r="351" spans="1:7" x14ac:dyDescent="0.35">
      <c r="A351" s="221"/>
      <c r="B351" s="67" t="s">
        <v>2</v>
      </c>
      <c r="C351" s="68"/>
      <c r="D351" s="69"/>
      <c r="E351" s="95"/>
      <c r="F351" s="95"/>
      <c r="G351" s="95"/>
    </row>
    <row r="352" spans="1:7" x14ac:dyDescent="0.35">
      <c r="A352" s="26"/>
      <c r="B352" s="53" t="s">
        <v>34</v>
      </c>
      <c r="C352" s="249">
        <v>1</v>
      </c>
      <c r="D352" s="250"/>
      <c r="E352" s="78">
        <f>SUM(E337,E253,E101,E16,E19:E22,E242,E323,E307,E292,E281,E268,E214,E190,E177,E163,E149,E131,E117,E87,E73,E59,E230)-E340</f>
        <v>5620.2039999999997</v>
      </c>
      <c r="F352" s="78">
        <f>SUM(F337,F253,F101,F16,F19:F22,F242,F323,F307,F292,F281,F268,F214,F190,F177,F163,F149,F131,F117,F87,F73,F59,F230)-F340</f>
        <v>5405.174</v>
      </c>
      <c r="G352" s="78">
        <f>SUM(G337,G253,G101,G16,G19:G22,G242,G323,G307,G292,G281,G268,G214,G190,G177,G163,G149,G131,G117,G87,G73,G59,G230)-G340</f>
        <v>5563.8639999999996</v>
      </c>
    </row>
    <row r="353" spans="1:7" x14ac:dyDescent="0.35">
      <c r="A353" s="219"/>
      <c r="B353" s="54" t="s">
        <v>41</v>
      </c>
      <c r="C353" s="249">
        <v>2</v>
      </c>
      <c r="D353" s="250"/>
      <c r="E353" s="78">
        <f t="shared" ref="E353:G353" si="5">SUM(E254,E243:E244,E215:E218,E205:E208,E191:E192,E178:E179,E164:E166,E150:E152,E132:E135,E118:E121,E102:E106,E88:E91,E74:E77,E60:E63,E23:E26,E324,E308,E269,E294,E246,E194,E180,E293,E309,E282,E231,E234,E232:E233,E245,E193)</f>
        <v>23561.476000000006</v>
      </c>
      <c r="F353" s="78">
        <f t="shared" si="5"/>
        <v>21467.852000000006</v>
      </c>
      <c r="G353" s="78">
        <f t="shared" si="5"/>
        <v>21556.798000000003</v>
      </c>
    </row>
    <row r="354" spans="1:7" x14ac:dyDescent="0.35">
      <c r="A354" s="219"/>
      <c r="B354" s="54" t="s">
        <v>308</v>
      </c>
      <c r="C354" s="249">
        <v>3</v>
      </c>
      <c r="D354" s="250"/>
      <c r="E354" s="78">
        <f>SUM(E27,E255,E270,E271,E272,E30,E28,E29,E136)-0.2</f>
        <v>1813.0250000000001</v>
      </c>
      <c r="F354" s="78">
        <f>SUM(F27,F255,F270,F271,F272,F30,F28,F29,F136)</f>
        <v>1635.1330000000003</v>
      </c>
      <c r="G354" s="78">
        <f>SUM(G27,G255,G270,G271,G272,G30,G28,G29,G136)</f>
        <v>1632.204</v>
      </c>
    </row>
    <row r="355" spans="1:7" ht="25.75" x14ac:dyDescent="0.35">
      <c r="A355" s="219"/>
      <c r="B355" s="55" t="s">
        <v>43</v>
      </c>
      <c r="C355" s="251">
        <v>4</v>
      </c>
      <c r="D355" s="252"/>
      <c r="E355" s="78">
        <f>SUM(E256,E295:E297,E283:E284,E31,E273,E32,E235)-0.2</f>
        <v>2203.616</v>
      </c>
      <c r="F355" s="78">
        <f>SUM(F256,F295:F297,F283:F284,F31,F273,F32,F235)</f>
        <v>2130.1559999999999</v>
      </c>
      <c r="G355" s="78">
        <f>SUM(G256,G295:G297,G283:G284,G31,G273,G32,G235)</f>
        <v>2194.3360000000002</v>
      </c>
    </row>
    <row r="356" spans="1:7" x14ac:dyDescent="0.35">
      <c r="A356" s="219"/>
      <c r="B356" s="54" t="s">
        <v>124</v>
      </c>
      <c r="C356" s="249">
        <v>5</v>
      </c>
      <c r="D356" s="250"/>
      <c r="E356" s="78">
        <f t="shared" ref="E356:G356" si="6">SUM(E33,E257,E274,E219,E35,E34,E137,E195)</f>
        <v>650.28500000000008</v>
      </c>
      <c r="F356" s="78">
        <f t="shared" si="6"/>
        <v>616.57600000000002</v>
      </c>
      <c r="G356" s="78">
        <f t="shared" si="6"/>
        <v>393.31599999999997</v>
      </c>
    </row>
    <row r="357" spans="1:7" x14ac:dyDescent="0.35">
      <c r="A357" s="219"/>
      <c r="B357" s="54" t="s">
        <v>44</v>
      </c>
      <c r="C357" s="249">
        <v>6</v>
      </c>
      <c r="D357" s="250"/>
      <c r="E357" s="78">
        <f>SUM(E139,E326,E325,E310:E311,E258,E36:E39,E64,E78,E92,E107,E122,E138,E153,E167,E181,E196,E313,E220,E275,E328,E327,E312,E197,E182,E169,E155,E140,E154,E198,E123,E108,E93,E79,E65,E168)</f>
        <v>8795.2080000000005</v>
      </c>
      <c r="F357" s="78">
        <f>SUM(F139,F326,F325,F310:F311,F258,F36:F39,F64,F78,F92,F107,F122,F138,F153,F167,F181,F196,F313,F220,F275,F328,F327,F312,F197,F182,F169,F155,F140,F154,F198,F123,F108,F93,F79,F65,F168)</f>
        <v>10759.049000000001</v>
      </c>
      <c r="G357" s="78">
        <f>SUM(G139,G326,G325,G310:G311,G258,G36:G39,G64,G78,G92,G107,G122,G138,G153,G167,G181,G196,G313,G220,G275,G328,G327,G312,G197,G182,G169,G155,G140,G154,G198,G123,G108,G93,G79,G65,G168)</f>
        <v>8597.7930000000015</v>
      </c>
    </row>
    <row r="358" spans="1:7" x14ac:dyDescent="0.35">
      <c r="A358" s="219"/>
      <c r="B358" s="54" t="s">
        <v>45</v>
      </c>
      <c r="C358" s="249">
        <v>7</v>
      </c>
      <c r="D358" s="250"/>
      <c r="E358" s="78">
        <f t="shared" ref="E358:G358" si="7">SUM(E40:E44,E314,E329,E316,E221,E142,E247,E183,E67,E81,E95,E110,E125,E143,E157,E171,E185,E200,E209,E222,E249,E260,E276,E286,E299,E315,E331,E330,E298,E285,E259,E248,E236,E199,E184,E170,E156,E141,E124,E109,E94,E80,E66)</f>
        <v>427.26100000000002</v>
      </c>
      <c r="F358" s="78">
        <f t="shared" si="7"/>
        <v>770.04599999999994</v>
      </c>
      <c r="G358" s="78">
        <f t="shared" si="7"/>
        <v>405.98899999999998</v>
      </c>
    </row>
    <row r="359" spans="1:7" x14ac:dyDescent="0.35">
      <c r="A359" s="219"/>
      <c r="B359" s="54" t="s">
        <v>46</v>
      </c>
      <c r="C359" s="249">
        <v>8</v>
      </c>
      <c r="D359" s="250"/>
      <c r="E359" s="78">
        <f>SUM(E45:E48,E317,E68:E69,E82,E96,E111,E112,E126,E145,E144,E158,E172,E173,E186,E201,E210,E223,E261,E277,E300,E332,E333,E237,E287,E97,E159,E338)</f>
        <v>4673.1710000000003</v>
      </c>
      <c r="F359" s="78">
        <f>SUM(F45:F48,F317,F68:F69,F82,F96,F111,F112,F126,F145,F144,F158,F172,F173,F186,F201,F210,F223,F261,F277,F300,F332,F333,F237,F287,F97,F159,F338)</f>
        <v>5668.4750000000004</v>
      </c>
      <c r="G359" s="78">
        <f>SUM(G45:G48,G317,G68:G69,G82,G96,G111,G112,G126,G145,G144,G158,G172,G173,G186,G201,G210,G223,G261,G277,G300,G332,G333,G237,G287,G97,G159,G338)</f>
        <v>4812.3370000000004</v>
      </c>
    </row>
    <row r="360" spans="1:7" x14ac:dyDescent="0.35">
      <c r="A360" s="219"/>
      <c r="B360" s="54" t="s">
        <v>47</v>
      </c>
      <c r="C360" s="249">
        <v>9</v>
      </c>
      <c r="D360" s="250"/>
      <c r="E360" s="78">
        <f>SUM(E49:E53,E262,E224,E264,E225,E318,E263,E301)</f>
        <v>2701.8899999999994</v>
      </c>
      <c r="F360" s="78">
        <f>SUM(F49:F53,F262,F224,F264,F225,F318,F263,F301)</f>
        <v>5654.4359999999997</v>
      </c>
      <c r="G360" s="78">
        <f>SUM(G49:G53,G262,G224,G264,G225,G318,G263,G301)</f>
        <v>4854.4129999999996</v>
      </c>
    </row>
    <row r="361" spans="1:7" ht="13.3" thickBot="1" x14ac:dyDescent="0.4">
      <c r="A361" s="222"/>
      <c r="B361" s="56" t="s">
        <v>48</v>
      </c>
      <c r="C361" s="260">
        <v>10</v>
      </c>
      <c r="D361" s="261"/>
      <c r="E361" s="99">
        <f t="shared" ref="E361:G361" si="8">SUM(E278,E187,E160,E302,E265,E54:E56,E70,E84,E127,E146,E114,E98,E304,E319,E320,E303,E334,E202,E226,E211,E174,E227,E288,E238,E289,E250,E239,E203,E128,E113,E83)</f>
        <v>6642.7680000000009</v>
      </c>
      <c r="F361" s="99">
        <f t="shared" si="8"/>
        <v>8676.18</v>
      </c>
      <c r="G361" s="99">
        <f t="shared" si="8"/>
        <v>8641.4530000000013</v>
      </c>
    </row>
    <row r="362" spans="1:7" x14ac:dyDescent="0.35">
      <c r="A362" s="221"/>
      <c r="B362" s="224" t="s">
        <v>2</v>
      </c>
      <c r="C362" s="245"/>
      <c r="D362" s="246"/>
      <c r="E362" s="225"/>
      <c r="F362" s="95"/>
      <c r="G362" s="95"/>
    </row>
    <row r="363" spans="1:7" x14ac:dyDescent="0.35">
      <c r="A363" s="223"/>
      <c r="B363" s="29" t="s">
        <v>333</v>
      </c>
      <c r="C363" s="77"/>
      <c r="D363" s="59"/>
      <c r="E363" s="228">
        <f>11578.127-3479.485+490.4</f>
        <v>8589.0419999999995</v>
      </c>
      <c r="F363" s="78">
        <v>1764.19</v>
      </c>
      <c r="G363" s="78">
        <v>70.56</v>
      </c>
    </row>
    <row r="364" spans="1:7" x14ac:dyDescent="0.35">
      <c r="A364" s="223"/>
      <c r="B364" s="226" t="s">
        <v>307</v>
      </c>
      <c r="C364" s="77"/>
      <c r="D364" s="59"/>
      <c r="E364" s="229">
        <v>218.745</v>
      </c>
      <c r="F364" s="190"/>
      <c r="G364" s="190"/>
    </row>
    <row r="365" spans="1:7" ht="40" customHeight="1" thickBot="1" x14ac:dyDescent="0.4">
      <c r="A365" s="222"/>
      <c r="B365" s="227" t="s">
        <v>332</v>
      </c>
      <c r="C365" s="108"/>
      <c r="D365" s="109"/>
      <c r="E365" s="230">
        <v>10.701000000000001</v>
      </c>
      <c r="F365" s="202"/>
      <c r="G365" s="202"/>
    </row>
    <row r="367" spans="1:7" x14ac:dyDescent="0.35">
      <c r="E367" s="203"/>
      <c r="F367" s="203"/>
      <c r="G367" s="203"/>
    </row>
    <row r="368" spans="1:7" x14ac:dyDescent="0.35">
      <c r="E368" s="203"/>
      <c r="F368" s="203"/>
      <c r="G368" s="203"/>
    </row>
    <row r="369" spans="5:7" x14ac:dyDescent="0.35">
      <c r="E369" s="203"/>
      <c r="F369" s="203"/>
      <c r="G369" s="203"/>
    </row>
    <row r="370" spans="5:7" x14ac:dyDescent="0.35">
      <c r="E370" s="203"/>
      <c r="F370" s="203"/>
      <c r="G370" s="203"/>
    </row>
    <row r="371" spans="5:7" x14ac:dyDescent="0.35">
      <c r="E371" s="203"/>
      <c r="F371" s="203"/>
      <c r="G371" s="203"/>
    </row>
  </sheetData>
  <mergeCells count="178">
    <mergeCell ref="F10:F12"/>
    <mergeCell ref="G10:G12"/>
    <mergeCell ref="A19:A22"/>
    <mergeCell ref="B19:B22"/>
    <mergeCell ref="A23:A26"/>
    <mergeCell ref="B23:B26"/>
    <mergeCell ref="A10:A12"/>
    <mergeCell ref="B10:B12"/>
    <mergeCell ref="C10:C12"/>
    <mergeCell ref="D10:D12"/>
    <mergeCell ref="E10:E12"/>
    <mergeCell ref="A36:A39"/>
    <mergeCell ref="B36:B39"/>
    <mergeCell ref="A40:A44"/>
    <mergeCell ref="B40:B44"/>
    <mergeCell ref="A45:A48"/>
    <mergeCell ref="B45:B48"/>
    <mergeCell ref="A27:A30"/>
    <mergeCell ref="B27:B30"/>
    <mergeCell ref="A31:A32"/>
    <mergeCell ref="B31:B32"/>
    <mergeCell ref="A33:A35"/>
    <mergeCell ref="B33:B35"/>
    <mergeCell ref="A64:A65"/>
    <mergeCell ref="B64:B65"/>
    <mergeCell ref="A66:A67"/>
    <mergeCell ref="B66:B67"/>
    <mergeCell ref="A68:A69"/>
    <mergeCell ref="B68:B69"/>
    <mergeCell ref="A49:A53"/>
    <mergeCell ref="B49:B53"/>
    <mergeCell ref="A54:A56"/>
    <mergeCell ref="B54:B56"/>
    <mergeCell ref="A60:A63"/>
    <mergeCell ref="B60:B63"/>
    <mergeCell ref="A83:A84"/>
    <mergeCell ref="B83:B84"/>
    <mergeCell ref="A88:A91"/>
    <mergeCell ref="B88:B91"/>
    <mergeCell ref="A92:A93"/>
    <mergeCell ref="B92:B93"/>
    <mergeCell ref="A74:A77"/>
    <mergeCell ref="B74:B77"/>
    <mergeCell ref="A78:A79"/>
    <mergeCell ref="B78:B79"/>
    <mergeCell ref="A80:A81"/>
    <mergeCell ref="B80:B81"/>
    <mergeCell ref="A107:A108"/>
    <mergeCell ref="B107:B108"/>
    <mergeCell ref="A109:A110"/>
    <mergeCell ref="B109:B110"/>
    <mergeCell ref="A111:A112"/>
    <mergeCell ref="B111:B112"/>
    <mergeCell ref="A94:A95"/>
    <mergeCell ref="B94:B95"/>
    <mergeCell ref="A96:A97"/>
    <mergeCell ref="B96:B97"/>
    <mergeCell ref="A102:A106"/>
    <mergeCell ref="B102:B106"/>
    <mergeCell ref="A124:A125"/>
    <mergeCell ref="B124:B125"/>
    <mergeCell ref="A127:A128"/>
    <mergeCell ref="B127:B128"/>
    <mergeCell ref="A132:A135"/>
    <mergeCell ref="B132:B135"/>
    <mergeCell ref="A113:A114"/>
    <mergeCell ref="B113:B114"/>
    <mergeCell ref="A118:A121"/>
    <mergeCell ref="B118:B121"/>
    <mergeCell ref="A122:A123"/>
    <mergeCell ref="B122:B123"/>
    <mergeCell ref="A150:A152"/>
    <mergeCell ref="B150:B152"/>
    <mergeCell ref="A153:A155"/>
    <mergeCell ref="B153:B155"/>
    <mergeCell ref="A156:A157"/>
    <mergeCell ref="B156:B157"/>
    <mergeCell ref="A138:A140"/>
    <mergeCell ref="B138:B140"/>
    <mergeCell ref="A141:A143"/>
    <mergeCell ref="B141:B143"/>
    <mergeCell ref="A144:A145"/>
    <mergeCell ref="B144:B145"/>
    <mergeCell ref="A170:A171"/>
    <mergeCell ref="B170:B171"/>
    <mergeCell ref="B172:B173"/>
    <mergeCell ref="A178:A180"/>
    <mergeCell ref="B178:B180"/>
    <mergeCell ref="A181:A182"/>
    <mergeCell ref="B181:B182"/>
    <mergeCell ref="A158:A159"/>
    <mergeCell ref="B158:B159"/>
    <mergeCell ref="A164:A166"/>
    <mergeCell ref="B164:B166"/>
    <mergeCell ref="A167:A169"/>
    <mergeCell ref="B167:B169"/>
    <mergeCell ref="A199:A200"/>
    <mergeCell ref="B199:B200"/>
    <mergeCell ref="A202:A203"/>
    <mergeCell ref="B202:B203"/>
    <mergeCell ref="A205:A208"/>
    <mergeCell ref="B205:B208"/>
    <mergeCell ref="A184:A185"/>
    <mergeCell ref="B184:B185"/>
    <mergeCell ref="A191:A194"/>
    <mergeCell ref="B191:B194"/>
    <mergeCell ref="A196:A198"/>
    <mergeCell ref="B196:B198"/>
    <mergeCell ref="A226:A227"/>
    <mergeCell ref="B226:B227"/>
    <mergeCell ref="A231:A234"/>
    <mergeCell ref="B231:B234"/>
    <mergeCell ref="A238:A239"/>
    <mergeCell ref="B238:B239"/>
    <mergeCell ref="A215:A218"/>
    <mergeCell ref="B215:B218"/>
    <mergeCell ref="A221:A222"/>
    <mergeCell ref="B221:B222"/>
    <mergeCell ref="A224:A225"/>
    <mergeCell ref="B224:B225"/>
    <mergeCell ref="A262:A264"/>
    <mergeCell ref="B262:B264"/>
    <mergeCell ref="A270:A272"/>
    <mergeCell ref="B270:B272"/>
    <mergeCell ref="A283:A284"/>
    <mergeCell ref="B283:B284"/>
    <mergeCell ref="A243:A246"/>
    <mergeCell ref="B243:B246"/>
    <mergeCell ref="A248:A249"/>
    <mergeCell ref="B248:B249"/>
    <mergeCell ref="A259:A260"/>
    <mergeCell ref="B259:B260"/>
    <mergeCell ref="B295:B297"/>
    <mergeCell ref="A298:A299"/>
    <mergeCell ref="B298:B299"/>
    <mergeCell ref="A302:A304"/>
    <mergeCell ref="B302:B304"/>
    <mergeCell ref="A285:A286"/>
    <mergeCell ref="B285:B286"/>
    <mergeCell ref="A288:A289"/>
    <mergeCell ref="B288:B289"/>
    <mergeCell ref="A293:A294"/>
    <mergeCell ref="B293:B294"/>
    <mergeCell ref="C358:D358"/>
    <mergeCell ref="C359:D359"/>
    <mergeCell ref="C360:D360"/>
    <mergeCell ref="C361:D361"/>
    <mergeCell ref="C362:D362"/>
    <mergeCell ref="A308:A309"/>
    <mergeCell ref="B308:B309"/>
    <mergeCell ref="A310:A313"/>
    <mergeCell ref="B310:B313"/>
    <mergeCell ref="A314:A316"/>
    <mergeCell ref="B314:B316"/>
    <mergeCell ref="A7:G7"/>
    <mergeCell ref="C352:D352"/>
    <mergeCell ref="C353:D353"/>
    <mergeCell ref="C354:D354"/>
    <mergeCell ref="C355:D355"/>
    <mergeCell ref="C356:D356"/>
    <mergeCell ref="C357:D357"/>
    <mergeCell ref="A332:A333"/>
    <mergeCell ref="B332:B333"/>
    <mergeCell ref="A340:A341"/>
    <mergeCell ref="C344:D344"/>
    <mergeCell ref="C345:D345"/>
    <mergeCell ref="C346:D346"/>
    <mergeCell ref="A319:A320"/>
    <mergeCell ref="B319:B320"/>
    <mergeCell ref="A325:A328"/>
    <mergeCell ref="B325:B328"/>
    <mergeCell ref="A330:A331"/>
    <mergeCell ref="B330:B331"/>
    <mergeCell ref="C347:D347"/>
    <mergeCell ref="C348:D348"/>
    <mergeCell ref="C349:D349"/>
    <mergeCell ref="C350:D350"/>
    <mergeCell ref="A295:A297"/>
  </mergeCells>
  <phoneticPr fontId="20" type="noConversion"/>
  <conditionalFormatting sqref="E14:G365">
    <cfRule type="cellIs" dxfId="1" priority="1" stopIfTrue="1" operator="equal">
      <formula>0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6A785A-301B-41E3-B572-21B15ACCC05D}">
  <sheetPr>
    <pageSetUpPr fitToPage="1"/>
  </sheetPr>
  <dimension ref="A1:BL341"/>
  <sheetViews>
    <sheetView topLeftCell="A308" workbookViewId="0">
      <selection activeCell="BJ324" sqref="BJ324:BK333"/>
    </sheetView>
  </sheetViews>
  <sheetFormatPr defaultColWidth="9.3828125" defaultRowHeight="11.6" x14ac:dyDescent="0.3"/>
  <cols>
    <col min="1" max="1" width="5.921875" style="6" customWidth="1"/>
    <col min="2" max="2" width="49.4609375" style="1" customWidth="1"/>
    <col min="3" max="3" width="6.61328125" style="149" customWidth="1"/>
    <col min="4" max="4" width="6.61328125" style="8" customWidth="1"/>
    <col min="5" max="7" width="10.53515625" style="5" hidden="1" customWidth="1"/>
    <col min="8" max="8" width="10.07421875" style="5" hidden="1" customWidth="1"/>
    <col min="9" max="11" width="10.53515625" style="5" hidden="1" customWidth="1"/>
    <col min="12" max="12" width="10.07421875" style="5" hidden="1" customWidth="1"/>
    <col min="13" max="15" width="10.53515625" style="5" hidden="1" customWidth="1"/>
    <col min="16" max="16" width="10.07421875" style="5" hidden="1" customWidth="1"/>
    <col min="17" max="19" width="10.53515625" style="5" hidden="1" customWidth="1"/>
    <col min="20" max="20" width="10.07421875" style="5" hidden="1" customWidth="1"/>
    <col min="21" max="23" width="10.53515625" style="5" hidden="1" customWidth="1"/>
    <col min="24" max="24" width="10.07421875" style="5" hidden="1" customWidth="1"/>
    <col min="25" max="27" width="10.53515625" style="5" hidden="1" customWidth="1"/>
    <col min="28" max="28" width="10.07421875" style="5" hidden="1" customWidth="1"/>
    <col min="29" max="31" width="10.53515625" style="5" hidden="1" customWidth="1"/>
    <col min="32" max="32" width="10.07421875" style="5" hidden="1" customWidth="1"/>
    <col min="33" max="35" width="10.53515625" style="5" hidden="1" customWidth="1"/>
    <col min="36" max="36" width="10.07421875" style="5" hidden="1" customWidth="1"/>
    <col min="37" max="39" width="10.53515625" style="5" hidden="1" customWidth="1"/>
    <col min="40" max="40" width="10.07421875" style="5" hidden="1" customWidth="1"/>
    <col min="41" max="43" width="10.53515625" style="5" hidden="1" customWidth="1"/>
    <col min="44" max="44" width="10.07421875" style="5" hidden="1" customWidth="1"/>
    <col min="45" max="47" width="10.53515625" style="5" hidden="1" customWidth="1"/>
    <col min="48" max="48" width="10.07421875" style="5" hidden="1" customWidth="1"/>
    <col min="49" max="51" width="10.53515625" style="5" hidden="1" customWidth="1"/>
    <col min="52" max="52" width="10.07421875" style="5" hidden="1" customWidth="1"/>
    <col min="53" max="55" width="10.53515625" style="5" customWidth="1"/>
    <col min="56" max="56" width="10.07421875" style="5" customWidth="1"/>
    <col min="57" max="59" width="10.53515625" style="5" customWidth="1"/>
    <col min="60" max="60" width="10.07421875" style="5" customWidth="1"/>
    <col min="61" max="63" width="10.53515625" style="5" customWidth="1"/>
    <col min="64" max="64" width="10.07421875" style="5" customWidth="1"/>
    <col min="65" max="16384" width="9.3828125" style="1"/>
  </cols>
  <sheetData>
    <row r="1" spans="1:64" hidden="1" x14ac:dyDescent="0.3">
      <c r="E1" s="5" t="s">
        <v>4</v>
      </c>
      <c r="H1" s="1"/>
      <c r="I1" s="5" t="s">
        <v>4</v>
      </c>
      <c r="L1" s="1"/>
      <c r="M1" s="5" t="s">
        <v>4</v>
      </c>
      <c r="P1" s="1"/>
      <c r="Q1" s="5" t="s">
        <v>4</v>
      </c>
      <c r="T1" s="1"/>
      <c r="U1" s="5" t="s">
        <v>4</v>
      </c>
      <c r="X1" s="1"/>
      <c r="Y1" s="5" t="s">
        <v>4</v>
      </c>
      <c r="AB1" s="1"/>
      <c r="AC1" s="5" t="s">
        <v>4</v>
      </c>
      <c r="AF1" s="1"/>
      <c r="AG1" s="5" t="s">
        <v>4</v>
      </c>
      <c r="AJ1" s="1"/>
      <c r="AK1" s="5" t="s">
        <v>4</v>
      </c>
      <c r="AN1" s="1"/>
      <c r="AO1" s="5" t="s">
        <v>4</v>
      </c>
      <c r="AR1" s="1"/>
      <c r="AS1" s="5" t="s">
        <v>4</v>
      </c>
      <c r="AV1" s="1"/>
      <c r="AW1" s="5" t="s">
        <v>4</v>
      </c>
      <c r="AZ1" s="1"/>
      <c r="BA1" s="5" t="s">
        <v>4</v>
      </c>
      <c r="BD1" s="1"/>
      <c r="BE1" s="5" t="s">
        <v>4</v>
      </c>
      <c r="BH1" s="1"/>
      <c r="BI1" s="5" t="s">
        <v>4</v>
      </c>
      <c r="BL1" s="1"/>
    </row>
    <row r="2" spans="1:64" hidden="1" x14ac:dyDescent="0.3">
      <c r="E2" s="5" t="s">
        <v>248</v>
      </c>
      <c r="H2" s="1"/>
      <c r="I2" s="5" t="s">
        <v>248</v>
      </c>
      <c r="L2" s="1"/>
      <c r="M2" s="5" t="s">
        <v>248</v>
      </c>
      <c r="P2" s="1"/>
      <c r="Q2" s="5" t="s">
        <v>248</v>
      </c>
      <c r="T2" s="1"/>
      <c r="U2" s="5" t="s">
        <v>248</v>
      </c>
      <c r="X2" s="1"/>
      <c r="Y2" s="5" t="s">
        <v>248</v>
      </c>
      <c r="AB2" s="1"/>
      <c r="AC2" s="5" t="s">
        <v>248</v>
      </c>
      <c r="AF2" s="1"/>
      <c r="AG2" s="5" t="s">
        <v>248</v>
      </c>
      <c r="AJ2" s="1"/>
      <c r="AK2" s="5" t="s">
        <v>248</v>
      </c>
      <c r="AN2" s="1"/>
      <c r="AO2" s="5" t="s">
        <v>248</v>
      </c>
      <c r="AR2" s="1"/>
      <c r="AS2" s="5" t="s">
        <v>248</v>
      </c>
      <c r="AV2" s="1"/>
      <c r="AW2" s="5" t="s">
        <v>248</v>
      </c>
      <c r="AZ2" s="1"/>
      <c r="BA2" s="5" t="s">
        <v>248</v>
      </c>
      <c r="BD2" s="1"/>
      <c r="BE2" s="5" t="s">
        <v>248</v>
      </c>
      <c r="BH2" s="1"/>
      <c r="BI2" s="5" t="s">
        <v>248</v>
      </c>
      <c r="BL2" s="1"/>
    </row>
    <row r="3" spans="1:64" hidden="1" x14ac:dyDescent="0.3">
      <c r="E3" s="5" t="s">
        <v>249</v>
      </c>
      <c r="H3" s="1"/>
      <c r="I3" s="5" t="s">
        <v>249</v>
      </c>
      <c r="L3" s="1"/>
      <c r="M3" s="5" t="s">
        <v>249</v>
      </c>
      <c r="P3" s="1"/>
      <c r="Q3" s="5" t="s">
        <v>249</v>
      </c>
      <c r="T3" s="1"/>
      <c r="U3" s="5" t="s">
        <v>249</v>
      </c>
      <c r="X3" s="1"/>
      <c r="Y3" s="5" t="s">
        <v>249</v>
      </c>
      <c r="AB3" s="1"/>
      <c r="AC3" s="5" t="s">
        <v>249</v>
      </c>
      <c r="AF3" s="1"/>
      <c r="AG3" s="5" t="s">
        <v>249</v>
      </c>
      <c r="AJ3" s="1"/>
      <c r="AK3" s="5" t="s">
        <v>249</v>
      </c>
      <c r="AN3" s="1"/>
      <c r="AO3" s="5" t="s">
        <v>249</v>
      </c>
      <c r="AR3" s="1"/>
      <c r="AS3" s="5" t="s">
        <v>249</v>
      </c>
      <c r="AV3" s="1"/>
      <c r="AW3" s="5" t="s">
        <v>249</v>
      </c>
      <c r="AZ3" s="1"/>
      <c r="BA3" s="5" t="s">
        <v>249</v>
      </c>
      <c r="BD3" s="1"/>
      <c r="BE3" s="5" t="s">
        <v>249</v>
      </c>
      <c r="BH3" s="1"/>
      <c r="BI3" s="5" t="s">
        <v>249</v>
      </c>
      <c r="BL3" s="1"/>
    </row>
    <row r="4" spans="1:64" hidden="1" x14ac:dyDescent="0.3">
      <c r="E4" s="5" t="s">
        <v>209</v>
      </c>
      <c r="H4" s="1"/>
      <c r="I4" s="5" t="s">
        <v>209</v>
      </c>
      <c r="L4" s="1"/>
      <c r="M4" s="5" t="s">
        <v>209</v>
      </c>
      <c r="P4" s="1"/>
      <c r="Q4" s="5" t="s">
        <v>209</v>
      </c>
      <c r="T4" s="1"/>
      <c r="U4" s="5" t="s">
        <v>209</v>
      </c>
      <c r="X4" s="1"/>
      <c r="Y4" s="5" t="s">
        <v>209</v>
      </c>
      <c r="AB4" s="1"/>
      <c r="AC4" s="5" t="s">
        <v>209</v>
      </c>
      <c r="AF4" s="1"/>
      <c r="AG4" s="5" t="s">
        <v>209</v>
      </c>
      <c r="AJ4" s="1"/>
      <c r="AK4" s="5" t="s">
        <v>209</v>
      </c>
      <c r="AN4" s="1"/>
      <c r="AO4" s="5" t="s">
        <v>209</v>
      </c>
      <c r="AR4" s="1"/>
      <c r="AS4" s="5" t="s">
        <v>209</v>
      </c>
      <c r="AV4" s="1"/>
      <c r="AW4" s="5" t="s">
        <v>209</v>
      </c>
      <c r="AZ4" s="1"/>
      <c r="BA4" s="5" t="s">
        <v>209</v>
      </c>
      <c r="BD4" s="1"/>
      <c r="BE4" s="5" t="s">
        <v>209</v>
      </c>
      <c r="BH4" s="1"/>
      <c r="BI4" s="5" t="s">
        <v>209</v>
      </c>
      <c r="BL4" s="1"/>
    </row>
    <row r="5" spans="1:64" hidden="1" x14ac:dyDescent="0.3">
      <c r="E5" s="7" t="s">
        <v>126</v>
      </c>
      <c r="H5" s="1"/>
      <c r="I5" s="7" t="s">
        <v>126</v>
      </c>
      <c r="L5" s="1"/>
      <c r="M5" s="7" t="s">
        <v>126</v>
      </c>
      <c r="P5" s="1"/>
      <c r="Q5" s="7" t="s">
        <v>126</v>
      </c>
      <c r="T5" s="1"/>
      <c r="U5" s="7" t="s">
        <v>126</v>
      </c>
      <c r="X5" s="1"/>
      <c r="Y5" s="7" t="s">
        <v>126</v>
      </c>
      <c r="AB5" s="1"/>
      <c r="AC5" s="7" t="s">
        <v>126</v>
      </c>
      <c r="AF5" s="1"/>
      <c r="AG5" s="7" t="s">
        <v>126</v>
      </c>
      <c r="AJ5" s="1"/>
      <c r="AK5" s="7" t="s">
        <v>126</v>
      </c>
      <c r="AN5" s="1"/>
      <c r="AO5" s="7" t="s">
        <v>126</v>
      </c>
      <c r="AR5" s="1"/>
      <c r="AS5" s="7" t="s">
        <v>126</v>
      </c>
      <c r="AV5" s="1"/>
      <c r="AW5" s="7" t="s">
        <v>126</v>
      </c>
      <c r="AZ5" s="1"/>
      <c r="BA5" s="7" t="s">
        <v>126</v>
      </c>
      <c r="BD5" s="1"/>
      <c r="BE5" s="7" t="s">
        <v>126</v>
      </c>
      <c r="BH5" s="1"/>
      <c r="BI5" s="7" t="s">
        <v>126</v>
      </c>
      <c r="BL5" s="1"/>
    </row>
    <row r="6" spans="1:64" hidden="1" x14ac:dyDescent="0.3"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  <c r="AF6" s="7"/>
      <c r="AG6" s="7"/>
      <c r="AH6" s="7"/>
      <c r="AI6" s="7"/>
      <c r="AJ6" s="7"/>
      <c r="AK6" s="7"/>
      <c r="AL6" s="7"/>
      <c r="AM6" s="7"/>
      <c r="AN6" s="7"/>
      <c r="AO6" s="7"/>
      <c r="AP6" s="7"/>
      <c r="AQ6" s="7"/>
      <c r="AR6" s="7"/>
      <c r="AS6" s="7"/>
      <c r="AT6" s="7"/>
      <c r="AU6" s="7"/>
      <c r="AV6" s="7"/>
      <c r="AW6" s="7"/>
      <c r="AX6" s="7"/>
      <c r="AY6" s="7"/>
      <c r="AZ6" s="7"/>
      <c r="BA6" s="7"/>
      <c r="BB6" s="7"/>
      <c r="BC6" s="7"/>
      <c r="BD6" s="7"/>
      <c r="BE6" s="7"/>
      <c r="BF6" s="7"/>
      <c r="BG6" s="7"/>
      <c r="BH6" s="7"/>
      <c r="BI6" s="7"/>
      <c r="BJ6" s="7"/>
      <c r="BK6" s="7"/>
      <c r="BL6" s="7"/>
    </row>
    <row r="7" spans="1:64" x14ac:dyDescent="0.3">
      <c r="B7" s="1" t="s">
        <v>220</v>
      </c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  <c r="AG7" s="7"/>
      <c r="AH7" s="7"/>
      <c r="AI7" s="7"/>
      <c r="AJ7" s="7"/>
      <c r="AK7" s="7"/>
      <c r="AL7" s="7"/>
      <c r="AM7" s="7"/>
      <c r="AN7" s="7"/>
      <c r="AO7" s="7"/>
      <c r="AP7" s="7"/>
      <c r="AQ7" s="7"/>
      <c r="AR7" s="7"/>
      <c r="AS7" s="7"/>
      <c r="AT7" s="7"/>
      <c r="AU7" s="7"/>
      <c r="AV7" s="7"/>
      <c r="AW7" s="7"/>
      <c r="AX7" s="7"/>
      <c r="AY7" s="7"/>
      <c r="AZ7" s="7"/>
      <c r="BA7" s="7"/>
      <c r="BB7" s="7"/>
      <c r="BC7" s="7"/>
      <c r="BD7" s="7"/>
      <c r="BE7" s="7"/>
      <c r="BF7" s="7"/>
      <c r="BG7" s="7"/>
      <c r="BH7" s="7"/>
      <c r="BI7" s="7"/>
      <c r="BJ7" s="7"/>
      <c r="BK7" s="7"/>
      <c r="BL7" s="7" t="s">
        <v>126</v>
      </c>
    </row>
    <row r="8" spans="1:64" ht="17.25" customHeight="1" x14ac:dyDescent="0.35">
      <c r="A8" s="267" t="s">
        <v>247</v>
      </c>
      <c r="B8" s="267"/>
      <c r="C8" s="267"/>
      <c r="D8" s="267"/>
      <c r="E8" s="267"/>
      <c r="F8" s="267"/>
      <c r="G8" s="267"/>
      <c r="H8" s="267"/>
      <c r="I8" s="267"/>
      <c r="J8" s="267"/>
      <c r="K8" s="267"/>
      <c r="L8" s="267"/>
      <c r="M8" s="267"/>
      <c r="N8" s="267"/>
      <c r="O8" s="267"/>
      <c r="P8" s="267"/>
      <c r="Q8" s="267"/>
      <c r="R8" s="267"/>
      <c r="S8" s="267"/>
      <c r="T8" s="267"/>
      <c r="U8" s="267"/>
      <c r="V8" s="267"/>
      <c r="W8" s="267"/>
      <c r="X8" s="267"/>
      <c r="Y8" s="267"/>
      <c r="Z8" s="267"/>
      <c r="AA8" s="267"/>
      <c r="AB8" s="267"/>
      <c r="AC8" s="267"/>
      <c r="AD8" s="267"/>
      <c r="AE8" s="267"/>
      <c r="AF8" s="267"/>
      <c r="AG8" s="267"/>
      <c r="AH8" s="267"/>
      <c r="AI8" s="267"/>
      <c r="AJ8" s="267"/>
      <c r="AK8" s="267"/>
      <c r="AL8" s="267"/>
      <c r="AM8" s="267"/>
      <c r="AN8" s="267"/>
      <c r="AO8" s="267"/>
      <c r="AP8" s="267"/>
      <c r="AQ8" s="267"/>
      <c r="AR8" s="267"/>
      <c r="AS8" s="267"/>
      <c r="AT8" s="267"/>
      <c r="AU8" s="267"/>
      <c r="AV8" s="267"/>
      <c r="AW8" s="267"/>
      <c r="AX8" s="267"/>
      <c r="AY8" s="267"/>
      <c r="AZ8" s="267"/>
      <c r="BA8" s="267"/>
      <c r="BB8" s="267"/>
      <c r="BC8" s="267"/>
      <c r="BD8" s="267"/>
      <c r="BE8" s="267"/>
      <c r="BF8" s="267"/>
      <c r="BG8" s="267"/>
      <c r="BH8" s="267"/>
      <c r="BI8" s="267"/>
      <c r="BJ8" s="267"/>
      <c r="BK8" s="267"/>
      <c r="BL8" s="267"/>
    </row>
    <row r="9" spans="1:64" ht="12" thickBot="1" x14ac:dyDescent="0.35">
      <c r="H9" s="9"/>
      <c r="L9" s="9"/>
      <c r="P9" s="9"/>
      <c r="T9" s="9"/>
      <c r="X9" s="9"/>
      <c r="AB9" s="9"/>
      <c r="AF9" s="9"/>
      <c r="AJ9" s="9"/>
      <c r="AN9" s="9"/>
      <c r="AR9" s="9"/>
      <c r="AV9" s="9"/>
      <c r="AZ9" s="9"/>
      <c r="BD9" s="9"/>
      <c r="BH9" s="9"/>
      <c r="BL9" s="9" t="s">
        <v>157</v>
      </c>
    </row>
    <row r="10" spans="1:64" ht="13.75" customHeight="1" thickBot="1" x14ac:dyDescent="0.35">
      <c r="E10" s="308" t="s">
        <v>254</v>
      </c>
      <c r="F10" s="309"/>
      <c r="G10" s="309"/>
      <c r="H10" s="310"/>
      <c r="I10" s="290" t="s">
        <v>194</v>
      </c>
      <c r="J10" s="291"/>
      <c r="K10" s="291"/>
      <c r="L10" s="292"/>
      <c r="M10" s="293" t="s">
        <v>255</v>
      </c>
      <c r="N10" s="294"/>
      <c r="O10" s="294"/>
      <c r="P10" s="295"/>
      <c r="Q10" s="290" t="s">
        <v>194</v>
      </c>
      <c r="R10" s="291"/>
      <c r="S10" s="291"/>
      <c r="T10" s="292"/>
      <c r="U10" s="293" t="s">
        <v>269</v>
      </c>
      <c r="V10" s="294"/>
      <c r="W10" s="294"/>
      <c r="X10" s="295"/>
      <c r="Y10" s="290" t="s">
        <v>194</v>
      </c>
      <c r="Z10" s="291"/>
      <c r="AA10" s="291"/>
      <c r="AB10" s="292"/>
      <c r="AC10" s="293" t="s">
        <v>279</v>
      </c>
      <c r="AD10" s="294"/>
      <c r="AE10" s="294"/>
      <c r="AF10" s="295"/>
      <c r="AG10" s="290" t="s">
        <v>194</v>
      </c>
      <c r="AH10" s="291"/>
      <c r="AI10" s="291"/>
      <c r="AJ10" s="292"/>
      <c r="AK10" s="293" t="s">
        <v>281</v>
      </c>
      <c r="AL10" s="294"/>
      <c r="AM10" s="294"/>
      <c r="AN10" s="295"/>
      <c r="AO10" s="290" t="s">
        <v>194</v>
      </c>
      <c r="AP10" s="291"/>
      <c r="AQ10" s="291"/>
      <c r="AR10" s="292"/>
      <c r="AS10" s="293" t="s">
        <v>283</v>
      </c>
      <c r="AT10" s="294"/>
      <c r="AU10" s="294"/>
      <c r="AV10" s="295"/>
      <c r="AW10" s="290" t="s">
        <v>194</v>
      </c>
      <c r="AX10" s="291"/>
      <c r="AY10" s="291"/>
      <c r="AZ10" s="292"/>
      <c r="BA10" s="293" t="s">
        <v>299</v>
      </c>
      <c r="BB10" s="294"/>
      <c r="BC10" s="294"/>
      <c r="BD10" s="295"/>
      <c r="BE10" s="290" t="s">
        <v>194</v>
      </c>
      <c r="BF10" s="291"/>
      <c r="BG10" s="291"/>
      <c r="BH10" s="292"/>
      <c r="BI10" s="293" t="s">
        <v>300</v>
      </c>
      <c r="BJ10" s="294"/>
      <c r="BK10" s="294"/>
      <c r="BL10" s="295"/>
    </row>
    <row r="11" spans="1:64" s="2" customFormat="1" ht="14.25" customHeight="1" x14ac:dyDescent="0.3">
      <c r="A11" s="277" t="s">
        <v>99</v>
      </c>
      <c r="B11" s="271" t="s">
        <v>24</v>
      </c>
      <c r="C11" s="274" t="s">
        <v>6</v>
      </c>
      <c r="D11" s="268" t="s">
        <v>35</v>
      </c>
      <c r="E11" s="280" t="s">
        <v>0</v>
      </c>
      <c r="F11" s="296" t="s">
        <v>5</v>
      </c>
      <c r="G11" s="297"/>
      <c r="H11" s="298"/>
      <c r="I11" s="280" t="s">
        <v>0</v>
      </c>
      <c r="J11" s="296" t="s">
        <v>5</v>
      </c>
      <c r="K11" s="297"/>
      <c r="L11" s="298"/>
      <c r="M11" s="280" t="s">
        <v>0</v>
      </c>
      <c r="N11" s="296" t="s">
        <v>5</v>
      </c>
      <c r="O11" s="297"/>
      <c r="P11" s="298"/>
      <c r="Q11" s="280" t="s">
        <v>0</v>
      </c>
      <c r="R11" s="296" t="s">
        <v>5</v>
      </c>
      <c r="S11" s="297"/>
      <c r="T11" s="298"/>
      <c r="U11" s="280" t="s">
        <v>0</v>
      </c>
      <c r="V11" s="296" t="s">
        <v>5</v>
      </c>
      <c r="W11" s="297"/>
      <c r="X11" s="298"/>
      <c r="Y11" s="280" t="s">
        <v>0</v>
      </c>
      <c r="Z11" s="296" t="s">
        <v>5</v>
      </c>
      <c r="AA11" s="297"/>
      <c r="AB11" s="298"/>
      <c r="AC11" s="280" t="s">
        <v>0</v>
      </c>
      <c r="AD11" s="296" t="s">
        <v>5</v>
      </c>
      <c r="AE11" s="297"/>
      <c r="AF11" s="298"/>
      <c r="AG11" s="280" t="s">
        <v>0</v>
      </c>
      <c r="AH11" s="296" t="s">
        <v>5</v>
      </c>
      <c r="AI11" s="297"/>
      <c r="AJ11" s="298"/>
      <c r="AK11" s="280" t="s">
        <v>0</v>
      </c>
      <c r="AL11" s="296" t="s">
        <v>5</v>
      </c>
      <c r="AM11" s="297"/>
      <c r="AN11" s="298"/>
      <c r="AO11" s="280" t="s">
        <v>0</v>
      </c>
      <c r="AP11" s="296" t="s">
        <v>5</v>
      </c>
      <c r="AQ11" s="297"/>
      <c r="AR11" s="298"/>
      <c r="AS11" s="280" t="s">
        <v>0</v>
      </c>
      <c r="AT11" s="296" t="s">
        <v>5</v>
      </c>
      <c r="AU11" s="297"/>
      <c r="AV11" s="298"/>
      <c r="AW11" s="280" t="s">
        <v>0</v>
      </c>
      <c r="AX11" s="296" t="s">
        <v>5</v>
      </c>
      <c r="AY11" s="297"/>
      <c r="AZ11" s="298"/>
      <c r="BA11" s="280" t="s">
        <v>0</v>
      </c>
      <c r="BB11" s="296" t="s">
        <v>5</v>
      </c>
      <c r="BC11" s="297"/>
      <c r="BD11" s="298"/>
      <c r="BE11" s="280" t="s">
        <v>0</v>
      </c>
      <c r="BF11" s="296" t="s">
        <v>5</v>
      </c>
      <c r="BG11" s="297"/>
      <c r="BH11" s="298"/>
      <c r="BI11" s="280" t="s">
        <v>0</v>
      </c>
      <c r="BJ11" s="296" t="s">
        <v>5</v>
      </c>
      <c r="BK11" s="297"/>
      <c r="BL11" s="298"/>
    </row>
    <row r="12" spans="1:64" s="3" customFormat="1" ht="13.75" customHeight="1" x14ac:dyDescent="0.3">
      <c r="A12" s="278"/>
      <c r="B12" s="272"/>
      <c r="C12" s="275"/>
      <c r="D12" s="269"/>
      <c r="E12" s="281"/>
      <c r="F12" s="299" t="s">
        <v>1</v>
      </c>
      <c r="G12" s="300"/>
      <c r="H12" s="301" t="s">
        <v>37</v>
      </c>
      <c r="I12" s="281"/>
      <c r="J12" s="299" t="s">
        <v>1</v>
      </c>
      <c r="K12" s="300"/>
      <c r="L12" s="301" t="s">
        <v>37</v>
      </c>
      <c r="M12" s="281"/>
      <c r="N12" s="299" t="s">
        <v>1</v>
      </c>
      <c r="O12" s="300"/>
      <c r="P12" s="301" t="s">
        <v>37</v>
      </c>
      <c r="Q12" s="281"/>
      <c r="R12" s="299" t="s">
        <v>1</v>
      </c>
      <c r="S12" s="300"/>
      <c r="T12" s="301" t="s">
        <v>37</v>
      </c>
      <c r="U12" s="281"/>
      <c r="V12" s="299" t="s">
        <v>1</v>
      </c>
      <c r="W12" s="300"/>
      <c r="X12" s="301" t="s">
        <v>37</v>
      </c>
      <c r="Y12" s="281"/>
      <c r="Z12" s="299" t="s">
        <v>1</v>
      </c>
      <c r="AA12" s="300"/>
      <c r="AB12" s="301" t="s">
        <v>37</v>
      </c>
      <c r="AC12" s="281"/>
      <c r="AD12" s="299" t="s">
        <v>1</v>
      </c>
      <c r="AE12" s="300"/>
      <c r="AF12" s="301" t="s">
        <v>37</v>
      </c>
      <c r="AG12" s="281"/>
      <c r="AH12" s="299" t="s">
        <v>1</v>
      </c>
      <c r="AI12" s="300"/>
      <c r="AJ12" s="301" t="s">
        <v>37</v>
      </c>
      <c r="AK12" s="281"/>
      <c r="AL12" s="299" t="s">
        <v>1</v>
      </c>
      <c r="AM12" s="300"/>
      <c r="AN12" s="301" t="s">
        <v>37</v>
      </c>
      <c r="AO12" s="281"/>
      <c r="AP12" s="299" t="s">
        <v>1</v>
      </c>
      <c r="AQ12" s="300"/>
      <c r="AR12" s="301" t="s">
        <v>37</v>
      </c>
      <c r="AS12" s="281"/>
      <c r="AT12" s="299" t="s">
        <v>1</v>
      </c>
      <c r="AU12" s="300"/>
      <c r="AV12" s="301" t="s">
        <v>37</v>
      </c>
      <c r="AW12" s="281"/>
      <c r="AX12" s="299" t="s">
        <v>1</v>
      </c>
      <c r="AY12" s="300"/>
      <c r="AZ12" s="301" t="s">
        <v>37</v>
      </c>
      <c r="BA12" s="281"/>
      <c r="BB12" s="299" t="s">
        <v>1</v>
      </c>
      <c r="BC12" s="300"/>
      <c r="BD12" s="301" t="s">
        <v>37</v>
      </c>
      <c r="BE12" s="281"/>
      <c r="BF12" s="299" t="s">
        <v>1</v>
      </c>
      <c r="BG12" s="300"/>
      <c r="BH12" s="301" t="s">
        <v>37</v>
      </c>
      <c r="BI12" s="281"/>
      <c r="BJ12" s="299" t="s">
        <v>1</v>
      </c>
      <c r="BK12" s="300"/>
      <c r="BL12" s="301" t="s">
        <v>37</v>
      </c>
    </row>
    <row r="13" spans="1:64" s="3" customFormat="1" ht="12" customHeight="1" x14ac:dyDescent="0.3">
      <c r="A13" s="278"/>
      <c r="B13" s="272"/>
      <c r="C13" s="275"/>
      <c r="D13" s="269"/>
      <c r="E13" s="281"/>
      <c r="F13" s="304" t="s">
        <v>0</v>
      </c>
      <c r="G13" s="306" t="s">
        <v>36</v>
      </c>
      <c r="H13" s="302"/>
      <c r="I13" s="281"/>
      <c r="J13" s="304" t="s">
        <v>0</v>
      </c>
      <c r="K13" s="306" t="s">
        <v>36</v>
      </c>
      <c r="L13" s="302"/>
      <c r="M13" s="281"/>
      <c r="N13" s="304" t="s">
        <v>0</v>
      </c>
      <c r="O13" s="306" t="s">
        <v>36</v>
      </c>
      <c r="P13" s="302"/>
      <c r="Q13" s="281"/>
      <c r="R13" s="304" t="s">
        <v>0</v>
      </c>
      <c r="S13" s="306" t="s">
        <v>36</v>
      </c>
      <c r="T13" s="302"/>
      <c r="U13" s="281"/>
      <c r="V13" s="304" t="s">
        <v>0</v>
      </c>
      <c r="W13" s="306" t="s">
        <v>36</v>
      </c>
      <c r="X13" s="302"/>
      <c r="Y13" s="281"/>
      <c r="Z13" s="304" t="s">
        <v>0</v>
      </c>
      <c r="AA13" s="306" t="s">
        <v>36</v>
      </c>
      <c r="AB13" s="302"/>
      <c r="AC13" s="281"/>
      <c r="AD13" s="304" t="s">
        <v>0</v>
      </c>
      <c r="AE13" s="306" t="s">
        <v>36</v>
      </c>
      <c r="AF13" s="302"/>
      <c r="AG13" s="281"/>
      <c r="AH13" s="304" t="s">
        <v>0</v>
      </c>
      <c r="AI13" s="306" t="s">
        <v>36</v>
      </c>
      <c r="AJ13" s="302"/>
      <c r="AK13" s="281"/>
      <c r="AL13" s="304" t="s">
        <v>0</v>
      </c>
      <c r="AM13" s="306" t="s">
        <v>36</v>
      </c>
      <c r="AN13" s="302"/>
      <c r="AO13" s="281"/>
      <c r="AP13" s="304" t="s">
        <v>0</v>
      </c>
      <c r="AQ13" s="306" t="s">
        <v>36</v>
      </c>
      <c r="AR13" s="302"/>
      <c r="AS13" s="281"/>
      <c r="AT13" s="304" t="s">
        <v>0</v>
      </c>
      <c r="AU13" s="306" t="s">
        <v>36</v>
      </c>
      <c r="AV13" s="302"/>
      <c r="AW13" s="281"/>
      <c r="AX13" s="304" t="s">
        <v>0</v>
      </c>
      <c r="AY13" s="306" t="s">
        <v>36</v>
      </c>
      <c r="AZ13" s="302"/>
      <c r="BA13" s="281"/>
      <c r="BB13" s="304" t="s">
        <v>0</v>
      </c>
      <c r="BC13" s="306" t="s">
        <v>36</v>
      </c>
      <c r="BD13" s="302"/>
      <c r="BE13" s="281"/>
      <c r="BF13" s="304" t="s">
        <v>0</v>
      </c>
      <c r="BG13" s="306" t="s">
        <v>36</v>
      </c>
      <c r="BH13" s="302"/>
      <c r="BI13" s="281"/>
      <c r="BJ13" s="304" t="s">
        <v>0</v>
      </c>
      <c r="BK13" s="306" t="s">
        <v>36</v>
      </c>
      <c r="BL13" s="302"/>
    </row>
    <row r="14" spans="1:64" ht="15.65" customHeight="1" thickBot="1" x14ac:dyDescent="0.35">
      <c r="A14" s="279"/>
      <c r="B14" s="273"/>
      <c r="C14" s="276"/>
      <c r="D14" s="270"/>
      <c r="E14" s="282"/>
      <c r="F14" s="305"/>
      <c r="G14" s="307"/>
      <c r="H14" s="303"/>
      <c r="I14" s="282"/>
      <c r="J14" s="305"/>
      <c r="K14" s="307"/>
      <c r="L14" s="303"/>
      <c r="M14" s="282"/>
      <c r="N14" s="305"/>
      <c r="O14" s="307"/>
      <c r="P14" s="303"/>
      <c r="Q14" s="282"/>
      <c r="R14" s="305"/>
      <c r="S14" s="307"/>
      <c r="T14" s="303"/>
      <c r="U14" s="282"/>
      <c r="V14" s="305"/>
      <c r="W14" s="307"/>
      <c r="X14" s="303"/>
      <c r="Y14" s="282"/>
      <c r="Z14" s="305"/>
      <c r="AA14" s="307"/>
      <c r="AB14" s="303"/>
      <c r="AC14" s="282"/>
      <c r="AD14" s="305"/>
      <c r="AE14" s="307"/>
      <c r="AF14" s="303"/>
      <c r="AG14" s="282"/>
      <c r="AH14" s="305"/>
      <c r="AI14" s="307"/>
      <c r="AJ14" s="303"/>
      <c r="AK14" s="282"/>
      <c r="AL14" s="305"/>
      <c r="AM14" s="307"/>
      <c r="AN14" s="303"/>
      <c r="AO14" s="282"/>
      <c r="AP14" s="305"/>
      <c r="AQ14" s="307"/>
      <c r="AR14" s="303"/>
      <c r="AS14" s="282"/>
      <c r="AT14" s="305"/>
      <c r="AU14" s="307"/>
      <c r="AV14" s="303"/>
      <c r="AW14" s="282"/>
      <c r="AX14" s="305"/>
      <c r="AY14" s="307"/>
      <c r="AZ14" s="303"/>
      <c r="BA14" s="282"/>
      <c r="BB14" s="305"/>
      <c r="BC14" s="307"/>
      <c r="BD14" s="303"/>
      <c r="BE14" s="282"/>
      <c r="BF14" s="305"/>
      <c r="BG14" s="307"/>
      <c r="BH14" s="303"/>
      <c r="BI14" s="282"/>
      <c r="BJ14" s="305"/>
      <c r="BK14" s="307"/>
      <c r="BL14" s="303"/>
    </row>
    <row r="15" spans="1:64" ht="15" customHeight="1" x14ac:dyDescent="0.3">
      <c r="A15" s="30">
        <v>1</v>
      </c>
      <c r="B15" s="31">
        <v>2</v>
      </c>
      <c r="C15" s="32">
        <v>3</v>
      </c>
      <c r="D15" s="32">
        <v>4</v>
      </c>
      <c r="E15" s="33">
        <v>5</v>
      </c>
      <c r="F15" s="34">
        <v>6</v>
      </c>
      <c r="G15" s="35">
        <v>7</v>
      </c>
      <c r="H15" s="12">
        <v>8</v>
      </c>
      <c r="I15" s="33">
        <v>9</v>
      </c>
      <c r="J15" s="34">
        <v>10</v>
      </c>
      <c r="K15" s="35">
        <v>11</v>
      </c>
      <c r="L15" s="12">
        <v>12</v>
      </c>
      <c r="M15" s="33">
        <v>5</v>
      </c>
      <c r="N15" s="34">
        <v>6</v>
      </c>
      <c r="O15" s="35">
        <v>7</v>
      </c>
      <c r="P15" s="12">
        <v>8</v>
      </c>
      <c r="Q15" s="33">
        <v>9</v>
      </c>
      <c r="R15" s="34">
        <v>10</v>
      </c>
      <c r="S15" s="35">
        <v>11</v>
      </c>
      <c r="T15" s="12">
        <v>12</v>
      </c>
      <c r="U15" s="33">
        <v>5</v>
      </c>
      <c r="V15" s="34">
        <v>6</v>
      </c>
      <c r="W15" s="35">
        <v>7</v>
      </c>
      <c r="X15" s="12">
        <v>8</v>
      </c>
      <c r="Y15" s="33">
        <v>9</v>
      </c>
      <c r="Z15" s="34">
        <v>10</v>
      </c>
      <c r="AA15" s="35">
        <v>11</v>
      </c>
      <c r="AB15" s="12">
        <v>12</v>
      </c>
      <c r="AC15" s="33">
        <v>5</v>
      </c>
      <c r="AD15" s="34">
        <v>6</v>
      </c>
      <c r="AE15" s="35">
        <v>7</v>
      </c>
      <c r="AF15" s="12">
        <v>8</v>
      </c>
      <c r="AG15" s="33">
        <v>9</v>
      </c>
      <c r="AH15" s="34">
        <v>10</v>
      </c>
      <c r="AI15" s="35">
        <v>11</v>
      </c>
      <c r="AJ15" s="12">
        <v>12</v>
      </c>
      <c r="AK15" s="33">
        <v>5</v>
      </c>
      <c r="AL15" s="34">
        <v>6</v>
      </c>
      <c r="AM15" s="35">
        <v>7</v>
      </c>
      <c r="AN15" s="12">
        <v>8</v>
      </c>
      <c r="AO15" s="33">
        <v>9</v>
      </c>
      <c r="AP15" s="34">
        <v>10</v>
      </c>
      <c r="AQ15" s="35">
        <v>11</v>
      </c>
      <c r="AR15" s="12">
        <v>12</v>
      </c>
      <c r="AS15" s="33">
        <v>5</v>
      </c>
      <c r="AT15" s="34">
        <v>6</v>
      </c>
      <c r="AU15" s="35">
        <v>7</v>
      </c>
      <c r="AV15" s="12">
        <v>8</v>
      </c>
      <c r="AW15" s="33">
        <v>9</v>
      </c>
      <c r="AX15" s="34">
        <v>10</v>
      </c>
      <c r="AY15" s="35">
        <v>11</v>
      </c>
      <c r="AZ15" s="12">
        <v>12</v>
      </c>
      <c r="BA15" s="33">
        <v>5</v>
      </c>
      <c r="BB15" s="34">
        <v>6</v>
      </c>
      <c r="BC15" s="35">
        <v>7</v>
      </c>
      <c r="BD15" s="12">
        <v>8</v>
      </c>
      <c r="BE15" s="33">
        <v>9</v>
      </c>
      <c r="BF15" s="34">
        <v>10</v>
      </c>
      <c r="BG15" s="35">
        <v>11</v>
      </c>
      <c r="BH15" s="12">
        <v>12</v>
      </c>
      <c r="BI15" s="33">
        <v>13</v>
      </c>
      <c r="BJ15" s="34">
        <v>14</v>
      </c>
      <c r="BK15" s="35">
        <v>15</v>
      </c>
      <c r="BL15" s="12">
        <v>16</v>
      </c>
    </row>
    <row r="16" spans="1:64" ht="19.3" customHeight="1" x14ac:dyDescent="0.35">
      <c r="A16" s="36"/>
      <c r="B16" s="24" t="s">
        <v>19</v>
      </c>
      <c r="C16" s="37" t="s">
        <v>173</v>
      </c>
      <c r="D16" s="25"/>
      <c r="E16" s="123">
        <f>SUM(H16,F16)</f>
        <v>80.430000000000007</v>
      </c>
      <c r="F16" s="74">
        <f>F18</f>
        <v>80.430000000000007</v>
      </c>
      <c r="G16" s="75">
        <f t="shared" ref="G16:H16" si="0">G18</f>
        <v>72.5</v>
      </c>
      <c r="H16" s="133">
        <f t="shared" si="0"/>
        <v>0</v>
      </c>
      <c r="I16" s="70">
        <f>SUM(L16,J16)</f>
        <v>0</v>
      </c>
      <c r="J16" s="71">
        <f>J18</f>
        <v>0</v>
      </c>
      <c r="K16" s="72">
        <f t="shared" ref="K16:L16" si="1">K18</f>
        <v>0</v>
      </c>
      <c r="L16" s="134">
        <f t="shared" si="1"/>
        <v>0</v>
      </c>
      <c r="M16" s="73">
        <f>SUM(P16,N16)</f>
        <v>80.430000000000007</v>
      </c>
      <c r="N16" s="74">
        <f>F16+J16</f>
        <v>80.430000000000007</v>
      </c>
      <c r="O16" s="75">
        <f>G16+K16</f>
        <v>72.5</v>
      </c>
      <c r="P16" s="134">
        <f>H16+L16</f>
        <v>0</v>
      </c>
      <c r="Q16" s="70">
        <f>SUM(T16,R16)</f>
        <v>0</v>
      </c>
      <c r="R16" s="71">
        <f>R18</f>
        <v>0</v>
      </c>
      <c r="S16" s="72">
        <f t="shared" ref="S16:T16" si="2">S18</f>
        <v>0</v>
      </c>
      <c r="T16" s="134">
        <f t="shared" si="2"/>
        <v>0</v>
      </c>
      <c r="U16" s="73">
        <f>SUM(X16,V16)</f>
        <v>80.430000000000007</v>
      </c>
      <c r="V16" s="74">
        <f>N16+R16</f>
        <v>80.430000000000007</v>
      </c>
      <c r="W16" s="75">
        <f>O16+S16</f>
        <v>72.5</v>
      </c>
      <c r="X16" s="134">
        <f>P16+T16</f>
        <v>0</v>
      </c>
      <c r="Y16" s="70">
        <f>SUM(AB16,Z16)</f>
        <v>0</v>
      </c>
      <c r="Z16" s="71">
        <f>Z18</f>
        <v>0</v>
      </c>
      <c r="AA16" s="72">
        <f t="shared" ref="AA16:AB16" si="3">AA18</f>
        <v>0</v>
      </c>
      <c r="AB16" s="134">
        <f t="shared" si="3"/>
        <v>0</v>
      </c>
      <c r="AC16" s="73">
        <f>SUM(AF16,AD16)</f>
        <v>80.430000000000007</v>
      </c>
      <c r="AD16" s="74">
        <f>V16+Z16</f>
        <v>80.430000000000007</v>
      </c>
      <c r="AE16" s="75">
        <f>W16+AA16</f>
        <v>72.5</v>
      </c>
      <c r="AF16" s="134">
        <f>X16+AB16</f>
        <v>0</v>
      </c>
      <c r="AG16" s="70">
        <f>SUM(AJ16,AH16)</f>
        <v>0</v>
      </c>
      <c r="AH16" s="71">
        <f>AH18</f>
        <v>0</v>
      </c>
      <c r="AI16" s="72">
        <f t="shared" ref="AI16:AJ16" si="4">AI18</f>
        <v>0</v>
      </c>
      <c r="AJ16" s="134">
        <f t="shared" si="4"/>
        <v>0</v>
      </c>
      <c r="AK16" s="73">
        <f>SUM(AN16,AL16)</f>
        <v>80.430000000000007</v>
      </c>
      <c r="AL16" s="74">
        <f>AD16+AH16</f>
        <v>80.430000000000007</v>
      </c>
      <c r="AM16" s="75">
        <f>AE16+AI16</f>
        <v>72.5</v>
      </c>
      <c r="AN16" s="134">
        <f>AF16+AJ16</f>
        <v>0</v>
      </c>
      <c r="AO16" s="70">
        <f>SUM(AR16,AP16)</f>
        <v>0</v>
      </c>
      <c r="AP16" s="71">
        <f>AP18</f>
        <v>0</v>
      </c>
      <c r="AQ16" s="72">
        <f t="shared" ref="AQ16:AR16" si="5">AQ18</f>
        <v>0</v>
      </c>
      <c r="AR16" s="134">
        <f t="shared" si="5"/>
        <v>0</v>
      </c>
      <c r="AS16" s="73">
        <f>SUM(AV16,AT16)</f>
        <v>80.430000000000007</v>
      </c>
      <c r="AT16" s="74">
        <f>AL16+AP16</f>
        <v>80.430000000000007</v>
      </c>
      <c r="AU16" s="75">
        <f>AM16+AQ16</f>
        <v>72.5</v>
      </c>
      <c r="AV16" s="134">
        <f>AN16+AR16</f>
        <v>0</v>
      </c>
      <c r="AW16" s="73">
        <f>SUM(AZ16,AX16)</f>
        <v>3</v>
      </c>
      <c r="AX16" s="74">
        <f>AX18</f>
        <v>3</v>
      </c>
      <c r="AY16" s="75">
        <f t="shared" ref="AY16:AZ16" si="6">AY18</f>
        <v>2.9</v>
      </c>
      <c r="AZ16" s="134">
        <f t="shared" si="6"/>
        <v>0</v>
      </c>
      <c r="BA16" s="73">
        <f>SUM(BD16,BB16)</f>
        <v>83.43</v>
      </c>
      <c r="BB16" s="74">
        <f>AT16+AX16</f>
        <v>83.43</v>
      </c>
      <c r="BC16" s="75">
        <f>AU16+AY16</f>
        <v>75.400000000000006</v>
      </c>
      <c r="BD16" s="134">
        <f>AV16+AZ16</f>
        <v>0</v>
      </c>
      <c r="BE16" s="73">
        <f>SUM(BH16,BF16)</f>
        <v>0</v>
      </c>
      <c r="BF16" s="74">
        <f>BF18</f>
        <v>0</v>
      </c>
      <c r="BG16" s="75">
        <f t="shared" ref="BG16:BH16" si="7">BG18</f>
        <v>0</v>
      </c>
      <c r="BH16" s="134">
        <f t="shared" si="7"/>
        <v>0</v>
      </c>
      <c r="BI16" s="73">
        <f>SUM(BL16,BJ16)</f>
        <v>83.43</v>
      </c>
      <c r="BJ16" s="74">
        <f>BB16+BF16</f>
        <v>83.43</v>
      </c>
      <c r="BK16" s="75">
        <f>BC16+BG16</f>
        <v>75.400000000000006</v>
      </c>
      <c r="BL16" s="134">
        <f>BD16+BH16</f>
        <v>0</v>
      </c>
    </row>
    <row r="17" spans="1:64" ht="18" customHeight="1" x14ac:dyDescent="0.35">
      <c r="A17" s="38"/>
      <c r="B17" s="4" t="s">
        <v>2</v>
      </c>
      <c r="C17" s="25"/>
      <c r="D17" s="25"/>
      <c r="E17" s="78">
        <f t="shared" ref="E17:E57" si="8">SUM(H17,F17)</f>
        <v>0</v>
      </c>
      <c r="F17" s="79">
        <v>0</v>
      </c>
      <c r="G17" s="80">
        <v>0</v>
      </c>
      <c r="H17" s="81">
        <v>0</v>
      </c>
      <c r="I17" s="78">
        <f t="shared" ref="I17:I57" si="9">SUM(L17,J17)</f>
        <v>0</v>
      </c>
      <c r="J17" s="79">
        <v>0</v>
      </c>
      <c r="K17" s="80">
        <v>0</v>
      </c>
      <c r="L17" s="81">
        <v>0</v>
      </c>
      <c r="M17" s="70">
        <f t="shared" ref="M17:M84" si="10">SUM(P17,N17)</f>
        <v>0</v>
      </c>
      <c r="N17" s="71">
        <f t="shared" ref="N17:N84" si="11">F17+J17</f>
        <v>0</v>
      </c>
      <c r="O17" s="72">
        <f t="shared" ref="O17:O84" si="12">G17+K17</f>
        <v>0</v>
      </c>
      <c r="P17" s="134">
        <f t="shared" ref="P17:P84" si="13">H17+L17</f>
        <v>0</v>
      </c>
      <c r="Q17" s="78">
        <f t="shared" ref="Q17:Q57" si="14">SUM(T17,R17)</f>
        <v>0</v>
      </c>
      <c r="R17" s="79">
        <v>0</v>
      </c>
      <c r="S17" s="80">
        <v>0</v>
      </c>
      <c r="T17" s="81">
        <v>0</v>
      </c>
      <c r="U17" s="70">
        <f t="shared" ref="U17:U82" si="15">SUM(X17,V17)</f>
        <v>0</v>
      </c>
      <c r="V17" s="71">
        <f t="shared" ref="V17:V82" si="16">N17+R17</f>
        <v>0</v>
      </c>
      <c r="W17" s="72">
        <f t="shared" ref="W17:W84" si="17">O17+S17</f>
        <v>0</v>
      </c>
      <c r="X17" s="134">
        <f t="shared" ref="X17:X84" si="18">P17+T17</f>
        <v>0</v>
      </c>
      <c r="Y17" s="78">
        <f t="shared" ref="Y17:Y57" si="19">SUM(AB17,Z17)</f>
        <v>0</v>
      </c>
      <c r="Z17" s="79">
        <v>0</v>
      </c>
      <c r="AA17" s="80">
        <v>0</v>
      </c>
      <c r="AB17" s="81">
        <v>0</v>
      </c>
      <c r="AC17" s="70">
        <f t="shared" ref="AC17:AC82" si="20">SUM(AF17,AD17)</f>
        <v>0</v>
      </c>
      <c r="AD17" s="71">
        <f t="shared" ref="AD17:AD62" si="21">V17+Z17</f>
        <v>0</v>
      </c>
      <c r="AE17" s="72">
        <f t="shared" ref="AE17:AE84" si="22">W17+AA17</f>
        <v>0</v>
      </c>
      <c r="AF17" s="134">
        <f t="shared" ref="AF17:AF84" si="23">X17+AB17</f>
        <v>0</v>
      </c>
      <c r="AG17" s="78">
        <f t="shared" ref="AG17:AG57" si="24">SUM(AJ17,AH17)</f>
        <v>0</v>
      </c>
      <c r="AH17" s="79">
        <v>0</v>
      </c>
      <c r="AI17" s="80">
        <v>0</v>
      </c>
      <c r="AJ17" s="81">
        <v>0</v>
      </c>
      <c r="AK17" s="70">
        <f t="shared" ref="AK17:AK82" si="25">SUM(AN17,AL17)</f>
        <v>0</v>
      </c>
      <c r="AL17" s="71">
        <f t="shared" ref="AL17:AL62" si="26">AD17+AH17</f>
        <v>0</v>
      </c>
      <c r="AM17" s="72">
        <f t="shared" ref="AM17:AM20" si="27">AE17+AI17</f>
        <v>0</v>
      </c>
      <c r="AN17" s="134">
        <f t="shared" ref="AN17:AN84" si="28">AF17+AJ17</f>
        <v>0</v>
      </c>
      <c r="AO17" s="78">
        <f t="shared" ref="AO17:AO57" si="29">SUM(AR17,AP17)</f>
        <v>0</v>
      </c>
      <c r="AP17" s="79">
        <v>0</v>
      </c>
      <c r="AQ17" s="80">
        <v>0</v>
      </c>
      <c r="AR17" s="81">
        <v>0</v>
      </c>
      <c r="AS17" s="70">
        <f t="shared" ref="AS17:AS82" si="30">SUM(AV17,AT17)</f>
        <v>0</v>
      </c>
      <c r="AT17" s="71">
        <f t="shared" ref="AT17:AT62" si="31">AL17+AP17</f>
        <v>0</v>
      </c>
      <c r="AU17" s="72">
        <f t="shared" ref="AU17:AU20" si="32">AM17+AQ17</f>
        <v>0</v>
      </c>
      <c r="AV17" s="134">
        <f t="shared" ref="AV17:AV84" si="33">AN17+AR17</f>
        <v>0</v>
      </c>
      <c r="AW17" s="78">
        <f t="shared" ref="AW17:AW57" si="34">SUM(AZ17,AX17)</f>
        <v>0</v>
      </c>
      <c r="AX17" s="79">
        <v>0</v>
      </c>
      <c r="AY17" s="80">
        <v>0</v>
      </c>
      <c r="AZ17" s="81">
        <v>0</v>
      </c>
      <c r="BA17" s="70">
        <f t="shared" ref="BA17:BA82" si="35">SUM(BD17,BB17)</f>
        <v>0</v>
      </c>
      <c r="BB17" s="71">
        <f t="shared" ref="BB17:BB62" si="36">AT17+AX17</f>
        <v>0</v>
      </c>
      <c r="BC17" s="72">
        <f t="shared" ref="BC17:BC20" si="37">AU17+AY17</f>
        <v>0</v>
      </c>
      <c r="BD17" s="134">
        <f t="shared" ref="BD17:BD84" si="38">AV17+AZ17</f>
        <v>0</v>
      </c>
      <c r="BE17" s="78">
        <f t="shared" ref="BE17:BE57" si="39">SUM(BH17,BF17)</f>
        <v>0</v>
      </c>
      <c r="BF17" s="79">
        <v>0</v>
      </c>
      <c r="BG17" s="80">
        <v>0</v>
      </c>
      <c r="BH17" s="81">
        <v>0</v>
      </c>
      <c r="BI17" s="70">
        <f t="shared" ref="BI17:BI82" si="40">SUM(BL17,BJ17)</f>
        <v>0</v>
      </c>
      <c r="BJ17" s="71">
        <f t="shared" ref="BJ17:BJ18" si="41">BB17+BF17</f>
        <v>0</v>
      </c>
      <c r="BK17" s="72">
        <f t="shared" ref="BK17:BK20" si="42">BC17+BG17</f>
        <v>0</v>
      </c>
      <c r="BL17" s="134">
        <f t="shared" ref="BL17:BL35" si="43">BD17+BH17</f>
        <v>0</v>
      </c>
    </row>
    <row r="18" spans="1:64" ht="17.25" customHeight="1" x14ac:dyDescent="0.35">
      <c r="A18" s="25" t="s">
        <v>22</v>
      </c>
      <c r="B18" s="26" t="s">
        <v>34</v>
      </c>
      <c r="C18" s="25" t="s">
        <v>21</v>
      </c>
      <c r="D18" s="25" t="s">
        <v>125</v>
      </c>
      <c r="E18" s="78">
        <f t="shared" si="8"/>
        <v>80.430000000000007</v>
      </c>
      <c r="F18" s="79">
        <v>80.430000000000007</v>
      </c>
      <c r="G18" s="80">
        <v>72.5</v>
      </c>
      <c r="H18" s="81"/>
      <c r="I18" s="78">
        <f t="shared" si="9"/>
        <v>0</v>
      </c>
      <c r="J18" s="79"/>
      <c r="K18" s="80"/>
      <c r="L18" s="81"/>
      <c r="M18" s="70">
        <f t="shared" si="10"/>
        <v>80.430000000000007</v>
      </c>
      <c r="N18" s="71">
        <f t="shared" si="11"/>
        <v>80.430000000000007</v>
      </c>
      <c r="O18" s="72">
        <f t="shared" si="12"/>
        <v>72.5</v>
      </c>
      <c r="P18" s="134">
        <f t="shared" si="13"/>
        <v>0</v>
      </c>
      <c r="Q18" s="78">
        <f t="shared" si="14"/>
        <v>0</v>
      </c>
      <c r="R18" s="79"/>
      <c r="S18" s="80"/>
      <c r="T18" s="81"/>
      <c r="U18" s="70">
        <f t="shared" si="15"/>
        <v>80.430000000000007</v>
      </c>
      <c r="V18" s="71">
        <f t="shared" si="16"/>
        <v>80.430000000000007</v>
      </c>
      <c r="W18" s="72">
        <f t="shared" si="17"/>
        <v>72.5</v>
      </c>
      <c r="X18" s="134">
        <f t="shared" si="18"/>
        <v>0</v>
      </c>
      <c r="Y18" s="78">
        <f t="shared" si="19"/>
        <v>0</v>
      </c>
      <c r="Z18" s="79"/>
      <c r="AA18" s="80"/>
      <c r="AB18" s="81"/>
      <c r="AC18" s="70">
        <f t="shared" si="20"/>
        <v>80.430000000000007</v>
      </c>
      <c r="AD18" s="71">
        <f t="shared" si="21"/>
        <v>80.430000000000007</v>
      </c>
      <c r="AE18" s="72">
        <f t="shared" si="22"/>
        <v>72.5</v>
      </c>
      <c r="AF18" s="134">
        <f t="shared" si="23"/>
        <v>0</v>
      </c>
      <c r="AG18" s="78">
        <f t="shared" si="24"/>
        <v>0</v>
      </c>
      <c r="AH18" s="79"/>
      <c r="AI18" s="80"/>
      <c r="AJ18" s="81"/>
      <c r="AK18" s="70">
        <f t="shared" si="25"/>
        <v>80.430000000000007</v>
      </c>
      <c r="AL18" s="71">
        <f t="shared" si="26"/>
        <v>80.430000000000007</v>
      </c>
      <c r="AM18" s="72">
        <f t="shared" si="27"/>
        <v>72.5</v>
      </c>
      <c r="AN18" s="134">
        <f t="shared" si="28"/>
        <v>0</v>
      </c>
      <c r="AO18" s="78">
        <f t="shared" si="29"/>
        <v>0</v>
      </c>
      <c r="AP18" s="79"/>
      <c r="AQ18" s="80"/>
      <c r="AR18" s="81"/>
      <c r="AS18" s="70">
        <f t="shared" si="30"/>
        <v>80.430000000000007</v>
      </c>
      <c r="AT18" s="71">
        <f t="shared" si="31"/>
        <v>80.430000000000007</v>
      </c>
      <c r="AU18" s="72">
        <f t="shared" si="32"/>
        <v>72.5</v>
      </c>
      <c r="AV18" s="134">
        <f t="shared" si="33"/>
        <v>0</v>
      </c>
      <c r="AW18" s="78">
        <f t="shared" si="34"/>
        <v>3</v>
      </c>
      <c r="AX18" s="79">
        <v>3</v>
      </c>
      <c r="AY18" s="80">
        <v>2.9</v>
      </c>
      <c r="AZ18" s="81"/>
      <c r="BA18" s="70">
        <f t="shared" si="35"/>
        <v>83.43</v>
      </c>
      <c r="BB18" s="71">
        <f t="shared" si="36"/>
        <v>83.43</v>
      </c>
      <c r="BC18" s="72">
        <f t="shared" si="37"/>
        <v>75.400000000000006</v>
      </c>
      <c r="BD18" s="134">
        <f t="shared" si="38"/>
        <v>0</v>
      </c>
      <c r="BE18" s="78">
        <f t="shared" si="39"/>
        <v>0</v>
      </c>
      <c r="BF18" s="79"/>
      <c r="BG18" s="80"/>
      <c r="BH18" s="81"/>
      <c r="BI18" s="70">
        <f t="shared" si="40"/>
        <v>83.43</v>
      </c>
      <c r="BJ18" s="71">
        <f t="shared" si="41"/>
        <v>83.43</v>
      </c>
      <c r="BK18" s="72">
        <f t="shared" si="42"/>
        <v>75.400000000000006</v>
      </c>
      <c r="BL18" s="134">
        <f t="shared" si="43"/>
        <v>0</v>
      </c>
    </row>
    <row r="19" spans="1:64" s="138" customFormat="1" ht="16.3" customHeight="1" x14ac:dyDescent="0.3">
      <c r="A19" s="146"/>
      <c r="B19" s="147" t="s">
        <v>20</v>
      </c>
      <c r="C19" s="37" t="s">
        <v>174</v>
      </c>
      <c r="D19" s="144"/>
      <c r="E19" s="73">
        <f t="shared" si="8"/>
        <v>18084.476999999999</v>
      </c>
      <c r="F19" s="74">
        <f>SUM(F21:F57)</f>
        <v>10747.225</v>
      </c>
      <c r="G19" s="75">
        <f t="shared" ref="G19:H19" si="44">SUM(G21:G57)</f>
        <v>3309.3269999999998</v>
      </c>
      <c r="H19" s="133">
        <f t="shared" si="44"/>
        <v>7337.2520000000004</v>
      </c>
      <c r="I19" s="73">
        <f t="shared" si="9"/>
        <v>-16.806000000000001</v>
      </c>
      <c r="J19" s="74">
        <f>SUM(J21:J57)</f>
        <v>-0.83700000000000063</v>
      </c>
      <c r="K19" s="75">
        <f t="shared" ref="K19:L19" si="45">SUM(K21:K57)</f>
        <v>-91.372</v>
      </c>
      <c r="L19" s="133">
        <f t="shared" si="45"/>
        <v>-15.969000000000001</v>
      </c>
      <c r="M19" s="73">
        <f t="shared" si="10"/>
        <v>18067.671000000002</v>
      </c>
      <c r="N19" s="74">
        <f t="shared" si="11"/>
        <v>10746.388000000001</v>
      </c>
      <c r="O19" s="75">
        <f t="shared" si="12"/>
        <v>3217.9549999999999</v>
      </c>
      <c r="P19" s="133">
        <f t="shared" si="13"/>
        <v>7321.2830000000004</v>
      </c>
      <c r="Q19" s="73">
        <f t="shared" si="14"/>
        <v>814.27</v>
      </c>
      <c r="R19" s="74">
        <f>SUM(R21:R57)</f>
        <v>505.42099999999999</v>
      </c>
      <c r="S19" s="75">
        <f t="shared" ref="S19:T19" si="46">SUM(S21:S57)</f>
        <v>28.277999999999999</v>
      </c>
      <c r="T19" s="133">
        <f t="shared" si="46"/>
        <v>308.84899999999999</v>
      </c>
      <c r="U19" s="73">
        <f t="shared" si="15"/>
        <v>18881.941000000003</v>
      </c>
      <c r="V19" s="74">
        <f t="shared" si="16"/>
        <v>11251.809000000001</v>
      </c>
      <c r="W19" s="75">
        <f t="shared" si="17"/>
        <v>3246.2329999999997</v>
      </c>
      <c r="X19" s="133">
        <f t="shared" si="18"/>
        <v>7630.1320000000005</v>
      </c>
      <c r="Y19" s="73">
        <f t="shared" si="19"/>
        <v>111.33399999999997</v>
      </c>
      <c r="Z19" s="74">
        <f>SUM(Z21:Z57)</f>
        <v>-22.281000000000006</v>
      </c>
      <c r="AA19" s="75">
        <f t="shared" ref="AA19:AB19" si="47">SUM(AA21:AA57)</f>
        <v>-44.161999999999999</v>
      </c>
      <c r="AB19" s="133">
        <f t="shared" si="47"/>
        <v>133.61499999999998</v>
      </c>
      <c r="AC19" s="73">
        <f t="shared" si="20"/>
        <v>18993.275000000001</v>
      </c>
      <c r="AD19" s="74">
        <f t="shared" si="21"/>
        <v>11229.528</v>
      </c>
      <c r="AE19" s="75">
        <f t="shared" si="22"/>
        <v>3202.0709999999999</v>
      </c>
      <c r="AF19" s="133">
        <f t="shared" si="23"/>
        <v>7763.7470000000003</v>
      </c>
      <c r="AG19" s="73">
        <f t="shared" si="24"/>
        <v>270.54700000000003</v>
      </c>
      <c r="AH19" s="74">
        <f>SUM(AH21:AH57)</f>
        <v>44.274000000000001</v>
      </c>
      <c r="AI19" s="75">
        <f t="shared" ref="AI19:AJ19" si="48">SUM(AI21:AI57)</f>
        <v>-0.39500000000000041</v>
      </c>
      <c r="AJ19" s="133">
        <f t="shared" si="48"/>
        <v>226.273</v>
      </c>
      <c r="AK19" s="73">
        <f t="shared" si="25"/>
        <v>19263.822</v>
      </c>
      <c r="AL19" s="74">
        <f t="shared" si="26"/>
        <v>11273.802</v>
      </c>
      <c r="AM19" s="75">
        <f t="shared" si="27"/>
        <v>3201.6759999999999</v>
      </c>
      <c r="AN19" s="133">
        <f t="shared" si="28"/>
        <v>7990.02</v>
      </c>
      <c r="AO19" s="73">
        <f t="shared" si="29"/>
        <v>136.31100000000001</v>
      </c>
      <c r="AP19" s="74">
        <f>SUM(AP21:AP57)</f>
        <v>108.006</v>
      </c>
      <c r="AQ19" s="75">
        <f t="shared" ref="AQ19:AR19" si="49">SUM(AQ21:AQ57)</f>
        <v>7.2099999999999991</v>
      </c>
      <c r="AR19" s="133">
        <f t="shared" si="49"/>
        <v>28.305</v>
      </c>
      <c r="AS19" s="73">
        <f t="shared" si="30"/>
        <v>19400.133000000002</v>
      </c>
      <c r="AT19" s="74">
        <f t="shared" si="31"/>
        <v>11381.807999999999</v>
      </c>
      <c r="AU19" s="75">
        <f t="shared" si="32"/>
        <v>3208.886</v>
      </c>
      <c r="AV19" s="133">
        <f t="shared" si="33"/>
        <v>8018.3250000000007</v>
      </c>
      <c r="AW19" s="73">
        <f t="shared" si="34"/>
        <v>1521.914</v>
      </c>
      <c r="AX19" s="74">
        <f>SUM(AX21:AX57)</f>
        <v>466.28</v>
      </c>
      <c r="AY19" s="75">
        <f t="shared" ref="AY19" si="50">SUM(AY21:AY57)</f>
        <v>-46.938000000000002</v>
      </c>
      <c r="AZ19" s="133">
        <f>SUM(AZ21:AZ57)</f>
        <v>1055.634</v>
      </c>
      <c r="BA19" s="73">
        <f t="shared" si="35"/>
        <v>20922.046999999999</v>
      </c>
      <c r="BB19" s="74">
        <f>AT19+AX19</f>
        <v>11848.088</v>
      </c>
      <c r="BC19" s="75">
        <f t="shared" si="37"/>
        <v>3161.9479999999999</v>
      </c>
      <c r="BD19" s="133">
        <f t="shared" si="38"/>
        <v>9073.9590000000007</v>
      </c>
      <c r="BE19" s="73">
        <f t="shared" si="39"/>
        <v>437.24799999999999</v>
      </c>
      <c r="BF19" s="74">
        <f>SUM(BF21:BF57)</f>
        <v>224.00799999999998</v>
      </c>
      <c r="BG19" s="75">
        <f>SUM(BG21:BG57)</f>
        <v>2.66</v>
      </c>
      <c r="BH19" s="133">
        <f>SUM(BH21:BH57)</f>
        <v>213.24</v>
      </c>
      <c r="BI19" s="73">
        <f t="shared" si="40"/>
        <v>21359.294999999998</v>
      </c>
      <c r="BJ19" s="74">
        <f>BB19+BF19</f>
        <v>12072.096</v>
      </c>
      <c r="BK19" s="75">
        <f t="shared" si="42"/>
        <v>3164.6079999999997</v>
      </c>
      <c r="BL19" s="133">
        <f t="shared" si="43"/>
        <v>9287.1990000000005</v>
      </c>
    </row>
    <row r="20" spans="1:64" ht="12.9" x14ac:dyDescent="0.35">
      <c r="A20" s="39"/>
      <c r="B20" s="4" t="s">
        <v>2</v>
      </c>
      <c r="C20" s="25"/>
      <c r="D20" s="37"/>
      <c r="E20" s="78">
        <f t="shared" si="8"/>
        <v>0</v>
      </c>
      <c r="F20" s="79">
        <v>0</v>
      </c>
      <c r="G20" s="80">
        <v>0</v>
      </c>
      <c r="H20" s="81">
        <v>0</v>
      </c>
      <c r="I20" s="78">
        <f t="shared" si="9"/>
        <v>0</v>
      </c>
      <c r="J20" s="79">
        <v>0</v>
      </c>
      <c r="K20" s="80">
        <v>0</v>
      </c>
      <c r="L20" s="81">
        <v>0</v>
      </c>
      <c r="M20" s="70">
        <f t="shared" si="10"/>
        <v>0</v>
      </c>
      <c r="N20" s="71">
        <f t="shared" si="11"/>
        <v>0</v>
      </c>
      <c r="O20" s="72">
        <f t="shared" si="12"/>
        <v>0</v>
      </c>
      <c r="P20" s="134">
        <f t="shared" si="13"/>
        <v>0</v>
      </c>
      <c r="Q20" s="78">
        <f t="shared" si="14"/>
        <v>0</v>
      </c>
      <c r="R20" s="79">
        <v>0</v>
      </c>
      <c r="S20" s="80">
        <v>0</v>
      </c>
      <c r="T20" s="81">
        <v>0</v>
      </c>
      <c r="U20" s="70">
        <f t="shared" si="15"/>
        <v>0</v>
      </c>
      <c r="V20" s="71">
        <f t="shared" si="16"/>
        <v>0</v>
      </c>
      <c r="W20" s="72">
        <f t="shared" si="17"/>
        <v>0</v>
      </c>
      <c r="X20" s="134">
        <f t="shared" si="18"/>
        <v>0</v>
      </c>
      <c r="Y20" s="78">
        <f t="shared" si="19"/>
        <v>0</v>
      </c>
      <c r="Z20" s="79">
        <v>0</v>
      </c>
      <c r="AA20" s="80">
        <v>0</v>
      </c>
      <c r="AB20" s="81">
        <v>0</v>
      </c>
      <c r="AC20" s="70">
        <f t="shared" si="20"/>
        <v>0</v>
      </c>
      <c r="AD20" s="71">
        <f t="shared" si="21"/>
        <v>0</v>
      </c>
      <c r="AE20" s="72">
        <f t="shared" si="22"/>
        <v>0</v>
      </c>
      <c r="AF20" s="134">
        <f t="shared" si="23"/>
        <v>0</v>
      </c>
      <c r="AG20" s="78">
        <f t="shared" si="24"/>
        <v>0</v>
      </c>
      <c r="AH20" s="79">
        <v>0</v>
      </c>
      <c r="AI20" s="80">
        <v>0</v>
      </c>
      <c r="AJ20" s="81">
        <v>0</v>
      </c>
      <c r="AK20" s="70">
        <f t="shared" si="25"/>
        <v>0</v>
      </c>
      <c r="AL20" s="71">
        <f t="shared" si="26"/>
        <v>0</v>
      </c>
      <c r="AM20" s="72">
        <f t="shared" si="27"/>
        <v>0</v>
      </c>
      <c r="AN20" s="134">
        <f t="shared" si="28"/>
        <v>0</v>
      </c>
      <c r="AO20" s="78">
        <f t="shared" si="29"/>
        <v>0</v>
      </c>
      <c r="AP20" s="79">
        <v>0</v>
      </c>
      <c r="AQ20" s="80">
        <v>0</v>
      </c>
      <c r="AR20" s="81">
        <v>0</v>
      </c>
      <c r="AS20" s="70">
        <f t="shared" si="30"/>
        <v>0</v>
      </c>
      <c r="AT20" s="71">
        <f t="shared" si="31"/>
        <v>0</v>
      </c>
      <c r="AU20" s="72">
        <f t="shared" si="32"/>
        <v>0</v>
      </c>
      <c r="AV20" s="134">
        <f t="shared" si="33"/>
        <v>0</v>
      </c>
      <c r="AW20" s="78">
        <f t="shared" si="34"/>
        <v>0</v>
      </c>
      <c r="AX20" s="79">
        <v>0</v>
      </c>
      <c r="AY20" s="80">
        <v>0</v>
      </c>
      <c r="AZ20" s="81">
        <v>0</v>
      </c>
      <c r="BA20" s="70">
        <f t="shared" si="35"/>
        <v>0</v>
      </c>
      <c r="BB20" s="71">
        <f t="shared" si="36"/>
        <v>0</v>
      </c>
      <c r="BC20" s="72">
        <f t="shared" si="37"/>
        <v>0</v>
      </c>
      <c r="BD20" s="134">
        <f t="shared" si="38"/>
        <v>0</v>
      </c>
      <c r="BE20" s="78">
        <f t="shared" si="39"/>
        <v>0</v>
      </c>
      <c r="BF20" s="79">
        <v>0</v>
      </c>
      <c r="BG20" s="80">
        <v>0</v>
      </c>
      <c r="BH20" s="81">
        <v>0</v>
      </c>
      <c r="BI20" s="70">
        <f t="shared" si="40"/>
        <v>0</v>
      </c>
      <c r="BJ20" s="71">
        <f t="shared" ref="BJ20:BK62" si="51">BB20+BF20</f>
        <v>0</v>
      </c>
      <c r="BK20" s="72">
        <f t="shared" si="42"/>
        <v>0</v>
      </c>
      <c r="BL20" s="134">
        <f t="shared" si="43"/>
        <v>0</v>
      </c>
    </row>
    <row r="21" spans="1:64" ht="12.9" x14ac:dyDescent="0.35">
      <c r="A21" s="235" t="s">
        <v>22</v>
      </c>
      <c r="B21" s="237" t="s">
        <v>34</v>
      </c>
      <c r="C21" s="25" t="s">
        <v>143</v>
      </c>
      <c r="D21" s="25" t="s">
        <v>125</v>
      </c>
      <c r="E21" s="78">
        <f t="shared" si="8"/>
        <v>3339.0650000000001</v>
      </c>
      <c r="F21" s="79">
        <f>2607.515+113.608</f>
        <v>2721.123</v>
      </c>
      <c r="G21" s="80">
        <v>1863.01</v>
      </c>
      <c r="H21" s="81">
        <v>617.94200000000001</v>
      </c>
      <c r="I21" s="78">
        <f t="shared" si="9"/>
        <v>0</v>
      </c>
      <c r="J21" s="79"/>
      <c r="K21" s="80"/>
      <c r="L21" s="81"/>
      <c r="M21" s="70">
        <f t="shared" si="10"/>
        <v>3339.0650000000001</v>
      </c>
      <c r="N21" s="71">
        <f t="shared" si="11"/>
        <v>2721.123</v>
      </c>
      <c r="O21" s="72">
        <f t="shared" si="12"/>
        <v>1863.01</v>
      </c>
      <c r="P21" s="134">
        <f t="shared" si="13"/>
        <v>617.94200000000001</v>
      </c>
      <c r="Q21" s="78">
        <f t="shared" si="14"/>
        <v>0</v>
      </c>
      <c r="R21" s="79"/>
      <c r="S21" s="80"/>
      <c r="T21" s="81"/>
      <c r="U21" s="70">
        <f t="shared" si="15"/>
        <v>3339.0650000000001</v>
      </c>
      <c r="V21" s="71">
        <f t="shared" si="16"/>
        <v>2721.123</v>
      </c>
      <c r="W21" s="72">
        <f t="shared" si="17"/>
        <v>1863.01</v>
      </c>
      <c r="X21" s="134">
        <f t="shared" si="18"/>
        <v>617.94200000000001</v>
      </c>
      <c r="Y21" s="78">
        <f t="shared" si="19"/>
        <v>-3.5</v>
      </c>
      <c r="Z21" s="79"/>
      <c r="AA21" s="80">
        <f>-12.434-0.228-0.051</f>
        <v>-12.712999999999999</v>
      </c>
      <c r="AB21" s="81">
        <v>-3.5</v>
      </c>
      <c r="AC21" s="70">
        <f t="shared" si="20"/>
        <v>3335.5650000000001</v>
      </c>
      <c r="AD21" s="71">
        <f t="shared" si="21"/>
        <v>2721.123</v>
      </c>
      <c r="AE21" s="72">
        <f>W21+AA21</f>
        <v>1850.297</v>
      </c>
      <c r="AF21" s="134">
        <f t="shared" si="23"/>
        <v>614.44200000000001</v>
      </c>
      <c r="AG21" s="78">
        <f t="shared" si="24"/>
        <v>0</v>
      </c>
      <c r="AH21" s="79"/>
      <c r="AI21" s="80"/>
      <c r="AJ21" s="81"/>
      <c r="AK21" s="70">
        <f t="shared" si="25"/>
        <v>3335.5650000000001</v>
      </c>
      <c r="AL21" s="71">
        <f t="shared" si="26"/>
        <v>2721.123</v>
      </c>
      <c r="AM21" s="72">
        <f>AE21+AI21</f>
        <v>1850.297</v>
      </c>
      <c r="AN21" s="134">
        <f t="shared" si="28"/>
        <v>614.44200000000001</v>
      </c>
      <c r="AO21" s="78">
        <f t="shared" si="29"/>
        <v>1.05</v>
      </c>
      <c r="AP21" s="79">
        <v>1.05</v>
      </c>
      <c r="AQ21" s="80">
        <v>1.0349999999999999</v>
      </c>
      <c r="AR21" s="81"/>
      <c r="AS21" s="70">
        <f t="shared" si="30"/>
        <v>3336.6150000000002</v>
      </c>
      <c r="AT21" s="71">
        <f t="shared" si="31"/>
        <v>2722.1730000000002</v>
      </c>
      <c r="AU21" s="72">
        <f>AM21+AQ21</f>
        <v>1851.3320000000001</v>
      </c>
      <c r="AV21" s="134">
        <f t="shared" si="33"/>
        <v>614.44200000000001</v>
      </c>
      <c r="AW21" s="78">
        <f t="shared" si="34"/>
        <v>-0.33999999999999997</v>
      </c>
      <c r="AX21" s="79">
        <f>0.56-0.9</f>
        <v>-0.33999999999999997</v>
      </c>
      <c r="AY21" s="80">
        <v>-2.9</v>
      </c>
      <c r="AZ21" s="81"/>
      <c r="BA21" s="70">
        <f t="shared" si="35"/>
        <v>3336.2750000000001</v>
      </c>
      <c r="BB21" s="71">
        <f t="shared" si="36"/>
        <v>2721.8330000000001</v>
      </c>
      <c r="BC21" s="72">
        <f>AU21+AY21</f>
        <v>1848.432</v>
      </c>
      <c r="BD21" s="134">
        <f t="shared" si="38"/>
        <v>614.44200000000001</v>
      </c>
      <c r="BE21" s="78">
        <f t="shared" si="39"/>
        <v>0.36499999999999999</v>
      </c>
      <c r="BF21" s="79">
        <f>-1.04+1.405</f>
        <v>0.36499999999999999</v>
      </c>
      <c r="BG21" s="80">
        <v>1.385</v>
      </c>
      <c r="BH21" s="81"/>
      <c r="BI21" s="70">
        <f t="shared" si="40"/>
        <v>3336.64</v>
      </c>
      <c r="BJ21" s="71">
        <f t="shared" si="51"/>
        <v>2722.1979999999999</v>
      </c>
      <c r="BK21" s="72">
        <f>BC21+BG21</f>
        <v>1849.817</v>
      </c>
      <c r="BL21" s="134">
        <f t="shared" si="43"/>
        <v>614.44200000000001</v>
      </c>
    </row>
    <row r="22" spans="1:64" ht="12.9" x14ac:dyDescent="0.35">
      <c r="A22" s="244"/>
      <c r="B22" s="243"/>
      <c r="C22" s="25" t="s">
        <v>144</v>
      </c>
      <c r="D22" s="25" t="s">
        <v>38</v>
      </c>
      <c r="E22" s="78">
        <f t="shared" si="8"/>
        <v>194.26300000000001</v>
      </c>
      <c r="F22" s="79">
        <v>194.26300000000001</v>
      </c>
      <c r="G22" s="80">
        <v>171.82300000000001</v>
      </c>
      <c r="H22" s="81"/>
      <c r="I22" s="78">
        <f t="shared" si="9"/>
        <v>0</v>
      </c>
      <c r="J22" s="79"/>
      <c r="K22" s="80"/>
      <c r="L22" s="81"/>
      <c r="M22" s="70">
        <f t="shared" si="10"/>
        <v>194.26300000000001</v>
      </c>
      <c r="N22" s="71">
        <f t="shared" si="11"/>
        <v>194.26300000000001</v>
      </c>
      <c r="O22" s="72">
        <f t="shared" si="12"/>
        <v>171.82300000000001</v>
      </c>
      <c r="P22" s="134">
        <f t="shared" si="13"/>
        <v>0</v>
      </c>
      <c r="Q22" s="78">
        <f t="shared" si="14"/>
        <v>0</v>
      </c>
      <c r="R22" s="79"/>
      <c r="S22" s="80">
        <v>3.5</v>
      </c>
      <c r="T22" s="81"/>
      <c r="U22" s="70">
        <f t="shared" si="15"/>
        <v>194.26300000000001</v>
      </c>
      <c r="V22" s="71">
        <f t="shared" si="16"/>
        <v>194.26300000000001</v>
      </c>
      <c r="W22" s="72">
        <f t="shared" si="17"/>
        <v>175.32300000000001</v>
      </c>
      <c r="X22" s="134">
        <f t="shared" si="18"/>
        <v>0</v>
      </c>
      <c r="Y22" s="78">
        <f t="shared" si="19"/>
        <v>0</v>
      </c>
      <c r="Z22" s="79"/>
      <c r="AA22" s="80">
        <f>0.5-0.081-0.127</f>
        <v>0.29199999999999998</v>
      </c>
      <c r="AB22" s="81"/>
      <c r="AC22" s="70">
        <f t="shared" si="20"/>
        <v>194.26300000000001</v>
      </c>
      <c r="AD22" s="71">
        <f t="shared" si="21"/>
        <v>194.26300000000001</v>
      </c>
      <c r="AE22" s="72">
        <f t="shared" si="22"/>
        <v>175.61500000000001</v>
      </c>
      <c r="AF22" s="134">
        <f t="shared" si="23"/>
        <v>0</v>
      </c>
      <c r="AG22" s="78">
        <f t="shared" si="24"/>
        <v>3.7650000000000001</v>
      </c>
      <c r="AH22" s="79">
        <v>3.7650000000000001</v>
      </c>
      <c r="AI22" s="80">
        <v>3.55</v>
      </c>
      <c r="AJ22" s="81"/>
      <c r="AK22" s="70">
        <f t="shared" si="25"/>
        <v>198.02799999999999</v>
      </c>
      <c r="AL22" s="71">
        <f t="shared" si="26"/>
        <v>198.02799999999999</v>
      </c>
      <c r="AM22" s="72">
        <f t="shared" ref="AM22:AM89" si="52">AE22+AI22</f>
        <v>179.16500000000002</v>
      </c>
      <c r="AN22" s="134">
        <f t="shared" si="28"/>
        <v>0</v>
      </c>
      <c r="AO22" s="78">
        <f t="shared" si="29"/>
        <v>1.77</v>
      </c>
      <c r="AP22" s="79">
        <f>0.58+1.19</f>
        <v>1.77</v>
      </c>
      <c r="AQ22" s="80">
        <f>0.57+1</f>
        <v>1.5699999999999998</v>
      </c>
      <c r="AR22" s="81"/>
      <c r="AS22" s="70">
        <f t="shared" si="30"/>
        <v>199.798</v>
      </c>
      <c r="AT22" s="71">
        <f t="shared" si="31"/>
        <v>199.798</v>
      </c>
      <c r="AU22" s="72">
        <f t="shared" ref="AU22:AU89" si="53">AM22+AQ22</f>
        <v>180.73500000000001</v>
      </c>
      <c r="AV22" s="134">
        <f t="shared" si="33"/>
        <v>0</v>
      </c>
      <c r="AW22" s="78">
        <f t="shared" si="34"/>
        <v>-0.74</v>
      </c>
      <c r="AX22" s="79">
        <f>-1-0.2+0.46</f>
        <v>-0.74</v>
      </c>
      <c r="AY22" s="80">
        <f>-0.985+0.265+0.45</f>
        <v>-0.26999999999999996</v>
      </c>
      <c r="AZ22" s="81"/>
      <c r="BA22" s="70">
        <f t="shared" si="35"/>
        <v>199.05799999999999</v>
      </c>
      <c r="BB22" s="71">
        <f t="shared" si="36"/>
        <v>199.05799999999999</v>
      </c>
      <c r="BC22" s="72">
        <f t="shared" ref="BC22:BC89" si="54">AU22+AY22</f>
        <v>180.465</v>
      </c>
      <c r="BD22" s="134">
        <f t="shared" si="38"/>
        <v>0</v>
      </c>
      <c r="BE22" s="78">
        <f t="shared" si="39"/>
        <v>1.355</v>
      </c>
      <c r="BF22" s="79">
        <f>1.585-0.23</f>
        <v>1.355</v>
      </c>
      <c r="BG22" s="80"/>
      <c r="BH22" s="81"/>
      <c r="BI22" s="70">
        <f t="shared" si="40"/>
        <v>200.41299999999998</v>
      </c>
      <c r="BJ22" s="71">
        <f t="shared" si="51"/>
        <v>200.41299999999998</v>
      </c>
      <c r="BK22" s="72">
        <f t="shared" ref="BK22:BK35" si="55">BC22+BG22</f>
        <v>180.465</v>
      </c>
      <c r="BL22" s="134">
        <f t="shared" si="43"/>
        <v>0</v>
      </c>
    </row>
    <row r="23" spans="1:64" ht="12.9" x14ac:dyDescent="0.35">
      <c r="A23" s="244"/>
      <c r="B23" s="243"/>
      <c r="C23" s="25" t="s">
        <v>212</v>
      </c>
      <c r="D23" s="25" t="s">
        <v>187</v>
      </c>
      <c r="E23" s="78">
        <f t="shared" si="8"/>
        <v>15.634</v>
      </c>
      <c r="F23" s="79">
        <f>9.182+6.452</f>
        <v>15.634</v>
      </c>
      <c r="G23" s="80"/>
      <c r="H23" s="81"/>
      <c r="I23" s="78">
        <f t="shared" si="9"/>
        <v>0</v>
      </c>
      <c r="J23" s="79"/>
      <c r="K23" s="80"/>
      <c r="L23" s="81"/>
      <c r="M23" s="70">
        <f t="shared" si="10"/>
        <v>15.634</v>
      </c>
      <c r="N23" s="71">
        <f t="shared" si="11"/>
        <v>15.634</v>
      </c>
      <c r="O23" s="72">
        <f t="shared" si="12"/>
        <v>0</v>
      </c>
      <c r="P23" s="134">
        <f t="shared" si="13"/>
        <v>0</v>
      </c>
      <c r="Q23" s="78">
        <f t="shared" si="14"/>
        <v>0</v>
      </c>
      <c r="R23" s="79"/>
      <c r="S23" s="80"/>
      <c r="T23" s="81"/>
      <c r="U23" s="70">
        <f t="shared" si="15"/>
        <v>15.634</v>
      </c>
      <c r="V23" s="71">
        <f t="shared" si="16"/>
        <v>15.634</v>
      </c>
      <c r="W23" s="72">
        <f t="shared" si="17"/>
        <v>0</v>
      </c>
      <c r="X23" s="134">
        <f t="shared" si="18"/>
        <v>0</v>
      </c>
      <c r="Y23" s="78">
        <f t="shared" si="19"/>
        <v>8.8170000000000002</v>
      </c>
      <c r="Z23" s="79">
        <v>8.8170000000000002</v>
      </c>
      <c r="AA23" s="80"/>
      <c r="AB23" s="81"/>
      <c r="AC23" s="70">
        <f t="shared" si="20"/>
        <v>24.451000000000001</v>
      </c>
      <c r="AD23" s="71">
        <f t="shared" si="21"/>
        <v>24.451000000000001</v>
      </c>
      <c r="AE23" s="72">
        <f t="shared" si="22"/>
        <v>0</v>
      </c>
      <c r="AF23" s="134">
        <f t="shared" si="23"/>
        <v>0</v>
      </c>
      <c r="AG23" s="78">
        <f t="shared" si="24"/>
        <v>1.554</v>
      </c>
      <c r="AH23" s="79">
        <v>1.554</v>
      </c>
      <c r="AI23" s="80"/>
      <c r="AJ23" s="81"/>
      <c r="AK23" s="70">
        <f t="shared" si="25"/>
        <v>26.004999999999999</v>
      </c>
      <c r="AL23" s="71">
        <f t="shared" si="26"/>
        <v>26.004999999999999</v>
      </c>
      <c r="AM23" s="72">
        <f t="shared" si="52"/>
        <v>0</v>
      </c>
      <c r="AN23" s="134">
        <f t="shared" si="28"/>
        <v>0</v>
      </c>
      <c r="AO23" s="78">
        <f t="shared" si="29"/>
        <v>0</v>
      </c>
      <c r="AP23" s="79"/>
      <c r="AQ23" s="80"/>
      <c r="AR23" s="81"/>
      <c r="AS23" s="70">
        <f t="shared" si="30"/>
        <v>26.004999999999999</v>
      </c>
      <c r="AT23" s="71">
        <f t="shared" si="31"/>
        <v>26.004999999999999</v>
      </c>
      <c r="AU23" s="72">
        <f t="shared" si="53"/>
        <v>0</v>
      </c>
      <c r="AV23" s="134">
        <f t="shared" si="33"/>
        <v>0</v>
      </c>
      <c r="AW23" s="78">
        <f t="shared" si="34"/>
        <v>0</v>
      </c>
      <c r="AX23" s="79"/>
      <c r="AY23" s="80"/>
      <c r="AZ23" s="81"/>
      <c r="BA23" s="70">
        <f t="shared" si="35"/>
        <v>26.004999999999999</v>
      </c>
      <c r="BB23" s="71">
        <f t="shared" si="36"/>
        <v>26.004999999999999</v>
      </c>
      <c r="BC23" s="72">
        <f t="shared" si="54"/>
        <v>0</v>
      </c>
      <c r="BD23" s="134">
        <f t="shared" si="38"/>
        <v>0</v>
      </c>
      <c r="BE23" s="78">
        <f t="shared" si="39"/>
        <v>0</v>
      </c>
      <c r="BF23" s="79"/>
      <c r="BG23" s="80"/>
      <c r="BH23" s="81"/>
      <c r="BI23" s="70">
        <f t="shared" si="40"/>
        <v>26.004999999999999</v>
      </c>
      <c r="BJ23" s="71">
        <f t="shared" si="51"/>
        <v>26.004999999999999</v>
      </c>
      <c r="BK23" s="72">
        <f t="shared" si="55"/>
        <v>0</v>
      </c>
      <c r="BL23" s="134">
        <f t="shared" si="43"/>
        <v>0</v>
      </c>
    </row>
    <row r="24" spans="1:64" ht="12.9" x14ac:dyDescent="0.35">
      <c r="A24" s="236"/>
      <c r="B24" s="238"/>
      <c r="C24" s="25" t="s">
        <v>145</v>
      </c>
      <c r="D24" s="25" t="s">
        <v>137</v>
      </c>
      <c r="E24" s="78">
        <f t="shared" si="8"/>
        <v>0</v>
      </c>
      <c r="F24" s="79"/>
      <c r="G24" s="80"/>
      <c r="H24" s="81"/>
      <c r="I24" s="78">
        <f t="shared" si="9"/>
        <v>0</v>
      </c>
      <c r="J24" s="79"/>
      <c r="K24" s="80"/>
      <c r="L24" s="81"/>
      <c r="M24" s="70">
        <f t="shared" si="10"/>
        <v>0</v>
      </c>
      <c r="N24" s="71">
        <f t="shared" si="11"/>
        <v>0</v>
      </c>
      <c r="O24" s="72">
        <f t="shared" si="12"/>
        <v>0</v>
      </c>
      <c r="P24" s="134">
        <f t="shared" si="13"/>
        <v>0</v>
      </c>
      <c r="Q24" s="78">
        <f t="shared" si="14"/>
        <v>55</v>
      </c>
      <c r="R24" s="79">
        <v>13.37</v>
      </c>
      <c r="S24" s="80"/>
      <c r="T24" s="81">
        <v>41.63</v>
      </c>
      <c r="U24" s="70">
        <f t="shared" si="15"/>
        <v>55</v>
      </c>
      <c r="V24" s="71">
        <f t="shared" si="16"/>
        <v>13.37</v>
      </c>
      <c r="W24" s="72">
        <f t="shared" si="17"/>
        <v>0</v>
      </c>
      <c r="X24" s="134">
        <f t="shared" si="18"/>
        <v>41.63</v>
      </c>
      <c r="Y24" s="78">
        <f t="shared" si="19"/>
        <v>0</v>
      </c>
      <c r="Z24" s="79"/>
      <c r="AA24" s="80"/>
      <c r="AB24" s="81"/>
      <c r="AC24" s="70">
        <f t="shared" si="20"/>
        <v>55</v>
      </c>
      <c r="AD24" s="71">
        <f t="shared" si="21"/>
        <v>13.37</v>
      </c>
      <c r="AE24" s="72">
        <f t="shared" si="22"/>
        <v>0</v>
      </c>
      <c r="AF24" s="134">
        <f t="shared" si="23"/>
        <v>41.63</v>
      </c>
      <c r="AG24" s="78">
        <f t="shared" si="24"/>
        <v>0</v>
      </c>
      <c r="AH24" s="79"/>
      <c r="AI24" s="80"/>
      <c r="AJ24" s="81"/>
      <c r="AK24" s="70">
        <f t="shared" si="25"/>
        <v>55</v>
      </c>
      <c r="AL24" s="71">
        <f t="shared" si="26"/>
        <v>13.37</v>
      </c>
      <c r="AM24" s="72">
        <f t="shared" si="52"/>
        <v>0</v>
      </c>
      <c r="AN24" s="134">
        <f t="shared" si="28"/>
        <v>41.63</v>
      </c>
      <c r="AO24" s="78">
        <f t="shared" si="29"/>
        <v>0</v>
      </c>
      <c r="AP24" s="79"/>
      <c r="AQ24" s="80"/>
      <c r="AR24" s="81"/>
      <c r="AS24" s="70">
        <f t="shared" si="30"/>
        <v>55</v>
      </c>
      <c r="AT24" s="71">
        <f t="shared" si="31"/>
        <v>13.37</v>
      </c>
      <c r="AU24" s="72">
        <f t="shared" si="53"/>
        <v>0</v>
      </c>
      <c r="AV24" s="134">
        <f t="shared" si="33"/>
        <v>41.63</v>
      </c>
      <c r="AW24" s="78">
        <f t="shared" si="34"/>
        <v>0</v>
      </c>
      <c r="AX24" s="79"/>
      <c r="AY24" s="80"/>
      <c r="AZ24" s="81"/>
      <c r="BA24" s="70">
        <f t="shared" si="35"/>
        <v>55</v>
      </c>
      <c r="BB24" s="71">
        <f t="shared" si="36"/>
        <v>13.37</v>
      </c>
      <c r="BC24" s="72">
        <f t="shared" si="54"/>
        <v>0</v>
      </c>
      <c r="BD24" s="134">
        <f t="shared" si="38"/>
        <v>41.63</v>
      </c>
      <c r="BE24" s="78">
        <f t="shared" si="39"/>
        <v>0</v>
      </c>
      <c r="BF24" s="79">
        <v>2.1459999999999999</v>
      </c>
      <c r="BG24" s="80"/>
      <c r="BH24" s="81">
        <v>-2.1459999999999999</v>
      </c>
      <c r="BI24" s="70">
        <f t="shared" si="40"/>
        <v>55</v>
      </c>
      <c r="BJ24" s="71">
        <f t="shared" si="51"/>
        <v>15.515999999999998</v>
      </c>
      <c r="BK24" s="72">
        <f t="shared" si="55"/>
        <v>0</v>
      </c>
      <c r="BL24" s="134">
        <f t="shared" si="43"/>
        <v>39.484000000000002</v>
      </c>
    </row>
    <row r="25" spans="1:64" ht="12.9" x14ac:dyDescent="0.35">
      <c r="A25" s="235" t="s">
        <v>25</v>
      </c>
      <c r="B25" s="237" t="s">
        <v>41</v>
      </c>
      <c r="C25" s="25" t="s">
        <v>146</v>
      </c>
      <c r="D25" s="25" t="s">
        <v>125</v>
      </c>
      <c r="E25" s="78">
        <f t="shared" si="8"/>
        <v>333.8</v>
      </c>
      <c r="F25" s="163">
        <f>333.8</f>
        <v>333.8</v>
      </c>
      <c r="G25" s="80"/>
      <c r="H25" s="162"/>
      <c r="I25" s="78">
        <f t="shared" si="9"/>
        <v>0</v>
      </c>
      <c r="J25" s="79"/>
      <c r="K25" s="80"/>
      <c r="L25" s="81"/>
      <c r="M25" s="70">
        <f t="shared" si="10"/>
        <v>333.8</v>
      </c>
      <c r="N25" s="71">
        <f t="shared" si="11"/>
        <v>333.8</v>
      </c>
      <c r="O25" s="72">
        <f t="shared" si="12"/>
        <v>0</v>
      </c>
      <c r="P25" s="134">
        <f t="shared" si="13"/>
        <v>0</v>
      </c>
      <c r="Q25" s="78">
        <f t="shared" si="14"/>
        <v>-5.8250000000000002</v>
      </c>
      <c r="R25" s="79">
        <v>-5.8250000000000002</v>
      </c>
      <c r="S25" s="80"/>
      <c r="T25" s="81"/>
      <c r="U25" s="70">
        <f t="shared" si="15"/>
        <v>327.97500000000002</v>
      </c>
      <c r="V25" s="71">
        <f t="shared" si="16"/>
        <v>327.97500000000002</v>
      </c>
      <c r="W25" s="72">
        <f t="shared" si="17"/>
        <v>0</v>
      </c>
      <c r="X25" s="134">
        <f t="shared" si="18"/>
        <v>0</v>
      </c>
      <c r="Y25" s="78">
        <f t="shared" si="19"/>
        <v>-3.335</v>
      </c>
      <c r="Z25" s="79">
        <v>-3.335</v>
      </c>
      <c r="AA25" s="80"/>
      <c r="AB25" s="81"/>
      <c r="AC25" s="70">
        <f t="shared" si="20"/>
        <v>324.64000000000004</v>
      </c>
      <c r="AD25" s="71">
        <f t="shared" si="21"/>
        <v>324.64000000000004</v>
      </c>
      <c r="AE25" s="72">
        <f t="shared" si="22"/>
        <v>0</v>
      </c>
      <c r="AF25" s="134">
        <f t="shared" si="23"/>
        <v>0</v>
      </c>
      <c r="AG25" s="78">
        <f t="shared" si="24"/>
        <v>-3.6880000000000002</v>
      </c>
      <c r="AH25" s="79">
        <v>-3.6880000000000002</v>
      </c>
      <c r="AI25" s="80"/>
      <c r="AJ25" s="81"/>
      <c r="AK25" s="70">
        <f t="shared" si="25"/>
        <v>320.95200000000006</v>
      </c>
      <c r="AL25" s="71">
        <f t="shared" si="26"/>
        <v>320.95200000000006</v>
      </c>
      <c r="AM25" s="72">
        <f t="shared" si="52"/>
        <v>0</v>
      </c>
      <c r="AN25" s="134">
        <f t="shared" si="28"/>
        <v>0</v>
      </c>
      <c r="AO25" s="78">
        <f t="shared" si="29"/>
        <v>0</v>
      </c>
      <c r="AP25" s="79"/>
      <c r="AQ25" s="80"/>
      <c r="AR25" s="81"/>
      <c r="AS25" s="70">
        <f t="shared" si="30"/>
        <v>320.95200000000006</v>
      </c>
      <c r="AT25" s="71">
        <f t="shared" si="31"/>
        <v>320.95200000000006</v>
      </c>
      <c r="AU25" s="72">
        <f t="shared" si="53"/>
        <v>0</v>
      </c>
      <c r="AV25" s="134">
        <f t="shared" si="33"/>
        <v>0</v>
      </c>
      <c r="AW25" s="78">
        <f t="shared" si="34"/>
        <v>6.5649999999999995</v>
      </c>
      <c r="AX25" s="79">
        <f>9.615-1.4-1.65</f>
        <v>6.5649999999999995</v>
      </c>
      <c r="AY25" s="80"/>
      <c r="AZ25" s="81"/>
      <c r="BA25" s="70">
        <f t="shared" si="35"/>
        <v>327.51700000000005</v>
      </c>
      <c r="BB25" s="71">
        <f t="shared" si="36"/>
        <v>327.51700000000005</v>
      </c>
      <c r="BC25" s="72">
        <f t="shared" si="54"/>
        <v>0</v>
      </c>
      <c r="BD25" s="134">
        <f t="shared" si="38"/>
        <v>0</v>
      </c>
      <c r="BE25" s="78">
        <f t="shared" si="39"/>
        <v>-26.54</v>
      </c>
      <c r="BF25" s="79">
        <v>-26.54</v>
      </c>
      <c r="BG25" s="80"/>
      <c r="BH25" s="81"/>
      <c r="BI25" s="70">
        <f t="shared" si="40"/>
        <v>300.97700000000003</v>
      </c>
      <c r="BJ25" s="71">
        <f t="shared" si="51"/>
        <v>300.97700000000003</v>
      </c>
      <c r="BK25" s="72">
        <f t="shared" si="55"/>
        <v>0</v>
      </c>
      <c r="BL25" s="134">
        <f t="shared" si="43"/>
        <v>0</v>
      </c>
    </row>
    <row r="26" spans="1:64" ht="12.65" customHeight="1" x14ac:dyDescent="0.35">
      <c r="A26" s="244"/>
      <c r="B26" s="243"/>
      <c r="C26" s="25" t="s">
        <v>147</v>
      </c>
      <c r="D26" s="25" t="s">
        <v>137</v>
      </c>
      <c r="E26" s="78">
        <f t="shared" si="8"/>
        <v>97.8</v>
      </c>
      <c r="F26" s="79">
        <v>97.8</v>
      </c>
      <c r="G26" s="80">
        <v>96.4</v>
      </c>
      <c r="H26" s="81"/>
      <c r="I26" s="78">
        <f t="shared" si="9"/>
        <v>-39.56</v>
      </c>
      <c r="J26" s="79">
        <v>-39.56</v>
      </c>
      <c r="K26" s="80">
        <v>-96.4</v>
      </c>
      <c r="L26" s="81"/>
      <c r="M26" s="70">
        <f t="shared" si="10"/>
        <v>58.239999999999995</v>
      </c>
      <c r="N26" s="71">
        <f t="shared" si="11"/>
        <v>58.239999999999995</v>
      </c>
      <c r="O26" s="72">
        <f t="shared" si="12"/>
        <v>0</v>
      </c>
      <c r="P26" s="134">
        <f t="shared" si="13"/>
        <v>0</v>
      </c>
      <c r="Q26" s="78">
        <f t="shared" si="14"/>
        <v>70.933999999999997</v>
      </c>
      <c r="R26" s="79">
        <f>-0.59+30.024+45.3-3.8</f>
        <v>70.933999999999997</v>
      </c>
      <c r="S26" s="80">
        <f>1.643+29.595</f>
        <v>31.238</v>
      </c>
      <c r="T26" s="81"/>
      <c r="U26" s="70">
        <f t="shared" si="15"/>
        <v>129.17399999999998</v>
      </c>
      <c r="V26" s="71">
        <f t="shared" si="16"/>
        <v>129.17399999999998</v>
      </c>
      <c r="W26" s="72">
        <f t="shared" si="17"/>
        <v>31.238</v>
      </c>
      <c r="X26" s="134">
        <f t="shared" si="18"/>
        <v>0</v>
      </c>
      <c r="Y26" s="78">
        <f t="shared" si="19"/>
        <v>-36.112000000000002</v>
      </c>
      <c r="Z26" s="79">
        <f>-30.024-3.756-2.332</f>
        <v>-36.112000000000002</v>
      </c>
      <c r="AA26" s="80">
        <f>0.353-29.595</f>
        <v>-29.241999999999997</v>
      </c>
      <c r="AB26" s="81"/>
      <c r="AC26" s="70">
        <f t="shared" si="20"/>
        <v>93.061999999999983</v>
      </c>
      <c r="AD26" s="71">
        <f t="shared" si="21"/>
        <v>93.061999999999983</v>
      </c>
      <c r="AE26" s="72">
        <f t="shared" si="22"/>
        <v>1.9960000000000022</v>
      </c>
      <c r="AF26" s="134">
        <f t="shared" si="23"/>
        <v>0</v>
      </c>
      <c r="AG26" s="78">
        <f t="shared" si="24"/>
        <v>-11.773999999999999</v>
      </c>
      <c r="AH26" s="79">
        <v>-11.773999999999999</v>
      </c>
      <c r="AI26" s="80"/>
      <c r="AJ26" s="81"/>
      <c r="AK26" s="70">
        <f t="shared" si="25"/>
        <v>81.287999999999982</v>
      </c>
      <c r="AL26" s="71">
        <f t="shared" si="26"/>
        <v>81.287999999999982</v>
      </c>
      <c r="AM26" s="72">
        <f t="shared" si="52"/>
        <v>1.9960000000000022</v>
      </c>
      <c r="AN26" s="134">
        <f t="shared" si="28"/>
        <v>0</v>
      </c>
      <c r="AO26" s="78">
        <f t="shared" si="29"/>
        <v>-3.722</v>
      </c>
      <c r="AP26" s="79">
        <v>-3.722</v>
      </c>
      <c r="AQ26" s="80"/>
      <c r="AR26" s="81"/>
      <c r="AS26" s="70">
        <f t="shared" si="30"/>
        <v>77.565999999999988</v>
      </c>
      <c r="AT26" s="71">
        <f t="shared" si="31"/>
        <v>77.565999999999988</v>
      </c>
      <c r="AU26" s="72">
        <f t="shared" si="53"/>
        <v>1.9960000000000022</v>
      </c>
      <c r="AV26" s="134">
        <f t="shared" si="33"/>
        <v>0</v>
      </c>
      <c r="AW26" s="78">
        <f t="shared" si="34"/>
        <v>-15.186999999999999</v>
      </c>
      <c r="AX26" s="79">
        <v>-15.186999999999999</v>
      </c>
      <c r="AY26" s="80">
        <v>-1.0669999999999999</v>
      </c>
      <c r="AZ26" s="81"/>
      <c r="BA26" s="70">
        <f t="shared" si="35"/>
        <v>62.378999999999991</v>
      </c>
      <c r="BB26" s="71">
        <f t="shared" si="36"/>
        <v>62.378999999999991</v>
      </c>
      <c r="BC26" s="72">
        <f t="shared" si="54"/>
        <v>0.92900000000000227</v>
      </c>
      <c r="BD26" s="134">
        <f t="shared" si="38"/>
        <v>0</v>
      </c>
      <c r="BE26" s="78">
        <f t="shared" si="39"/>
        <v>-6.19</v>
      </c>
      <c r="BF26" s="79">
        <v>-6.19</v>
      </c>
      <c r="BG26" s="80"/>
      <c r="BH26" s="81"/>
      <c r="BI26" s="70">
        <f t="shared" si="40"/>
        <v>56.188999999999993</v>
      </c>
      <c r="BJ26" s="71">
        <f t="shared" si="51"/>
        <v>56.188999999999993</v>
      </c>
      <c r="BK26" s="72">
        <f t="shared" si="55"/>
        <v>0.92900000000000227</v>
      </c>
      <c r="BL26" s="134">
        <f t="shared" si="43"/>
        <v>0</v>
      </c>
    </row>
    <row r="27" spans="1:64" ht="12.9" x14ac:dyDescent="0.35">
      <c r="A27" s="244"/>
      <c r="B27" s="243"/>
      <c r="C27" s="25" t="s">
        <v>148</v>
      </c>
      <c r="D27" s="25" t="s">
        <v>187</v>
      </c>
      <c r="E27" s="78">
        <f t="shared" si="8"/>
        <v>4.66</v>
      </c>
      <c r="F27" s="79">
        <v>4.66</v>
      </c>
      <c r="G27" s="80"/>
      <c r="H27" s="81"/>
      <c r="I27" s="78">
        <f t="shared" si="9"/>
        <v>0</v>
      </c>
      <c r="J27" s="79"/>
      <c r="K27" s="80"/>
      <c r="L27" s="81"/>
      <c r="M27" s="70">
        <f t="shared" si="10"/>
        <v>4.66</v>
      </c>
      <c r="N27" s="71">
        <f t="shared" si="11"/>
        <v>4.66</v>
      </c>
      <c r="O27" s="72">
        <f t="shared" si="12"/>
        <v>0</v>
      </c>
      <c r="P27" s="134">
        <f t="shared" si="13"/>
        <v>0</v>
      </c>
      <c r="Q27" s="78">
        <f t="shared" si="14"/>
        <v>0</v>
      </c>
      <c r="R27" s="79"/>
      <c r="S27" s="80"/>
      <c r="T27" s="81"/>
      <c r="U27" s="70">
        <f t="shared" si="15"/>
        <v>4.66</v>
      </c>
      <c r="V27" s="71">
        <f t="shared" si="16"/>
        <v>4.66</v>
      </c>
      <c r="W27" s="72">
        <f t="shared" si="17"/>
        <v>0</v>
      </c>
      <c r="X27" s="134">
        <f t="shared" si="18"/>
        <v>0</v>
      </c>
      <c r="Y27" s="78">
        <f t="shared" si="19"/>
        <v>0</v>
      </c>
      <c r="Z27" s="79"/>
      <c r="AA27" s="80"/>
      <c r="AB27" s="81"/>
      <c r="AC27" s="70">
        <f t="shared" si="20"/>
        <v>4.66</v>
      </c>
      <c r="AD27" s="71">
        <f t="shared" si="21"/>
        <v>4.66</v>
      </c>
      <c r="AE27" s="72">
        <f t="shared" si="22"/>
        <v>0</v>
      </c>
      <c r="AF27" s="134">
        <f t="shared" si="23"/>
        <v>0</v>
      </c>
      <c r="AG27" s="78">
        <f t="shared" si="24"/>
        <v>0</v>
      </c>
      <c r="AH27" s="79"/>
      <c r="AI27" s="80"/>
      <c r="AJ27" s="81"/>
      <c r="AK27" s="70">
        <f t="shared" si="25"/>
        <v>4.66</v>
      </c>
      <c r="AL27" s="71">
        <f t="shared" si="26"/>
        <v>4.66</v>
      </c>
      <c r="AM27" s="72">
        <f t="shared" si="52"/>
        <v>0</v>
      </c>
      <c r="AN27" s="134">
        <f t="shared" si="28"/>
        <v>0</v>
      </c>
      <c r="AO27" s="78">
        <f t="shared" si="29"/>
        <v>0</v>
      </c>
      <c r="AP27" s="79"/>
      <c r="AQ27" s="80"/>
      <c r="AR27" s="81"/>
      <c r="AS27" s="70">
        <f t="shared" si="30"/>
        <v>4.66</v>
      </c>
      <c r="AT27" s="71">
        <f t="shared" si="31"/>
        <v>4.66</v>
      </c>
      <c r="AU27" s="72">
        <f t="shared" si="53"/>
        <v>0</v>
      </c>
      <c r="AV27" s="134">
        <f t="shared" si="33"/>
        <v>0</v>
      </c>
      <c r="AW27" s="78">
        <f t="shared" si="34"/>
        <v>0</v>
      </c>
      <c r="AX27" s="79"/>
      <c r="AY27" s="80"/>
      <c r="AZ27" s="81"/>
      <c r="BA27" s="70">
        <f t="shared" si="35"/>
        <v>4.66</v>
      </c>
      <c r="BB27" s="71">
        <f t="shared" si="36"/>
        <v>4.66</v>
      </c>
      <c r="BC27" s="72">
        <f t="shared" si="54"/>
        <v>0</v>
      </c>
      <c r="BD27" s="134">
        <f t="shared" si="38"/>
        <v>0</v>
      </c>
      <c r="BE27" s="78">
        <f t="shared" si="39"/>
        <v>0</v>
      </c>
      <c r="BF27" s="79"/>
      <c r="BG27" s="80"/>
      <c r="BH27" s="81"/>
      <c r="BI27" s="70">
        <f t="shared" si="40"/>
        <v>4.66</v>
      </c>
      <c r="BJ27" s="71">
        <f t="shared" si="51"/>
        <v>4.66</v>
      </c>
      <c r="BK27" s="72">
        <f t="shared" si="55"/>
        <v>0</v>
      </c>
      <c r="BL27" s="134">
        <f t="shared" si="43"/>
        <v>0</v>
      </c>
    </row>
    <row r="28" spans="1:64" ht="12.9" x14ac:dyDescent="0.35">
      <c r="A28" s="236"/>
      <c r="B28" s="238"/>
      <c r="C28" s="25" t="s">
        <v>149</v>
      </c>
      <c r="D28" s="25" t="s">
        <v>49</v>
      </c>
      <c r="E28" s="78">
        <f t="shared" si="8"/>
        <v>52.094999999999999</v>
      </c>
      <c r="F28" s="79">
        <f>4.3+47.795</f>
        <v>52.094999999999999</v>
      </c>
      <c r="G28" s="80">
        <f>4.24+47.11</f>
        <v>51.35</v>
      </c>
      <c r="H28" s="81"/>
      <c r="I28" s="78">
        <f t="shared" si="9"/>
        <v>0</v>
      </c>
      <c r="J28" s="79"/>
      <c r="K28" s="80"/>
      <c r="L28" s="81"/>
      <c r="M28" s="70">
        <f t="shared" si="10"/>
        <v>52.094999999999999</v>
      </c>
      <c r="N28" s="71">
        <f t="shared" si="11"/>
        <v>52.094999999999999</v>
      </c>
      <c r="O28" s="72">
        <f t="shared" si="12"/>
        <v>51.35</v>
      </c>
      <c r="P28" s="134">
        <f t="shared" si="13"/>
        <v>0</v>
      </c>
      <c r="Q28" s="78">
        <f t="shared" si="14"/>
        <v>0</v>
      </c>
      <c r="R28" s="79"/>
      <c r="S28" s="80"/>
      <c r="T28" s="81"/>
      <c r="U28" s="70">
        <f t="shared" si="15"/>
        <v>52.094999999999999</v>
      </c>
      <c r="V28" s="71">
        <f t="shared" si="16"/>
        <v>52.094999999999999</v>
      </c>
      <c r="W28" s="72">
        <f t="shared" si="17"/>
        <v>51.35</v>
      </c>
      <c r="X28" s="134">
        <f t="shared" si="18"/>
        <v>0</v>
      </c>
      <c r="Y28" s="78">
        <f t="shared" si="19"/>
        <v>0</v>
      </c>
      <c r="Z28" s="79"/>
      <c r="AA28" s="80"/>
      <c r="AB28" s="81"/>
      <c r="AC28" s="70">
        <f t="shared" si="20"/>
        <v>52.094999999999999</v>
      </c>
      <c r="AD28" s="71">
        <f t="shared" si="21"/>
        <v>52.094999999999999</v>
      </c>
      <c r="AE28" s="72">
        <f t="shared" si="22"/>
        <v>51.35</v>
      </c>
      <c r="AF28" s="134">
        <f t="shared" si="23"/>
        <v>0</v>
      </c>
      <c r="AG28" s="78">
        <f t="shared" si="24"/>
        <v>-4.3</v>
      </c>
      <c r="AH28" s="79">
        <v>-4.3</v>
      </c>
      <c r="AI28" s="80">
        <v>-4.24</v>
      </c>
      <c r="AJ28" s="81"/>
      <c r="AK28" s="70">
        <f t="shared" si="25"/>
        <v>47.795000000000002</v>
      </c>
      <c r="AL28" s="71">
        <f t="shared" si="26"/>
        <v>47.795000000000002</v>
      </c>
      <c r="AM28" s="72">
        <f t="shared" si="52"/>
        <v>47.11</v>
      </c>
      <c r="AN28" s="134">
        <f t="shared" si="28"/>
        <v>0</v>
      </c>
      <c r="AO28" s="78">
        <f t="shared" si="29"/>
        <v>0</v>
      </c>
      <c r="AP28" s="79"/>
      <c r="AQ28" s="80"/>
      <c r="AR28" s="81"/>
      <c r="AS28" s="70">
        <f t="shared" si="30"/>
        <v>47.795000000000002</v>
      </c>
      <c r="AT28" s="71">
        <f t="shared" si="31"/>
        <v>47.795000000000002</v>
      </c>
      <c r="AU28" s="72">
        <f t="shared" si="53"/>
        <v>47.11</v>
      </c>
      <c r="AV28" s="134">
        <f t="shared" si="33"/>
        <v>0</v>
      </c>
      <c r="AW28" s="78">
        <f t="shared" si="34"/>
        <v>-47.795000000000002</v>
      </c>
      <c r="AX28" s="79">
        <f>-47.795</f>
        <v>-47.795000000000002</v>
      </c>
      <c r="AY28" s="80">
        <v>-47.11</v>
      </c>
      <c r="AZ28" s="81"/>
      <c r="BA28" s="70">
        <f t="shared" si="35"/>
        <v>0</v>
      </c>
      <c r="BB28" s="71">
        <f t="shared" si="36"/>
        <v>0</v>
      </c>
      <c r="BC28" s="72">
        <f t="shared" si="54"/>
        <v>0</v>
      </c>
      <c r="BD28" s="134">
        <f t="shared" si="38"/>
        <v>0</v>
      </c>
      <c r="BE28" s="78">
        <f t="shared" si="39"/>
        <v>0</v>
      </c>
      <c r="BF28" s="79"/>
      <c r="BG28" s="80"/>
      <c r="BH28" s="81"/>
      <c r="BI28" s="70">
        <f t="shared" si="40"/>
        <v>0</v>
      </c>
      <c r="BJ28" s="71">
        <f t="shared" si="51"/>
        <v>0</v>
      </c>
      <c r="BK28" s="72">
        <f t="shared" si="55"/>
        <v>0</v>
      </c>
      <c r="BL28" s="134">
        <f t="shared" si="43"/>
        <v>0</v>
      </c>
    </row>
    <row r="29" spans="1:64" ht="12.9" x14ac:dyDescent="0.35">
      <c r="A29" s="285" t="s">
        <v>31</v>
      </c>
      <c r="B29" s="237" t="s">
        <v>42</v>
      </c>
      <c r="C29" s="25" t="s">
        <v>150</v>
      </c>
      <c r="D29" s="25" t="s">
        <v>125</v>
      </c>
      <c r="E29" s="78">
        <f t="shared" si="8"/>
        <v>1174.67</v>
      </c>
      <c r="F29" s="163">
        <f>1005.597-0.41</f>
        <v>1005.187</v>
      </c>
      <c r="G29" s="80">
        <v>0.91</v>
      </c>
      <c r="H29" s="162">
        <f>169.073+0.41</f>
        <v>169.483</v>
      </c>
      <c r="I29" s="78">
        <f t="shared" si="9"/>
        <v>0</v>
      </c>
      <c r="J29" s="79"/>
      <c r="K29" s="80"/>
      <c r="L29" s="81"/>
      <c r="M29" s="70">
        <f t="shared" si="10"/>
        <v>1174.67</v>
      </c>
      <c r="N29" s="71">
        <f t="shared" si="11"/>
        <v>1005.187</v>
      </c>
      <c r="O29" s="72">
        <f t="shared" si="12"/>
        <v>0.91</v>
      </c>
      <c r="P29" s="134">
        <f t="shared" si="13"/>
        <v>169.483</v>
      </c>
      <c r="Q29" s="78">
        <f t="shared" si="14"/>
        <v>0</v>
      </c>
      <c r="R29" s="79"/>
      <c r="S29" s="80"/>
      <c r="T29" s="81"/>
      <c r="U29" s="70">
        <f t="shared" si="15"/>
        <v>1174.67</v>
      </c>
      <c r="V29" s="71">
        <f t="shared" si="16"/>
        <v>1005.187</v>
      </c>
      <c r="W29" s="72">
        <f t="shared" si="17"/>
        <v>0.91</v>
      </c>
      <c r="X29" s="134">
        <f t="shared" si="18"/>
        <v>169.483</v>
      </c>
      <c r="Y29" s="78">
        <f t="shared" si="19"/>
        <v>0</v>
      </c>
      <c r="Z29" s="79">
        <v>-0.4</v>
      </c>
      <c r="AA29" s="80"/>
      <c r="AB29" s="81">
        <v>0.4</v>
      </c>
      <c r="AC29" s="70">
        <f t="shared" si="20"/>
        <v>1174.67</v>
      </c>
      <c r="AD29" s="71">
        <f t="shared" si="21"/>
        <v>1004.787</v>
      </c>
      <c r="AE29" s="72">
        <f t="shared" si="22"/>
        <v>0.91</v>
      </c>
      <c r="AF29" s="134">
        <f t="shared" si="23"/>
        <v>169.88300000000001</v>
      </c>
      <c r="AG29" s="78">
        <f t="shared" si="24"/>
        <v>0</v>
      </c>
      <c r="AH29" s="79"/>
      <c r="AI29" s="80"/>
      <c r="AJ29" s="81"/>
      <c r="AK29" s="70">
        <f t="shared" si="25"/>
        <v>1174.67</v>
      </c>
      <c r="AL29" s="71">
        <f t="shared" si="26"/>
        <v>1004.787</v>
      </c>
      <c r="AM29" s="72">
        <f t="shared" si="52"/>
        <v>0.91</v>
      </c>
      <c r="AN29" s="134">
        <f t="shared" si="28"/>
        <v>169.88300000000001</v>
      </c>
      <c r="AO29" s="78">
        <f t="shared" si="29"/>
        <v>0</v>
      </c>
      <c r="AP29" s="79">
        <v>2.5</v>
      </c>
      <c r="AQ29" s="80"/>
      <c r="AR29" s="81">
        <v>-2.5</v>
      </c>
      <c r="AS29" s="70">
        <f t="shared" si="30"/>
        <v>1174.67</v>
      </c>
      <c r="AT29" s="71">
        <f t="shared" si="31"/>
        <v>1007.287</v>
      </c>
      <c r="AU29" s="72">
        <f t="shared" si="53"/>
        <v>0.91</v>
      </c>
      <c r="AV29" s="134">
        <f t="shared" si="33"/>
        <v>167.38300000000001</v>
      </c>
      <c r="AW29" s="78">
        <f t="shared" si="34"/>
        <v>10.8</v>
      </c>
      <c r="AX29" s="79">
        <v>10.8</v>
      </c>
      <c r="AY29" s="80"/>
      <c r="AZ29" s="81"/>
      <c r="BA29" s="70">
        <f t="shared" si="35"/>
        <v>1185.47</v>
      </c>
      <c r="BB29" s="71">
        <f t="shared" si="36"/>
        <v>1018.087</v>
      </c>
      <c r="BC29" s="72">
        <f t="shared" si="54"/>
        <v>0.91</v>
      </c>
      <c r="BD29" s="134">
        <f t="shared" si="38"/>
        <v>167.38300000000001</v>
      </c>
      <c r="BE29" s="78">
        <f t="shared" si="39"/>
        <v>0</v>
      </c>
      <c r="BF29" s="79">
        <v>14</v>
      </c>
      <c r="BG29" s="80"/>
      <c r="BH29" s="81">
        <v>-14</v>
      </c>
      <c r="BI29" s="70">
        <f t="shared" si="40"/>
        <v>1185.47</v>
      </c>
      <c r="BJ29" s="71">
        <f t="shared" si="51"/>
        <v>1032.087</v>
      </c>
      <c r="BK29" s="72">
        <f t="shared" si="55"/>
        <v>0.91</v>
      </c>
      <c r="BL29" s="134">
        <f t="shared" si="43"/>
        <v>153.38300000000001</v>
      </c>
    </row>
    <row r="30" spans="1:64" ht="12.9" x14ac:dyDescent="0.35">
      <c r="A30" s="287"/>
      <c r="B30" s="243"/>
      <c r="C30" s="25" t="s">
        <v>151</v>
      </c>
      <c r="D30" s="25" t="s">
        <v>49</v>
      </c>
      <c r="E30" s="78">
        <f t="shared" si="8"/>
        <v>20.164999999999999</v>
      </c>
      <c r="F30" s="79">
        <v>20.164999999999999</v>
      </c>
      <c r="G30" s="80">
        <v>19.88</v>
      </c>
      <c r="H30" s="81"/>
      <c r="I30" s="78">
        <f t="shared" si="9"/>
        <v>0</v>
      </c>
      <c r="J30" s="79"/>
      <c r="K30" s="80"/>
      <c r="L30" s="81"/>
      <c r="M30" s="70">
        <f t="shared" si="10"/>
        <v>20.164999999999999</v>
      </c>
      <c r="N30" s="71">
        <f t="shared" si="11"/>
        <v>20.164999999999999</v>
      </c>
      <c r="O30" s="72">
        <f t="shared" si="12"/>
        <v>19.88</v>
      </c>
      <c r="P30" s="134">
        <f t="shared" si="13"/>
        <v>0</v>
      </c>
      <c r="Q30" s="78">
        <f t="shared" si="14"/>
        <v>0</v>
      </c>
      <c r="R30" s="79"/>
      <c r="S30" s="80"/>
      <c r="T30" s="81"/>
      <c r="U30" s="70">
        <f t="shared" si="15"/>
        <v>20.164999999999999</v>
      </c>
      <c r="V30" s="71">
        <f t="shared" si="16"/>
        <v>20.164999999999999</v>
      </c>
      <c r="W30" s="72">
        <f t="shared" si="17"/>
        <v>19.88</v>
      </c>
      <c r="X30" s="134">
        <f t="shared" si="18"/>
        <v>0</v>
      </c>
      <c r="Y30" s="78">
        <f t="shared" si="19"/>
        <v>0</v>
      </c>
      <c r="Z30" s="79"/>
      <c r="AA30" s="80"/>
      <c r="AB30" s="81"/>
      <c r="AC30" s="70">
        <f t="shared" si="20"/>
        <v>20.164999999999999</v>
      </c>
      <c r="AD30" s="71">
        <f t="shared" si="21"/>
        <v>20.164999999999999</v>
      </c>
      <c r="AE30" s="72">
        <f t="shared" si="22"/>
        <v>19.88</v>
      </c>
      <c r="AF30" s="134">
        <f t="shared" si="23"/>
        <v>0</v>
      </c>
      <c r="AG30" s="78">
        <f t="shared" si="24"/>
        <v>0</v>
      </c>
      <c r="AH30" s="79"/>
      <c r="AI30" s="80"/>
      <c r="AJ30" s="81"/>
      <c r="AK30" s="70">
        <f t="shared" si="25"/>
        <v>20.164999999999999</v>
      </c>
      <c r="AL30" s="71">
        <f t="shared" si="26"/>
        <v>20.164999999999999</v>
      </c>
      <c r="AM30" s="72">
        <f t="shared" si="52"/>
        <v>19.88</v>
      </c>
      <c r="AN30" s="134">
        <f t="shared" si="28"/>
        <v>0</v>
      </c>
      <c r="AO30" s="78">
        <f t="shared" si="29"/>
        <v>0</v>
      </c>
      <c r="AP30" s="79"/>
      <c r="AQ30" s="80"/>
      <c r="AR30" s="81"/>
      <c r="AS30" s="70">
        <f t="shared" si="30"/>
        <v>20.164999999999999</v>
      </c>
      <c r="AT30" s="71">
        <f t="shared" si="31"/>
        <v>20.164999999999999</v>
      </c>
      <c r="AU30" s="72">
        <f t="shared" si="53"/>
        <v>19.88</v>
      </c>
      <c r="AV30" s="134">
        <f t="shared" si="33"/>
        <v>0</v>
      </c>
      <c r="AW30" s="78">
        <f t="shared" si="34"/>
        <v>-0.51</v>
      </c>
      <c r="AX30" s="79">
        <v>-0.51</v>
      </c>
      <c r="AY30" s="80">
        <v>-0.5</v>
      </c>
      <c r="AZ30" s="81"/>
      <c r="BA30" s="70">
        <f t="shared" si="35"/>
        <v>19.654999999999998</v>
      </c>
      <c r="BB30" s="71">
        <f t="shared" si="36"/>
        <v>19.654999999999998</v>
      </c>
      <c r="BC30" s="72">
        <f t="shared" si="54"/>
        <v>19.38</v>
      </c>
      <c r="BD30" s="134">
        <f t="shared" si="38"/>
        <v>0</v>
      </c>
      <c r="BE30" s="78">
        <f t="shared" si="39"/>
        <v>0</v>
      </c>
      <c r="BF30" s="79"/>
      <c r="BG30" s="80"/>
      <c r="BH30" s="81"/>
      <c r="BI30" s="70">
        <f t="shared" si="40"/>
        <v>19.654999999999998</v>
      </c>
      <c r="BJ30" s="71">
        <f t="shared" si="51"/>
        <v>19.654999999999998</v>
      </c>
      <c r="BK30" s="72">
        <f t="shared" si="55"/>
        <v>19.38</v>
      </c>
      <c r="BL30" s="134">
        <f t="shared" si="43"/>
        <v>0</v>
      </c>
    </row>
    <row r="31" spans="1:64" ht="12.9" x14ac:dyDescent="0.35">
      <c r="A31" s="287"/>
      <c r="B31" s="243"/>
      <c r="C31" s="25" t="s">
        <v>152</v>
      </c>
      <c r="D31" s="25" t="s">
        <v>137</v>
      </c>
      <c r="E31" s="78"/>
      <c r="F31" s="79"/>
      <c r="G31" s="80"/>
      <c r="H31" s="81"/>
      <c r="I31" s="78"/>
      <c r="J31" s="79"/>
      <c r="K31" s="80"/>
      <c r="L31" s="81"/>
      <c r="M31" s="70"/>
      <c r="N31" s="71"/>
      <c r="O31" s="72"/>
      <c r="P31" s="134"/>
      <c r="Q31" s="78">
        <f t="shared" si="14"/>
        <v>108.8</v>
      </c>
      <c r="R31" s="79">
        <v>13.8</v>
      </c>
      <c r="S31" s="80"/>
      <c r="T31" s="81">
        <v>95</v>
      </c>
      <c r="U31" s="70">
        <f t="shared" ref="U31" si="56">SUM(X31,V31)</f>
        <v>108.8</v>
      </c>
      <c r="V31" s="71">
        <f t="shared" ref="V31" si="57">N31+R31</f>
        <v>13.8</v>
      </c>
      <c r="W31" s="72">
        <f t="shared" ref="W31" si="58">O31+S31</f>
        <v>0</v>
      </c>
      <c r="X31" s="134">
        <f t="shared" ref="X31" si="59">P31+T31</f>
        <v>95</v>
      </c>
      <c r="Y31" s="78">
        <f t="shared" si="19"/>
        <v>0</v>
      </c>
      <c r="Z31" s="79"/>
      <c r="AA31" s="80"/>
      <c r="AB31" s="81"/>
      <c r="AC31" s="70">
        <f t="shared" si="20"/>
        <v>108.8</v>
      </c>
      <c r="AD31" s="71">
        <f t="shared" si="21"/>
        <v>13.8</v>
      </c>
      <c r="AE31" s="72">
        <f t="shared" si="22"/>
        <v>0</v>
      </c>
      <c r="AF31" s="134">
        <f t="shared" si="23"/>
        <v>95</v>
      </c>
      <c r="AG31" s="78">
        <f t="shared" si="24"/>
        <v>0</v>
      </c>
      <c r="AH31" s="79"/>
      <c r="AI31" s="80"/>
      <c r="AJ31" s="81"/>
      <c r="AK31" s="70">
        <f t="shared" si="25"/>
        <v>108.8</v>
      </c>
      <c r="AL31" s="71">
        <f t="shared" si="26"/>
        <v>13.8</v>
      </c>
      <c r="AM31" s="72">
        <f t="shared" si="52"/>
        <v>0</v>
      </c>
      <c r="AN31" s="134">
        <f t="shared" si="28"/>
        <v>95</v>
      </c>
      <c r="AO31" s="78">
        <f t="shared" si="29"/>
        <v>0</v>
      </c>
      <c r="AP31" s="79"/>
      <c r="AQ31" s="80"/>
      <c r="AR31" s="81"/>
      <c r="AS31" s="70">
        <f t="shared" si="30"/>
        <v>108.8</v>
      </c>
      <c r="AT31" s="71">
        <f t="shared" si="31"/>
        <v>13.8</v>
      </c>
      <c r="AU31" s="72">
        <f t="shared" si="53"/>
        <v>0</v>
      </c>
      <c r="AV31" s="134">
        <f t="shared" si="33"/>
        <v>95</v>
      </c>
      <c r="AW31" s="78">
        <f t="shared" si="34"/>
        <v>0</v>
      </c>
      <c r="AX31" s="79"/>
      <c r="AY31" s="80"/>
      <c r="AZ31" s="81"/>
      <c r="BA31" s="70">
        <f t="shared" si="35"/>
        <v>108.8</v>
      </c>
      <c r="BB31" s="71">
        <f t="shared" si="36"/>
        <v>13.8</v>
      </c>
      <c r="BC31" s="72">
        <f t="shared" si="54"/>
        <v>0</v>
      </c>
      <c r="BD31" s="134">
        <f t="shared" si="38"/>
        <v>95</v>
      </c>
      <c r="BE31" s="78">
        <f t="shared" si="39"/>
        <v>0</v>
      </c>
      <c r="BF31" s="79"/>
      <c r="BG31" s="80"/>
      <c r="BH31" s="81"/>
      <c r="BI31" s="70">
        <f t="shared" si="40"/>
        <v>108.8</v>
      </c>
      <c r="BJ31" s="71">
        <f t="shared" si="51"/>
        <v>13.8</v>
      </c>
      <c r="BK31" s="72">
        <f t="shared" si="55"/>
        <v>0</v>
      </c>
      <c r="BL31" s="134">
        <f t="shared" si="43"/>
        <v>95</v>
      </c>
    </row>
    <row r="32" spans="1:64" ht="12.9" x14ac:dyDescent="0.35">
      <c r="A32" s="286"/>
      <c r="B32" s="238"/>
      <c r="C32" s="132" t="s">
        <v>153</v>
      </c>
      <c r="D32" s="25" t="s">
        <v>187</v>
      </c>
      <c r="E32" s="78">
        <f t="shared" si="8"/>
        <v>34.728999999999999</v>
      </c>
      <c r="F32" s="79">
        <f>6.335+8.536</f>
        <v>14.870999999999999</v>
      </c>
      <c r="G32" s="80">
        <f>4.267+8.217</f>
        <v>12.484000000000002</v>
      </c>
      <c r="H32" s="81">
        <v>19.858000000000001</v>
      </c>
      <c r="I32" s="78">
        <f t="shared" si="9"/>
        <v>0</v>
      </c>
      <c r="J32" s="79"/>
      <c r="K32" s="80"/>
      <c r="L32" s="81"/>
      <c r="M32" s="70">
        <f t="shared" si="10"/>
        <v>34.728999999999999</v>
      </c>
      <c r="N32" s="71">
        <f t="shared" si="11"/>
        <v>14.870999999999999</v>
      </c>
      <c r="O32" s="72">
        <f t="shared" si="12"/>
        <v>12.484000000000002</v>
      </c>
      <c r="P32" s="134">
        <f t="shared" si="13"/>
        <v>19.858000000000001</v>
      </c>
      <c r="Q32" s="78">
        <f t="shared" si="14"/>
        <v>0</v>
      </c>
      <c r="R32" s="79"/>
      <c r="S32" s="80"/>
      <c r="T32" s="81"/>
      <c r="U32" s="70">
        <f t="shared" si="15"/>
        <v>34.728999999999999</v>
      </c>
      <c r="V32" s="71">
        <f t="shared" si="16"/>
        <v>14.870999999999999</v>
      </c>
      <c r="W32" s="72">
        <f t="shared" si="17"/>
        <v>12.484000000000002</v>
      </c>
      <c r="X32" s="134">
        <f t="shared" si="18"/>
        <v>19.858000000000001</v>
      </c>
      <c r="Y32" s="78">
        <f t="shared" si="19"/>
        <v>0</v>
      </c>
      <c r="Z32" s="79"/>
      <c r="AA32" s="80"/>
      <c r="AB32" s="81"/>
      <c r="AC32" s="70">
        <f t="shared" si="20"/>
        <v>34.728999999999999</v>
      </c>
      <c r="AD32" s="71">
        <f t="shared" si="21"/>
        <v>14.870999999999999</v>
      </c>
      <c r="AE32" s="72">
        <f t="shared" si="22"/>
        <v>12.484000000000002</v>
      </c>
      <c r="AF32" s="134">
        <f t="shared" si="23"/>
        <v>19.858000000000001</v>
      </c>
      <c r="AG32" s="78">
        <f t="shared" si="24"/>
        <v>0</v>
      </c>
      <c r="AH32" s="79"/>
      <c r="AI32" s="80"/>
      <c r="AJ32" s="81"/>
      <c r="AK32" s="70">
        <f t="shared" si="25"/>
        <v>34.728999999999999</v>
      </c>
      <c r="AL32" s="71">
        <f t="shared" si="26"/>
        <v>14.870999999999999</v>
      </c>
      <c r="AM32" s="72">
        <f t="shared" si="52"/>
        <v>12.484000000000002</v>
      </c>
      <c r="AN32" s="134">
        <f t="shared" si="28"/>
        <v>19.858000000000001</v>
      </c>
      <c r="AO32" s="78">
        <f t="shared" si="29"/>
        <v>0</v>
      </c>
      <c r="AP32" s="79"/>
      <c r="AQ32" s="80"/>
      <c r="AR32" s="81"/>
      <c r="AS32" s="70">
        <f t="shared" si="30"/>
        <v>34.728999999999999</v>
      </c>
      <c r="AT32" s="71">
        <f t="shared" si="31"/>
        <v>14.870999999999999</v>
      </c>
      <c r="AU32" s="72">
        <f t="shared" si="53"/>
        <v>12.484000000000002</v>
      </c>
      <c r="AV32" s="134">
        <f t="shared" si="33"/>
        <v>19.858000000000001</v>
      </c>
      <c r="AW32" s="78">
        <f t="shared" si="34"/>
        <v>0</v>
      </c>
      <c r="AX32" s="79"/>
      <c r="AY32" s="80"/>
      <c r="AZ32" s="81"/>
      <c r="BA32" s="70">
        <f t="shared" si="35"/>
        <v>34.728999999999999</v>
      </c>
      <c r="BB32" s="71">
        <f t="shared" si="36"/>
        <v>14.870999999999999</v>
      </c>
      <c r="BC32" s="72">
        <f t="shared" si="54"/>
        <v>12.484000000000002</v>
      </c>
      <c r="BD32" s="134">
        <f t="shared" si="38"/>
        <v>19.858000000000001</v>
      </c>
      <c r="BE32" s="78">
        <f t="shared" si="39"/>
        <v>0</v>
      </c>
      <c r="BF32" s="79"/>
      <c r="BG32" s="80"/>
      <c r="BH32" s="81"/>
      <c r="BI32" s="70">
        <f t="shared" si="40"/>
        <v>34.728999999999999</v>
      </c>
      <c r="BJ32" s="71">
        <f t="shared" si="51"/>
        <v>14.870999999999999</v>
      </c>
      <c r="BK32" s="72">
        <f t="shared" si="55"/>
        <v>12.484000000000002</v>
      </c>
      <c r="BL32" s="134">
        <f t="shared" si="43"/>
        <v>19.858000000000001</v>
      </c>
    </row>
    <row r="33" spans="1:64" ht="13.75" customHeight="1" x14ac:dyDescent="0.35">
      <c r="A33" s="285" t="s">
        <v>30</v>
      </c>
      <c r="B33" s="237" t="s">
        <v>43</v>
      </c>
      <c r="C33" s="25" t="s">
        <v>154</v>
      </c>
      <c r="D33" s="132" t="s">
        <v>125</v>
      </c>
      <c r="E33" s="78">
        <f t="shared" si="8"/>
        <v>67.832999999999998</v>
      </c>
      <c r="F33" s="79">
        <f>69.5-5</f>
        <v>64.5</v>
      </c>
      <c r="G33" s="80"/>
      <c r="H33" s="81">
        <v>3.3330000000000002</v>
      </c>
      <c r="I33" s="78">
        <f t="shared" si="9"/>
        <v>0</v>
      </c>
      <c r="J33" s="79"/>
      <c r="K33" s="80"/>
      <c r="L33" s="81"/>
      <c r="M33" s="70">
        <f t="shared" si="10"/>
        <v>67.832999999999998</v>
      </c>
      <c r="N33" s="71">
        <f t="shared" si="11"/>
        <v>64.5</v>
      </c>
      <c r="O33" s="72">
        <f t="shared" si="12"/>
        <v>0</v>
      </c>
      <c r="P33" s="134">
        <f t="shared" si="13"/>
        <v>3.3330000000000002</v>
      </c>
      <c r="Q33" s="78">
        <f t="shared" si="14"/>
        <v>0</v>
      </c>
      <c r="R33" s="79"/>
      <c r="S33" s="80"/>
      <c r="T33" s="81"/>
      <c r="U33" s="70">
        <f t="shared" si="15"/>
        <v>67.832999999999998</v>
      </c>
      <c r="V33" s="71">
        <f t="shared" si="16"/>
        <v>64.5</v>
      </c>
      <c r="W33" s="72">
        <f t="shared" si="17"/>
        <v>0</v>
      </c>
      <c r="X33" s="134">
        <f t="shared" si="18"/>
        <v>3.3330000000000002</v>
      </c>
      <c r="Y33" s="78">
        <f t="shared" si="19"/>
        <v>0</v>
      </c>
      <c r="Z33" s="79"/>
      <c r="AA33" s="80"/>
      <c r="AB33" s="81"/>
      <c r="AC33" s="70">
        <f t="shared" si="20"/>
        <v>67.832999999999998</v>
      </c>
      <c r="AD33" s="71">
        <f t="shared" si="21"/>
        <v>64.5</v>
      </c>
      <c r="AE33" s="72">
        <f t="shared" si="22"/>
        <v>0</v>
      </c>
      <c r="AF33" s="134">
        <f t="shared" si="23"/>
        <v>3.3330000000000002</v>
      </c>
      <c r="AG33" s="78">
        <f t="shared" si="24"/>
        <v>-1.9259999999999999</v>
      </c>
      <c r="AH33" s="79">
        <v>-1.9259999999999999</v>
      </c>
      <c r="AI33" s="80"/>
      <c r="AJ33" s="81"/>
      <c r="AK33" s="70">
        <f t="shared" si="25"/>
        <v>65.906999999999996</v>
      </c>
      <c r="AL33" s="71">
        <f t="shared" si="26"/>
        <v>62.573999999999998</v>
      </c>
      <c r="AM33" s="72">
        <f t="shared" si="52"/>
        <v>0</v>
      </c>
      <c r="AN33" s="134">
        <f t="shared" si="28"/>
        <v>3.3330000000000002</v>
      </c>
      <c r="AO33" s="78">
        <f t="shared" si="29"/>
        <v>-3.3330000000000002</v>
      </c>
      <c r="AP33" s="79">
        <v>-2.6120000000000001</v>
      </c>
      <c r="AQ33" s="80"/>
      <c r="AR33" s="81">
        <v>-0.72099999999999997</v>
      </c>
      <c r="AS33" s="70">
        <f t="shared" si="30"/>
        <v>62.573999999999998</v>
      </c>
      <c r="AT33" s="71">
        <f t="shared" si="31"/>
        <v>59.961999999999996</v>
      </c>
      <c r="AU33" s="72">
        <f t="shared" si="53"/>
        <v>0</v>
      </c>
      <c r="AV33" s="134">
        <f t="shared" si="33"/>
        <v>2.6120000000000001</v>
      </c>
      <c r="AW33" s="78">
        <f t="shared" si="34"/>
        <v>10.484</v>
      </c>
      <c r="AX33" s="79">
        <v>10.484</v>
      </c>
      <c r="AY33" s="80"/>
      <c r="AZ33" s="81"/>
      <c r="BA33" s="70">
        <f t="shared" si="35"/>
        <v>73.057999999999993</v>
      </c>
      <c r="BB33" s="71">
        <f t="shared" si="36"/>
        <v>70.445999999999998</v>
      </c>
      <c r="BC33" s="72">
        <f t="shared" si="54"/>
        <v>0</v>
      </c>
      <c r="BD33" s="134">
        <f t="shared" si="38"/>
        <v>2.6120000000000001</v>
      </c>
      <c r="BE33" s="78">
        <f t="shared" si="39"/>
        <v>0</v>
      </c>
      <c r="BF33" s="79"/>
      <c r="BG33" s="80"/>
      <c r="BH33" s="81"/>
      <c r="BI33" s="70">
        <f t="shared" si="40"/>
        <v>73.057999999999993</v>
      </c>
      <c r="BJ33" s="71">
        <f t="shared" si="51"/>
        <v>70.445999999999998</v>
      </c>
      <c r="BK33" s="72">
        <f t="shared" si="55"/>
        <v>0</v>
      </c>
      <c r="BL33" s="134">
        <f t="shared" si="43"/>
        <v>2.6120000000000001</v>
      </c>
    </row>
    <row r="34" spans="1:64" ht="12.9" x14ac:dyDescent="0.35">
      <c r="A34" s="286"/>
      <c r="B34" s="238"/>
      <c r="C34" s="25" t="s">
        <v>155</v>
      </c>
      <c r="D34" s="132" t="s">
        <v>137</v>
      </c>
      <c r="E34" s="78"/>
      <c r="F34" s="79"/>
      <c r="G34" s="80"/>
      <c r="H34" s="81"/>
      <c r="I34" s="78"/>
      <c r="J34" s="79"/>
      <c r="K34" s="80"/>
      <c r="L34" s="81"/>
      <c r="M34" s="70"/>
      <c r="N34" s="71"/>
      <c r="O34" s="72"/>
      <c r="P34" s="134"/>
      <c r="Q34" s="78"/>
      <c r="R34" s="79"/>
      <c r="S34" s="80"/>
      <c r="T34" s="81"/>
      <c r="U34" s="70"/>
      <c r="V34" s="71"/>
      <c r="W34" s="72"/>
      <c r="X34" s="134"/>
      <c r="Y34" s="78"/>
      <c r="Z34" s="79"/>
      <c r="AA34" s="80"/>
      <c r="AB34" s="81"/>
      <c r="AC34" s="70"/>
      <c r="AD34" s="71"/>
      <c r="AE34" s="72"/>
      <c r="AF34" s="134"/>
      <c r="AG34" s="78"/>
      <c r="AH34" s="79"/>
      <c r="AI34" s="80"/>
      <c r="AJ34" s="81"/>
      <c r="AK34" s="70"/>
      <c r="AL34" s="71"/>
      <c r="AM34" s="72"/>
      <c r="AN34" s="134"/>
      <c r="AO34" s="78"/>
      <c r="AP34" s="79"/>
      <c r="AQ34" s="80"/>
      <c r="AR34" s="81"/>
      <c r="AS34" s="70"/>
      <c r="AT34" s="71"/>
      <c r="AU34" s="72"/>
      <c r="AV34" s="134"/>
      <c r="AW34" s="78">
        <f t="shared" ref="AW34" si="60">SUM(AZ34,AX34)</f>
        <v>1.7829999999999999</v>
      </c>
      <c r="AX34" s="79">
        <v>1.7829999999999999</v>
      </c>
      <c r="AY34" s="80"/>
      <c r="AZ34" s="81"/>
      <c r="BA34" s="70">
        <f t="shared" ref="BA34" si="61">SUM(BD34,BB34)</f>
        <v>1.7829999999999999</v>
      </c>
      <c r="BB34" s="71">
        <f t="shared" ref="BB34" si="62">AT34+AX34</f>
        <v>1.7829999999999999</v>
      </c>
      <c r="BC34" s="72">
        <f t="shared" ref="BC34" si="63">AU34+AY34</f>
        <v>0</v>
      </c>
      <c r="BD34" s="134">
        <f t="shared" ref="BD34" si="64">AV34+AZ34</f>
        <v>0</v>
      </c>
      <c r="BE34" s="78">
        <f t="shared" si="39"/>
        <v>0</v>
      </c>
      <c r="BF34" s="79"/>
      <c r="BG34" s="80"/>
      <c r="BH34" s="81"/>
      <c r="BI34" s="70">
        <f t="shared" si="40"/>
        <v>1.7829999999999999</v>
      </c>
      <c r="BJ34" s="71">
        <f t="shared" si="51"/>
        <v>1.7829999999999999</v>
      </c>
      <c r="BK34" s="72">
        <f t="shared" si="55"/>
        <v>0</v>
      </c>
      <c r="BL34" s="134">
        <f t="shared" si="43"/>
        <v>0</v>
      </c>
    </row>
    <row r="35" spans="1:64" ht="12.9" x14ac:dyDescent="0.35">
      <c r="A35" s="285" t="s">
        <v>39</v>
      </c>
      <c r="B35" s="237" t="s">
        <v>124</v>
      </c>
      <c r="C35" s="40" t="s">
        <v>156</v>
      </c>
      <c r="D35" s="25" t="s">
        <v>125</v>
      </c>
      <c r="E35" s="78">
        <f t="shared" si="8"/>
        <v>194.90899999999999</v>
      </c>
      <c r="F35" s="79">
        <v>146.90899999999999</v>
      </c>
      <c r="G35" s="80"/>
      <c r="H35" s="81">
        <v>48</v>
      </c>
      <c r="I35" s="78">
        <f t="shared" si="9"/>
        <v>0</v>
      </c>
      <c r="J35" s="79"/>
      <c r="K35" s="80"/>
      <c r="L35" s="81"/>
      <c r="M35" s="70">
        <f t="shared" si="10"/>
        <v>194.90899999999999</v>
      </c>
      <c r="N35" s="71">
        <f t="shared" si="11"/>
        <v>146.90899999999999</v>
      </c>
      <c r="O35" s="72">
        <f t="shared" si="12"/>
        <v>0</v>
      </c>
      <c r="P35" s="134">
        <f t="shared" si="13"/>
        <v>48</v>
      </c>
      <c r="Q35" s="78">
        <f t="shared" si="14"/>
        <v>0</v>
      </c>
      <c r="R35" s="79"/>
      <c r="S35" s="80"/>
      <c r="T35" s="81"/>
      <c r="U35" s="70">
        <f t="shared" si="15"/>
        <v>194.90899999999999</v>
      </c>
      <c r="V35" s="71">
        <f t="shared" si="16"/>
        <v>146.90899999999999</v>
      </c>
      <c r="W35" s="72">
        <f t="shared" si="17"/>
        <v>0</v>
      </c>
      <c r="X35" s="134">
        <f t="shared" si="18"/>
        <v>48</v>
      </c>
      <c r="Y35" s="78">
        <f t="shared" si="19"/>
        <v>0</v>
      </c>
      <c r="Z35" s="79"/>
      <c r="AA35" s="80"/>
      <c r="AB35" s="81"/>
      <c r="AC35" s="70">
        <f t="shared" si="20"/>
        <v>194.90899999999999</v>
      </c>
      <c r="AD35" s="71">
        <f t="shared" si="21"/>
        <v>146.90899999999999</v>
      </c>
      <c r="AE35" s="72">
        <f t="shared" si="22"/>
        <v>0</v>
      </c>
      <c r="AF35" s="134">
        <f t="shared" si="23"/>
        <v>48</v>
      </c>
      <c r="AG35" s="78">
        <f t="shared" si="24"/>
        <v>0</v>
      </c>
      <c r="AH35" s="79"/>
      <c r="AI35" s="80"/>
      <c r="AJ35" s="81"/>
      <c r="AK35" s="70">
        <f t="shared" si="25"/>
        <v>194.90899999999999</v>
      </c>
      <c r="AL35" s="71">
        <f t="shared" si="26"/>
        <v>146.90899999999999</v>
      </c>
      <c r="AM35" s="72">
        <f t="shared" si="52"/>
        <v>0</v>
      </c>
      <c r="AN35" s="134">
        <f t="shared" si="28"/>
        <v>48</v>
      </c>
      <c r="AO35" s="78">
        <f t="shared" si="29"/>
        <v>0</v>
      </c>
      <c r="AP35" s="79"/>
      <c r="AQ35" s="80"/>
      <c r="AR35" s="81"/>
      <c r="AS35" s="70">
        <f t="shared" si="30"/>
        <v>194.90899999999999</v>
      </c>
      <c r="AT35" s="71">
        <f t="shared" si="31"/>
        <v>146.90899999999999</v>
      </c>
      <c r="AU35" s="72">
        <f t="shared" si="53"/>
        <v>0</v>
      </c>
      <c r="AV35" s="134">
        <f t="shared" si="33"/>
        <v>48</v>
      </c>
      <c r="AW35" s="78">
        <f t="shared" si="34"/>
        <v>0</v>
      </c>
      <c r="AX35" s="79"/>
      <c r="AY35" s="80"/>
      <c r="AZ35" s="81"/>
      <c r="BA35" s="70">
        <f t="shared" si="35"/>
        <v>194.90899999999999</v>
      </c>
      <c r="BB35" s="71">
        <f t="shared" si="36"/>
        <v>146.90899999999999</v>
      </c>
      <c r="BC35" s="72">
        <f t="shared" si="54"/>
        <v>0</v>
      </c>
      <c r="BD35" s="134">
        <f t="shared" si="38"/>
        <v>48</v>
      </c>
      <c r="BE35" s="78">
        <f t="shared" si="39"/>
        <v>0</v>
      </c>
      <c r="BF35" s="79"/>
      <c r="BG35" s="80"/>
      <c r="BH35" s="81"/>
      <c r="BI35" s="70">
        <f t="shared" si="40"/>
        <v>194.90899999999999</v>
      </c>
      <c r="BJ35" s="71">
        <f t="shared" si="51"/>
        <v>146.90899999999999</v>
      </c>
      <c r="BK35" s="72">
        <f t="shared" si="55"/>
        <v>0</v>
      </c>
      <c r="BL35" s="134">
        <f t="shared" si="43"/>
        <v>48</v>
      </c>
    </row>
    <row r="36" spans="1:64" ht="12.9" x14ac:dyDescent="0.35">
      <c r="A36" s="286"/>
      <c r="B36" s="238"/>
      <c r="C36" s="25" t="s">
        <v>104</v>
      </c>
      <c r="D36" s="25" t="s">
        <v>137</v>
      </c>
      <c r="E36" s="78"/>
      <c r="F36" s="79"/>
      <c r="G36" s="80"/>
      <c r="H36" s="81"/>
      <c r="I36" s="78"/>
      <c r="J36" s="79"/>
      <c r="K36" s="80"/>
      <c r="L36" s="81"/>
      <c r="M36" s="70"/>
      <c r="N36" s="71"/>
      <c r="O36" s="72"/>
      <c r="P36" s="134"/>
      <c r="Q36" s="78"/>
      <c r="R36" s="79"/>
      <c r="S36" s="80"/>
      <c r="T36" s="81"/>
      <c r="U36" s="70"/>
      <c r="V36" s="71"/>
      <c r="W36" s="72"/>
      <c r="X36" s="134"/>
      <c r="Y36" s="78"/>
      <c r="Z36" s="79"/>
      <c r="AA36" s="80"/>
      <c r="AB36" s="81"/>
      <c r="AC36" s="70"/>
      <c r="AD36" s="71"/>
      <c r="AE36" s="72"/>
      <c r="AF36" s="134"/>
      <c r="AG36" s="78"/>
      <c r="AH36" s="79"/>
      <c r="AI36" s="80"/>
      <c r="AJ36" s="81"/>
      <c r="AK36" s="70"/>
      <c r="AL36" s="71"/>
      <c r="AM36" s="72"/>
      <c r="AN36" s="134"/>
      <c r="AO36" s="78"/>
      <c r="AP36" s="79"/>
      <c r="AQ36" s="80"/>
      <c r="AR36" s="81"/>
      <c r="AS36" s="70"/>
      <c r="AT36" s="71"/>
      <c r="AU36" s="72"/>
      <c r="AV36" s="134"/>
      <c r="AW36" s="78">
        <f t="shared" si="34"/>
        <v>14.755000000000001</v>
      </c>
      <c r="AX36" s="79">
        <v>14.755000000000001</v>
      </c>
      <c r="AY36" s="80"/>
      <c r="AZ36" s="81"/>
      <c r="BA36" s="70">
        <f t="shared" ref="BA36" si="65">SUM(BD36,BB36)</f>
        <v>14.755000000000001</v>
      </c>
      <c r="BB36" s="71">
        <f t="shared" ref="BB36" si="66">AT36+AX36</f>
        <v>14.755000000000001</v>
      </c>
      <c r="BC36" s="72"/>
      <c r="BD36" s="134"/>
      <c r="BE36" s="78">
        <f t="shared" si="39"/>
        <v>0</v>
      </c>
      <c r="BF36" s="79"/>
      <c r="BG36" s="80">
        <v>0.28999999999999998</v>
      </c>
      <c r="BH36" s="81"/>
      <c r="BI36" s="70">
        <f t="shared" si="40"/>
        <v>14.755000000000001</v>
      </c>
      <c r="BJ36" s="71">
        <f t="shared" si="51"/>
        <v>14.755000000000001</v>
      </c>
      <c r="BK36" s="72">
        <f t="shared" si="51"/>
        <v>0.28999999999999998</v>
      </c>
      <c r="BL36" s="134"/>
    </row>
    <row r="37" spans="1:64" ht="12.9" x14ac:dyDescent="0.35">
      <c r="A37" s="285" t="s">
        <v>23</v>
      </c>
      <c r="B37" s="237" t="s">
        <v>44</v>
      </c>
      <c r="C37" s="25" t="s">
        <v>129</v>
      </c>
      <c r="D37" s="25" t="s">
        <v>125</v>
      </c>
      <c r="E37" s="78">
        <f t="shared" si="8"/>
        <v>1913.721</v>
      </c>
      <c r="F37" s="79">
        <v>1248.3209999999999</v>
      </c>
      <c r="G37" s="80"/>
      <c r="H37" s="81">
        <v>665.4</v>
      </c>
      <c r="I37" s="78">
        <f t="shared" si="9"/>
        <v>0</v>
      </c>
      <c r="J37" s="79"/>
      <c r="K37" s="80"/>
      <c r="L37" s="81"/>
      <c r="M37" s="70">
        <f t="shared" si="10"/>
        <v>1913.721</v>
      </c>
      <c r="N37" s="71">
        <f t="shared" si="11"/>
        <v>1248.3209999999999</v>
      </c>
      <c r="O37" s="72">
        <f t="shared" si="12"/>
        <v>0</v>
      </c>
      <c r="P37" s="134">
        <f t="shared" si="13"/>
        <v>665.4</v>
      </c>
      <c r="Q37" s="78">
        <f t="shared" si="14"/>
        <v>-8.52</v>
      </c>
      <c r="R37" s="79"/>
      <c r="S37" s="80"/>
      <c r="T37" s="81">
        <v>-8.52</v>
      </c>
      <c r="U37" s="70">
        <f t="shared" si="15"/>
        <v>1905.201</v>
      </c>
      <c r="V37" s="71">
        <f t="shared" si="16"/>
        <v>1248.3209999999999</v>
      </c>
      <c r="W37" s="72">
        <f t="shared" si="17"/>
        <v>0</v>
      </c>
      <c r="X37" s="134">
        <f t="shared" si="18"/>
        <v>656.88</v>
      </c>
      <c r="Y37" s="78">
        <f t="shared" si="19"/>
        <v>0</v>
      </c>
      <c r="Z37" s="79"/>
      <c r="AA37" s="80"/>
      <c r="AB37" s="81"/>
      <c r="AC37" s="70">
        <f t="shared" si="20"/>
        <v>1905.201</v>
      </c>
      <c r="AD37" s="71">
        <f t="shared" si="21"/>
        <v>1248.3209999999999</v>
      </c>
      <c r="AE37" s="72">
        <f t="shared" si="22"/>
        <v>0</v>
      </c>
      <c r="AF37" s="134">
        <f t="shared" si="23"/>
        <v>656.88</v>
      </c>
      <c r="AG37" s="78">
        <f t="shared" si="24"/>
        <v>-6.1539999999999999</v>
      </c>
      <c r="AH37" s="79">
        <v>-0.37</v>
      </c>
      <c r="AI37" s="80"/>
      <c r="AJ37" s="81">
        <v>-5.7839999999999998</v>
      </c>
      <c r="AK37" s="70">
        <f t="shared" si="25"/>
        <v>1899.047</v>
      </c>
      <c r="AL37" s="71">
        <f t="shared" si="26"/>
        <v>1247.951</v>
      </c>
      <c r="AM37" s="72">
        <f t="shared" si="52"/>
        <v>0</v>
      </c>
      <c r="AN37" s="134">
        <f t="shared" si="28"/>
        <v>651.096</v>
      </c>
      <c r="AO37" s="78">
        <f t="shared" si="29"/>
        <v>0</v>
      </c>
      <c r="AP37" s="79"/>
      <c r="AQ37" s="80"/>
      <c r="AR37" s="81"/>
      <c r="AS37" s="70">
        <f t="shared" si="30"/>
        <v>1899.047</v>
      </c>
      <c r="AT37" s="71">
        <f t="shared" si="31"/>
        <v>1247.951</v>
      </c>
      <c r="AU37" s="72">
        <f t="shared" si="53"/>
        <v>0</v>
      </c>
      <c r="AV37" s="134">
        <f t="shared" si="33"/>
        <v>651.096</v>
      </c>
      <c r="AW37" s="78">
        <f t="shared" si="34"/>
        <v>115.209</v>
      </c>
      <c r="AX37" s="79">
        <v>143.42500000000001</v>
      </c>
      <c r="AY37" s="80">
        <v>0</v>
      </c>
      <c r="AZ37" s="81">
        <v>-28.216000000000001</v>
      </c>
      <c r="BA37" s="70">
        <f t="shared" si="35"/>
        <v>2014.2559999999999</v>
      </c>
      <c r="BB37" s="71">
        <f t="shared" si="36"/>
        <v>1391.376</v>
      </c>
      <c r="BC37" s="72">
        <f t="shared" si="54"/>
        <v>0</v>
      </c>
      <c r="BD37" s="134">
        <f t="shared" si="38"/>
        <v>622.88</v>
      </c>
      <c r="BE37" s="78">
        <f t="shared" si="39"/>
        <v>0</v>
      </c>
      <c r="BF37" s="79"/>
      <c r="BG37" s="80"/>
      <c r="BH37" s="81"/>
      <c r="BI37" s="70">
        <f t="shared" si="40"/>
        <v>2014.2559999999999</v>
      </c>
      <c r="BJ37" s="71">
        <f t="shared" si="51"/>
        <v>1391.376</v>
      </c>
      <c r="BK37" s="72">
        <f t="shared" ref="BK37:BK104" si="67">BC37+BG37</f>
        <v>0</v>
      </c>
      <c r="BL37" s="134">
        <f t="shared" ref="BL37:BL69" si="68">BD37+BH37</f>
        <v>622.88</v>
      </c>
    </row>
    <row r="38" spans="1:64" ht="12.9" x14ac:dyDescent="0.35">
      <c r="A38" s="287"/>
      <c r="B38" s="243"/>
      <c r="C38" s="25" t="s">
        <v>130</v>
      </c>
      <c r="D38" s="25" t="s">
        <v>38</v>
      </c>
      <c r="E38" s="78">
        <f t="shared" si="8"/>
        <v>182.17500000000001</v>
      </c>
      <c r="F38" s="79">
        <v>182.17500000000001</v>
      </c>
      <c r="G38" s="80"/>
      <c r="H38" s="81"/>
      <c r="I38" s="78">
        <f t="shared" si="9"/>
        <v>0</v>
      </c>
      <c r="J38" s="79"/>
      <c r="K38" s="80"/>
      <c r="L38" s="81"/>
      <c r="M38" s="70">
        <f t="shared" si="10"/>
        <v>182.17500000000001</v>
      </c>
      <c r="N38" s="71">
        <f t="shared" si="11"/>
        <v>182.17500000000001</v>
      </c>
      <c r="O38" s="72">
        <f t="shared" si="12"/>
        <v>0</v>
      </c>
      <c r="P38" s="134">
        <f t="shared" si="13"/>
        <v>0</v>
      </c>
      <c r="Q38" s="78">
        <f t="shared" si="14"/>
        <v>0</v>
      </c>
      <c r="R38" s="79"/>
      <c r="S38" s="80"/>
      <c r="T38" s="81"/>
      <c r="U38" s="70">
        <f t="shared" si="15"/>
        <v>182.17500000000001</v>
      </c>
      <c r="V38" s="71">
        <f t="shared" si="16"/>
        <v>182.17500000000001</v>
      </c>
      <c r="W38" s="72">
        <f t="shared" si="17"/>
        <v>0</v>
      </c>
      <c r="X38" s="134">
        <f t="shared" si="18"/>
        <v>0</v>
      </c>
      <c r="Y38" s="78">
        <f t="shared" si="19"/>
        <v>0</v>
      </c>
      <c r="Z38" s="79"/>
      <c r="AA38" s="80"/>
      <c r="AB38" s="81"/>
      <c r="AC38" s="70">
        <f t="shared" si="20"/>
        <v>182.17500000000001</v>
      </c>
      <c r="AD38" s="71">
        <f t="shared" si="21"/>
        <v>182.17500000000001</v>
      </c>
      <c r="AE38" s="72">
        <f t="shared" si="22"/>
        <v>0</v>
      </c>
      <c r="AF38" s="134">
        <f t="shared" si="23"/>
        <v>0</v>
      </c>
      <c r="AG38" s="78">
        <f t="shared" si="24"/>
        <v>10.545</v>
      </c>
      <c r="AH38" s="79">
        <v>10.545</v>
      </c>
      <c r="AI38" s="80"/>
      <c r="AJ38" s="81"/>
      <c r="AK38" s="70">
        <f t="shared" si="25"/>
        <v>192.72</v>
      </c>
      <c r="AL38" s="71">
        <f t="shared" si="26"/>
        <v>192.72</v>
      </c>
      <c r="AM38" s="72">
        <f t="shared" si="52"/>
        <v>0</v>
      </c>
      <c r="AN38" s="134">
        <f t="shared" si="28"/>
        <v>0</v>
      </c>
      <c r="AO38" s="78">
        <f t="shared" si="29"/>
        <v>23.020000000000003</v>
      </c>
      <c r="AP38" s="79">
        <f>19.42+3.6</f>
        <v>23.020000000000003</v>
      </c>
      <c r="AQ38" s="80"/>
      <c r="AR38" s="81"/>
      <c r="AS38" s="70">
        <f t="shared" si="30"/>
        <v>215.74</v>
      </c>
      <c r="AT38" s="71">
        <f t="shared" si="31"/>
        <v>215.74</v>
      </c>
      <c r="AU38" s="72">
        <f t="shared" si="53"/>
        <v>0</v>
      </c>
      <c r="AV38" s="134">
        <f t="shared" si="33"/>
        <v>0</v>
      </c>
      <c r="AW38" s="78">
        <f t="shared" si="34"/>
        <v>0.62000000000000011</v>
      </c>
      <c r="AX38" s="79">
        <f>1.12+0.7-1.2</f>
        <v>0.62000000000000011</v>
      </c>
      <c r="AY38" s="80"/>
      <c r="AZ38" s="81"/>
      <c r="BA38" s="70">
        <f t="shared" si="35"/>
        <v>216.36</v>
      </c>
      <c r="BB38" s="71">
        <f t="shared" si="36"/>
        <v>216.36</v>
      </c>
      <c r="BC38" s="72">
        <f t="shared" si="54"/>
        <v>0</v>
      </c>
      <c r="BD38" s="134">
        <f t="shared" si="38"/>
        <v>0</v>
      </c>
      <c r="BE38" s="78">
        <f t="shared" si="39"/>
        <v>0</v>
      </c>
      <c r="BF38" s="79"/>
      <c r="BG38" s="80"/>
      <c r="BH38" s="81"/>
      <c r="BI38" s="70">
        <f t="shared" si="40"/>
        <v>216.36</v>
      </c>
      <c r="BJ38" s="71">
        <f t="shared" si="51"/>
        <v>216.36</v>
      </c>
      <c r="BK38" s="72">
        <f t="shared" si="67"/>
        <v>0</v>
      </c>
      <c r="BL38" s="134">
        <f t="shared" si="68"/>
        <v>0</v>
      </c>
    </row>
    <row r="39" spans="1:64" ht="12.9" x14ac:dyDescent="0.35">
      <c r="A39" s="287"/>
      <c r="B39" s="243"/>
      <c r="C39" s="25" t="s">
        <v>132</v>
      </c>
      <c r="D39" s="25" t="s">
        <v>187</v>
      </c>
      <c r="E39" s="78">
        <f t="shared" si="8"/>
        <v>24.825000000000003</v>
      </c>
      <c r="F39" s="79">
        <v>0.35</v>
      </c>
      <c r="G39" s="80"/>
      <c r="H39" s="81">
        <v>24.475000000000001</v>
      </c>
      <c r="I39" s="78">
        <f t="shared" si="9"/>
        <v>0.06</v>
      </c>
      <c r="J39" s="79">
        <v>0.06</v>
      </c>
      <c r="K39" s="80"/>
      <c r="L39" s="81"/>
      <c r="M39" s="70">
        <f t="shared" si="10"/>
        <v>24.885000000000002</v>
      </c>
      <c r="N39" s="71">
        <f t="shared" si="11"/>
        <v>0.41</v>
      </c>
      <c r="O39" s="72">
        <f t="shared" si="12"/>
        <v>0</v>
      </c>
      <c r="P39" s="134">
        <f t="shared" si="13"/>
        <v>24.475000000000001</v>
      </c>
      <c r="Q39" s="78">
        <f t="shared" si="14"/>
        <v>40.182000000000002</v>
      </c>
      <c r="R39" s="79">
        <v>40.182000000000002</v>
      </c>
      <c r="S39" s="80"/>
      <c r="T39" s="81"/>
      <c r="U39" s="70">
        <f t="shared" si="15"/>
        <v>65.067000000000007</v>
      </c>
      <c r="V39" s="71">
        <f t="shared" si="16"/>
        <v>40.591999999999999</v>
      </c>
      <c r="W39" s="72">
        <f t="shared" si="17"/>
        <v>0</v>
      </c>
      <c r="X39" s="134">
        <f t="shared" si="18"/>
        <v>24.475000000000001</v>
      </c>
      <c r="Y39" s="78">
        <f t="shared" si="19"/>
        <v>0</v>
      </c>
      <c r="Z39" s="79"/>
      <c r="AA39" s="80"/>
      <c r="AB39" s="81"/>
      <c r="AC39" s="70">
        <f t="shared" si="20"/>
        <v>65.067000000000007</v>
      </c>
      <c r="AD39" s="71">
        <f t="shared" si="21"/>
        <v>40.591999999999999</v>
      </c>
      <c r="AE39" s="72">
        <f t="shared" si="22"/>
        <v>0</v>
      </c>
      <c r="AF39" s="134">
        <f t="shared" si="23"/>
        <v>24.475000000000001</v>
      </c>
      <c r="AG39" s="78">
        <f t="shared" si="24"/>
        <v>31.324000000000002</v>
      </c>
      <c r="AH39" s="79">
        <v>31.324000000000002</v>
      </c>
      <c r="AI39" s="80"/>
      <c r="AJ39" s="81"/>
      <c r="AK39" s="70">
        <f t="shared" si="25"/>
        <v>96.390999999999991</v>
      </c>
      <c r="AL39" s="71">
        <f t="shared" si="26"/>
        <v>71.915999999999997</v>
      </c>
      <c r="AM39" s="72">
        <f t="shared" si="52"/>
        <v>0</v>
      </c>
      <c r="AN39" s="134">
        <f t="shared" si="28"/>
        <v>24.475000000000001</v>
      </c>
      <c r="AO39" s="78">
        <f t="shared" si="29"/>
        <v>17.218</v>
      </c>
      <c r="AP39" s="79">
        <v>17.218</v>
      </c>
      <c r="AQ39" s="80">
        <v>1.675</v>
      </c>
      <c r="AR39" s="81"/>
      <c r="AS39" s="70">
        <f t="shared" si="30"/>
        <v>113.60900000000001</v>
      </c>
      <c r="AT39" s="71">
        <f t="shared" si="31"/>
        <v>89.134</v>
      </c>
      <c r="AU39" s="72">
        <f t="shared" si="53"/>
        <v>1.675</v>
      </c>
      <c r="AV39" s="134">
        <f t="shared" si="33"/>
        <v>24.475000000000001</v>
      </c>
      <c r="AW39" s="78">
        <f t="shared" si="34"/>
        <v>0</v>
      </c>
      <c r="AX39" s="79"/>
      <c r="AY39" s="80"/>
      <c r="AZ39" s="81"/>
      <c r="BA39" s="70">
        <f t="shared" si="35"/>
        <v>113.60900000000001</v>
      </c>
      <c r="BB39" s="71">
        <f t="shared" si="36"/>
        <v>89.134</v>
      </c>
      <c r="BC39" s="72">
        <f t="shared" si="54"/>
        <v>1.675</v>
      </c>
      <c r="BD39" s="134">
        <f t="shared" si="38"/>
        <v>24.475000000000001</v>
      </c>
      <c r="BE39" s="78">
        <f t="shared" si="39"/>
        <v>28.375</v>
      </c>
      <c r="BF39" s="79">
        <f>18.003+7.404</f>
        <v>25.407</v>
      </c>
      <c r="BG39" s="80">
        <v>0.98499999999999999</v>
      </c>
      <c r="BH39" s="81">
        <v>2.968</v>
      </c>
      <c r="BI39" s="70">
        <f t="shared" si="40"/>
        <v>141.98400000000001</v>
      </c>
      <c r="BJ39" s="71">
        <f t="shared" si="51"/>
        <v>114.541</v>
      </c>
      <c r="BK39" s="72">
        <f t="shared" si="67"/>
        <v>2.66</v>
      </c>
      <c r="BL39" s="134">
        <f t="shared" si="68"/>
        <v>27.443000000000001</v>
      </c>
    </row>
    <row r="40" spans="1:64" ht="12.65" customHeight="1" x14ac:dyDescent="0.35">
      <c r="A40" s="286"/>
      <c r="B40" s="238"/>
      <c r="C40" s="25" t="s">
        <v>136</v>
      </c>
      <c r="D40" s="25" t="s">
        <v>137</v>
      </c>
      <c r="E40" s="78">
        <f t="shared" si="8"/>
        <v>0.3</v>
      </c>
      <c r="F40" s="79">
        <f>0.3</f>
        <v>0.3</v>
      </c>
      <c r="G40" s="80">
        <f>0.295</f>
        <v>0.29499999999999998</v>
      </c>
      <c r="H40" s="81"/>
      <c r="I40" s="78">
        <f t="shared" si="9"/>
        <v>0</v>
      </c>
      <c r="J40" s="79"/>
      <c r="K40" s="80"/>
      <c r="L40" s="81"/>
      <c r="M40" s="70">
        <f t="shared" si="10"/>
        <v>0.3</v>
      </c>
      <c r="N40" s="71">
        <f t="shared" si="11"/>
        <v>0.3</v>
      </c>
      <c r="O40" s="72">
        <f t="shared" si="12"/>
        <v>0.29499999999999998</v>
      </c>
      <c r="P40" s="134">
        <f t="shared" si="13"/>
        <v>0</v>
      </c>
      <c r="Q40" s="78">
        <f t="shared" si="14"/>
        <v>0</v>
      </c>
      <c r="R40" s="79"/>
      <c r="S40" s="80"/>
      <c r="T40" s="81"/>
      <c r="U40" s="70">
        <f t="shared" si="15"/>
        <v>0.3</v>
      </c>
      <c r="V40" s="71">
        <f t="shared" si="16"/>
        <v>0.3</v>
      </c>
      <c r="W40" s="72">
        <f t="shared" si="17"/>
        <v>0.29499999999999998</v>
      </c>
      <c r="X40" s="134">
        <f t="shared" si="18"/>
        <v>0</v>
      </c>
      <c r="Y40" s="78">
        <f t="shared" si="19"/>
        <v>0</v>
      </c>
      <c r="Z40" s="79"/>
      <c r="AA40" s="80"/>
      <c r="AB40" s="81"/>
      <c r="AC40" s="70">
        <f t="shared" si="20"/>
        <v>0.3</v>
      </c>
      <c r="AD40" s="71">
        <f t="shared" si="21"/>
        <v>0.3</v>
      </c>
      <c r="AE40" s="72">
        <f t="shared" si="22"/>
        <v>0.29499999999999998</v>
      </c>
      <c r="AF40" s="134">
        <f t="shared" si="23"/>
        <v>0</v>
      </c>
      <c r="AG40" s="78">
        <f t="shared" si="24"/>
        <v>0.3</v>
      </c>
      <c r="AH40" s="79">
        <v>0.3</v>
      </c>
      <c r="AI40" s="80">
        <v>0.29499999999999998</v>
      </c>
      <c r="AJ40" s="81"/>
      <c r="AK40" s="70">
        <f t="shared" si="25"/>
        <v>0.6</v>
      </c>
      <c r="AL40" s="71">
        <f t="shared" si="26"/>
        <v>0.6</v>
      </c>
      <c r="AM40" s="72">
        <f t="shared" si="52"/>
        <v>0.59</v>
      </c>
      <c r="AN40" s="134">
        <f t="shared" si="28"/>
        <v>0</v>
      </c>
      <c r="AO40" s="78">
        <f t="shared" si="29"/>
        <v>0</v>
      </c>
      <c r="AP40" s="79"/>
      <c r="AQ40" s="80"/>
      <c r="AR40" s="81"/>
      <c r="AS40" s="70">
        <f t="shared" si="30"/>
        <v>0.6</v>
      </c>
      <c r="AT40" s="71">
        <f t="shared" si="31"/>
        <v>0.6</v>
      </c>
      <c r="AU40" s="72">
        <f t="shared" si="53"/>
        <v>0.59</v>
      </c>
      <c r="AV40" s="134">
        <f t="shared" si="33"/>
        <v>0</v>
      </c>
      <c r="AW40" s="78">
        <f t="shared" si="34"/>
        <v>0</v>
      </c>
      <c r="AX40" s="79"/>
      <c r="AY40" s="80"/>
      <c r="AZ40" s="81"/>
      <c r="BA40" s="70">
        <f t="shared" si="35"/>
        <v>0.6</v>
      </c>
      <c r="BB40" s="71">
        <f t="shared" si="36"/>
        <v>0.6</v>
      </c>
      <c r="BC40" s="72">
        <f t="shared" si="54"/>
        <v>0.59</v>
      </c>
      <c r="BD40" s="134">
        <f t="shared" si="38"/>
        <v>0</v>
      </c>
      <c r="BE40" s="78">
        <f t="shared" si="39"/>
        <v>0</v>
      </c>
      <c r="BF40" s="79"/>
      <c r="BG40" s="80"/>
      <c r="BH40" s="81"/>
      <c r="BI40" s="70">
        <f t="shared" si="40"/>
        <v>0.6</v>
      </c>
      <c r="BJ40" s="71">
        <f t="shared" si="51"/>
        <v>0.6</v>
      </c>
      <c r="BK40" s="72">
        <f t="shared" si="67"/>
        <v>0.59</v>
      </c>
      <c r="BL40" s="134">
        <f t="shared" si="68"/>
        <v>0</v>
      </c>
    </row>
    <row r="41" spans="1:64" ht="12.9" x14ac:dyDescent="0.35">
      <c r="A41" s="285" t="s">
        <v>33</v>
      </c>
      <c r="B41" s="237" t="s">
        <v>45</v>
      </c>
      <c r="C41" s="25" t="s">
        <v>197</v>
      </c>
      <c r="D41" s="25" t="s">
        <v>125</v>
      </c>
      <c r="E41" s="78">
        <f t="shared" si="8"/>
        <v>65.5</v>
      </c>
      <c r="F41" s="79">
        <v>39.5</v>
      </c>
      <c r="G41" s="80"/>
      <c r="H41" s="81">
        <v>26</v>
      </c>
      <c r="I41" s="78">
        <f t="shared" si="9"/>
        <v>0</v>
      </c>
      <c r="J41" s="79"/>
      <c r="K41" s="80"/>
      <c r="L41" s="81"/>
      <c r="M41" s="70">
        <f t="shared" si="10"/>
        <v>65.5</v>
      </c>
      <c r="N41" s="71">
        <f t="shared" si="11"/>
        <v>39.5</v>
      </c>
      <c r="O41" s="72">
        <f t="shared" si="12"/>
        <v>0</v>
      </c>
      <c r="P41" s="134">
        <f t="shared" si="13"/>
        <v>26</v>
      </c>
      <c r="Q41" s="78">
        <f t="shared" si="14"/>
        <v>0</v>
      </c>
      <c r="R41" s="79"/>
      <c r="S41" s="80"/>
      <c r="T41" s="81"/>
      <c r="U41" s="70">
        <f t="shared" si="15"/>
        <v>65.5</v>
      </c>
      <c r="V41" s="71">
        <f t="shared" si="16"/>
        <v>39.5</v>
      </c>
      <c r="W41" s="72">
        <f t="shared" si="17"/>
        <v>0</v>
      </c>
      <c r="X41" s="134">
        <f t="shared" si="18"/>
        <v>26</v>
      </c>
      <c r="Y41" s="78">
        <f t="shared" si="19"/>
        <v>0</v>
      </c>
      <c r="Z41" s="79"/>
      <c r="AA41" s="80"/>
      <c r="AB41" s="81"/>
      <c r="AC41" s="70">
        <f t="shared" si="20"/>
        <v>65.5</v>
      </c>
      <c r="AD41" s="71">
        <f t="shared" si="21"/>
        <v>39.5</v>
      </c>
      <c r="AE41" s="72">
        <f t="shared" si="22"/>
        <v>0</v>
      </c>
      <c r="AF41" s="134">
        <f t="shared" si="23"/>
        <v>26</v>
      </c>
      <c r="AG41" s="78">
        <f t="shared" si="24"/>
        <v>0</v>
      </c>
      <c r="AH41" s="79"/>
      <c r="AI41" s="80"/>
      <c r="AJ41" s="81"/>
      <c r="AK41" s="70">
        <f t="shared" si="25"/>
        <v>65.5</v>
      </c>
      <c r="AL41" s="71">
        <f t="shared" si="26"/>
        <v>39.5</v>
      </c>
      <c r="AM41" s="72">
        <f t="shared" si="52"/>
        <v>0</v>
      </c>
      <c r="AN41" s="134">
        <f t="shared" si="28"/>
        <v>26</v>
      </c>
      <c r="AO41" s="78">
        <f t="shared" si="29"/>
        <v>0</v>
      </c>
      <c r="AP41" s="79">
        <v>-0.56399999999999995</v>
      </c>
      <c r="AQ41" s="80"/>
      <c r="AR41" s="81">
        <v>0.56399999999999995</v>
      </c>
      <c r="AS41" s="70">
        <f t="shared" si="30"/>
        <v>65.5</v>
      </c>
      <c r="AT41" s="71">
        <f t="shared" si="31"/>
        <v>38.936</v>
      </c>
      <c r="AU41" s="72">
        <f t="shared" si="53"/>
        <v>0</v>
      </c>
      <c r="AV41" s="134">
        <f t="shared" si="33"/>
        <v>26.564</v>
      </c>
      <c r="AW41" s="78">
        <f t="shared" si="34"/>
        <v>0</v>
      </c>
      <c r="AX41" s="79">
        <v>9</v>
      </c>
      <c r="AY41" s="80"/>
      <c r="AZ41" s="81">
        <v>-9</v>
      </c>
      <c r="BA41" s="70">
        <f t="shared" si="35"/>
        <v>65.5</v>
      </c>
      <c r="BB41" s="71">
        <f t="shared" si="36"/>
        <v>47.936</v>
      </c>
      <c r="BC41" s="72">
        <f t="shared" si="54"/>
        <v>0</v>
      </c>
      <c r="BD41" s="134">
        <f t="shared" si="38"/>
        <v>17.564</v>
      </c>
      <c r="BE41" s="78">
        <f t="shared" si="39"/>
        <v>0</v>
      </c>
      <c r="BF41" s="79"/>
      <c r="BG41" s="80"/>
      <c r="BH41" s="81"/>
      <c r="BI41" s="70">
        <f t="shared" si="40"/>
        <v>65.5</v>
      </c>
      <c r="BJ41" s="71">
        <f t="shared" si="51"/>
        <v>47.936</v>
      </c>
      <c r="BK41" s="72">
        <f t="shared" si="67"/>
        <v>0</v>
      </c>
      <c r="BL41" s="134">
        <f t="shared" si="68"/>
        <v>17.564</v>
      </c>
    </row>
    <row r="42" spans="1:64" ht="12.9" x14ac:dyDescent="0.35">
      <c r="A42" s="287"/>
      <c r="B42" s="243"/>
      <c r="C42" s="25" t="s">
        <v>198</v>
      </c>
      <c r="D42" s="25" t="s">
        <v>38</v>
      </c>
      <c r="E42" s="78">
        <f t="shared" si="8"/>
        <v>169.2</v>
      </c>
      <c r="F42" s="79">
        <v>169.2</v>
      </c>
      <c r="G42" s="80">
        <v>1.5249999999999999</v>
      </c>
      <c r="H42" s="81"/>
      <c r="I42" s="78">
        <f t="shared" si="9"/>
        <v>0</v>
      </c>
      <c r="J42" s="79"/>
      <c r="K42" s="80"/>
      <c r="L42" s="81"/>
      <c r="M42" s="70">
        <f t="shared" si="10"/>
        <v>169.2</v>
      </c>
      <c r="N42" s="71">
        <f t="shared" si="11"/>
        <v>169.2</v>
      </c>
      <c r="O42" s="72">
        <f t="shared" si="12"/>
        <v>1.5249999999999999</v>
      </c>
      <c r="P42" s="134">
        <f t="shared" si="13"/>
        <v>0</v>
      </c>
      <c r="Q42" s="78">
        <f t="shared" si="14"/>
        <v>0</v>
      </c>
      <c r="R42" s="79"/>
      <c r="S42" s="80"/>
      <c r="T42" s="81"/>
      <c r="U42" s="70">
        <f t="shared" si="15"/>
        <v>169.2</v>
      </c>
      <c r="V42" s="71">
        <f t="shared" si="16"/>
        <v>169.2</v>
      </c>
      <c r="W42" s="72">
        <f t="shared" si="17"/>
        <v>1.5249999999999999</v>
      </c>
      <c r="X42" s="134">
        <f t="shared" si="18"/>
        <v>0</v>
      </c>
      <c r="Y42" s="78">
        <f t="shared" si="19"/>
        <v>0</v>
      </c>
      <c r="Z42" s="79"/>
      <c r="AA42" s="80"/>
      <c r="AB42" s="81"/>
      <c r="AC42" s="70">
        <f t="shared" si="20"/>
        <v>169.2</v>
      </c>
      <c r="AD42" s="71">
        <f t="shared" si="21"/>
        <v>169.2</v>
      </c>
      <c r="AE42" s="72">
        <f t="shared" si="22"/>
        <v>1.5249999999999999</v>
      </c>
      <c r="AF42" s="134">
        <f t="shared" si="23"/>
        <v>0</v>
      </c>
      <c r="AG42" s="78">
        <f t="shared" si="24"/>
        <v>0</v>
      </c>
      <c r="AH42" s="79"/>
      <c r="AI42" s="80"/>
      <c r="AJ42" s="81"/>
      <c r="AK42" s="70">
        <f t="shared" si="25"/>
        <v>169.2</v>
      </c>
      <c r="AL42" s="71">
        <f t="shared" si="26"/>
        <v>169.2</v>
      </c>
      <c r="AM42" s="72">
        <f t="shared" si="52"/>
        <v>1.5249999999999999</v>
      </c>
      <c r="AN42" s="134">
        <f t="shared" si="28"/>
        <v>0</v>
      </c>
      <c r="AO42" s="78">
        <f t="shared" si="29"/>
        <v>0</v>
      </c>
      <c r="AP42" s="79"/>
      <c r="AQ42" s="80"/>
      <c r="AR42" s="81"/>
      <c r="AS42" s="70">
        <f t="shared" si="30"/>
        <v>169.2</v>
      </c>
      <c r="AT42" s="71">
        <f t="shared" si="31"/>
        <v>169.2</v>
      </c>
      <c r="AU42" s="72">
        <f t="shared" si="53"/>
        <v>1.5249999999999999</v>
      </c>
      <c r="AV42" s="134">
        <f t="shared" si="33"/>
        <v>0</v>
      </c>
      <c r="AW42" s="78">
        <f t="shared" si="34"/>
        <v>-8</v>
      </c>
      <c r="AX42" s="79">
        <v>-8</v>
      </c>
      <c r="AY42" s="80"/>
      <c r="AZ42" s="81"/>
      <c r="BA42" s="70">
        <f t="shared" si="35"/>
        <v>161.19999999999999</v>
      </c>
      <c r="BB42" s="71">
        <f t="shared" si="36"/>
        <v>161.19999999999999</v>
      </c>
      <c r="BC42" s="72">
        <f t="shared" si="54"/>
        <v>1.5249999999999999</v>
      </c>
      <c r="BD42" s="134">
        <f t="shared" si="38"/>
        <v>0</v>
      </c>
      <c r="BE42" s="78">
        <f t="shared" si="39"/>
        <v>0</v>
      </c>
      <c r="BF42" s="79"/>
      <c r="BG42" s="80"/>
      <c r="BH42" s="81"/>
      <c r="BI42" s="70">
        <f t="shared" si="40"/>
        <v>161.19999999999999</v>
      </c>
      <c r="BJ42" s="71">
        <f t="shared" si="51"/>
        <v>161.19999999999999</v>
      </c>
      <c r="BK42" s="72">
        <f t="shared" si="67"/>
        <v>1.5249999999999999</v>
      </c>
      <c r="BL42" s="134">
        <f t="shared" si="68"/>
        <v>0</v>
      </c>
    </row>
    <row r="43" spans="1:64" ht="12.9" x14ac:dyDescent="0.35">
      <c r="A43" s="287"/>
      <c r="B43" s="243"/>
      <c r="C43" s="25" t="s">
        <v>199</v>
      </c>
      <c r="D43" s="40" t="s">
        <v>50</v>
      </c>
      <c r="E43" s="78">
        <f t="shared" si="8"/>
        <v>11.646000000000001</v>
      </c>
      <c r="F43" s="79">
        <v>11.646000000000001</v>
      </c>
      <c r="G43" s="80"/>
      <c r="H43" s="81"/>
      <c r="I43" s="78">
        <f t="shared" si="9"/>
        <v>0</v>
      </c>
      <c r="J43" s="79"/>
      <c r="K43" s="80"/>
      <c r="L43" s="81"/>
      <c r="M43" s="70">
        <f t="shared" si="10"/>
        <v>11.646000000000001</v>
      </c>
      <c r="N43" s="71">
        <f t="shared" si="11"/>
        <v>11.646000000000001</v>
      </c>
      <c r="O43" s="72">
        <f t="shared" si="12"/>
        <v>0</v>
      </c>
      <c r="P43" s="134">
        <f t="shared" si="13"/>
        <v>0</v>
      </c>
      <c r="Q43" s="78">
        <f t="shared" si="14"/>
        <v>0</v>
      </c>
      <c r="R43" s="79"/>
      <c r="S43" s="80"/>
      <c r="T43" s="81"/>
      <c r="U43" s="70">
        <f t="shared" si="15"/>
        <v>11.646000000000001</v>
      </c>
      <c r="V43" s="71">
        <f t="shared" si="16"/>
        <v>11.646000000000001</v>
      </c>
      <c r="W43" s="72">
        <f t="shared" si="17"/>
        <v>0</v>
      </c>
      <c r="X43" s="134">
        <f t="shared" si="18"/>
        <v>0</v>
      </c>
      <c r="Y43" s="78">
        <f t="shared" si="19"/>
        <v>-2.92</v>
      </c>
      <c r="Z43" s="79">
        <v>-2.92</v>
      </c>
      <c r="AA43" s="80"/>
      <c r="AB43" s="81"/>
      <c r="AC43" s="70">
        <f t="shared" si="20"/>
        <v>8.7260000000000009</v>
      </c>
      <c r="AD43" s="71">
        <f t="shared" si="21"/>
        <v>8.7260000000000009</v>
      </c>
      <c r="AE43" s="72">
        <f t="shared" si="22"/>
        <v>0</v>
      </c>
      <c r="AF43" s="134">
        <f t="shared" si="23"/>
        <v>0</v>
      </c>
      <c r="AG43" s="78">
        <f t="shared" si="24"/>
        <v>0</v>
      </c>
      <c r="AH43" s="79"/>
      <c r="AI43" s="80"/>
      <c r="AJ43" s="81"/>
      <c r="AK43" s="70">
        <f t="shared" si="25"/>
        <v>8.7260000000000009</v>
      </c>
      <c r="AL43" s="71">
        <f t="shared" si="26"/>
        <v>8.7260000000000009</v>
      </c>
      <c r="AM43" s="72">
        <f t="shared" si="52"/>
        <v>0</v>
      </c>
      <c r="AN43" s="134">
        <f t="shared" si="28"/>
        <v>0</v>
      </c>
      <c r="AO43" s="78">
        <f t="shared" si="29"/>
        <v>0</v>
      </c>
      <c r="AP43" s="79"/>
      <c r="AQ43" s="80"/>
      <c r="AR43" s="81"/>
      <c r="AS43" s="70">
        <f t="shared" si="30"/>
        <v>8.7260000000000009</v>
      </c>
      <c r="AT43" s="71">
        <f t="shared" si="31"/>
        <v>8.7260000000000009</v>
      </c>
      <c r="AU43" s="72">
        <f t="shared" si="53"/>
        <v>0</v>
      </c>
      <c r="AV43" s="134">
        <f t="shared" si="33"/>
        <v>0</v>
      </c>
      <c r="AW43" s="78">
        <f t="shared" si="34"/>
        <v>0</v>
      </c>
      <c r="AX43" s="79"/>
      <c r="AY43" s="80"/>
      <c r="AZ43" s="81"/>
      <c r="BA43" s="70">
        <f t="shared" si="35"/>
        <v>8.7260000000000009</v>
      </c>
      <c r="BB43" s="71">
        <f t="shared" si="36"/>
        <v>8.7260000000000009</v>
      </c>
      <c r="BC43" s="72">
        <f t="shared" si="54"/>
        <v>0</v>
      </c>
      <c r="BD43" s="134">
        <f t="shared" si="38"/>
        <v>0</v>
      </c>
      <c r="BE43" s="78">
        <f t="shared" si="39"/>
        <v>0</v>
      </c>
      <c r="BF43" s="79"/>
      <c r="BG43" s="80"/>
      <c r="BH43" s="81"/>
      <c r="BI43" s="70">
        <f t="shared" si="40"/>
        <v>8.7260000000000009</v>
      </c>
      <c r="BJ43" s="71">
        <f t="shared" si="51"/>
        <v>8.7260000000000009</v>
      </c>
      <c r="BK43" s="72">
        <f t="shared" si="67"/>
        <v>0</v>
      </c>
      <c r="BL43" s="134">
        <f t="shared" si="68"/>
        <v>0</v>
      </c>
    </row>
    <row r="44" spans="1:64" ht="12.9" x14ac:dyDescent="0.35">
      <c r="A44" s="287"/>
      <c r="B44" s="243"/>
      <c r="C44" s="25" t="s">
        <v>201</v>
      </c>
      <c r="D44" s="40" t="s">
        <v>137</v>
      </c>
      <c r="E44" s="78">
        <f t="shared" si="8"/>
        <v>0</v>
      </c>
      <c r="F44" s="79"/>
      <c r="G44" s="80"/>
      <c r="H44" s="81"/>
      <c r="I44" s="78">
        <f t="shared" si="9"/>
        <v>0</v>
      </c>
      <c r="J44" s="79"/>
      <c r="K44" s="80"/>
      <c r="L44" s="81"/>
      <c r="M44" s="70">
        <f t="shared" si="10"/>
        <v>0</v>
      </c>
      <c r="N44" s="71">
        <f t="shared" si="11"/>
        <v>0</v>
      </c>
      <c r="O44" s="72">
        <f t="shared" si="12"/>
        <v>0</v>
      </c>
      <c r="P44" s="134">
        <f t="shared" si="13"/>
        <v>0</v>
      </c>
      <c r="Q44" s="78">
        <f t="shared" si="14"/>
        <v>4.5049999999999999</v>
      </c>
      <c r="R44" s="79">
        <f>3.505+1</f>
        <v>4.5049999999999999</v>
      </c>
      <c r="S44" s="80"/>
      <c r="T44" s="81"/>
      <c r="U44" s="70">
        <f t="shared" si="15"/>
        <v>4.5049999999999999</v>
      </c>
      <c r="V44" s="71">
        <f t="shared" si="16"/>
        <v>4.5049999999999999</v>
      </c>
      <c r="W44" s="72">
        <f t="shared" si="17"/>
        <v>0</v>
      </c>
      <c r="X44" s="134">
        <f t="shared" si="18"/>
        <v>0</v>
      </c>
      <c r="Y44" s="78">
        <f t="shared" si="19"/>
        <v>0</v>
      </c>
      <c r="Z44" s="79"/>
      <c r="AA44" s="80"/>
      <c r="AB44" s="81"/>
      <c r="AC44" s="70">
        <f t="shared" si="20"/>
        <v>4.5049999999999999</v>
      </c>
      <c r="AD44" s="71">
        <f t="shared" si="21"/>
        <v>4.5049999999999999</v>
      </c>
      <c r="AE44" s="72">
        <f t="shared" si="22"/>
        <v>0</v>
      </c>
      <c r="AF44" s="134">
        <f t="shared" si="23"/>
        <v>0</v>
      </c>
      <c r="AG44" s="78">
        <f t="shared" si="24"/>
        <v>23.285</v>
      </c>
      <c r="AH44" s="79">
        <v>23.285</v>
      </c>
      <c r="AI44" s="80"/>
      <c r="AJ44" s="81"/>
      <c r="AK44" s="70">
        <f t="shared" si="25"/>
        <v>27.79</v>
      </c>
      <c r="AL44" s="71">
        <f t="shared" si="26"/>
        <v>27.79</v>
      </c>
      <c r="AM44" s="72">
        <f t="shared" si="52"/>
        <v>0</v>
      </c>
      <c r="AN44" s="134">
        <f t="shared" si="28"/>
        <v>0</v>
      </c>
      <c r="AO44" s="78">
        <f t="shared" si="29"/>
        <v>4.1109999999999998</v>
      </c>
      <c r="AP44" s="79">
        <v>4.1109999999999998</v>
      </c>
      <c r="AQ44" s="80"/>
      <c r="AR44" s="81"/>
      <c r="AS44" s="70">
        <f t="shared" si="30"/>
        <v>31.901</v>
      </c>
      <c r="AT44" s="71">
        <f t="shared" si="31"/>
        <v>31.901</v>
      </c>
      <c r="AU44" s="72">
        <f t="shared" si="53"/>
        <v>0</v>
      </c>
      <c r="AV44" s="134">
        <f t="shared" si="33"/>
        <v>0</v>
      </c>
      <c r="AW44" s="78">
        <f t="shared" si="34"/>
        <v>264.15299999999996</v>
      </c>
      <c r="AX44" s="79">
        <f>10.891+3.3+46.096+7.925+30.626+60.997+69.245+35.073</f>
        <v>264.15299999999996</v>
      </c>
      <c r="AY44" s="80">
        <v>3.766</v>
      </c>
      <c r="AZ44" s="81"/>
      <c r="BA44" s="70">
        <f t="shared" si="35"/>
        <v>296.05399999999997</v>
      </c>
      <c r="BB44" s="71">
        <f t="shared" si="36"/>
        <v>296.05399999999997</v>
      </c>
      <c r="BC44" s="72">
        <f t="shared" si="54"/>
        <v>3.766</v>
      </c>
      <c r="BD44" s="134">
        <f t="shared" si="38"/>
        <v>0</v>
      </c>
      <c r="BE44" s="78">
        <f t="shared" si="39"/>
        <v>142.47899999999998</v>
      </c>
      <c r="BF44" s="79">
        <f>2.815+5.132+114.937+19.595</f>
        <v>142.47899999999998</v>
      </c>
      <c r="BG44" s="80"/>
      <c r="BH44" s="81"/>
      <c r="BI44" s="70">
        <f t="shared" si="40"/>
        <v>438.53299999999996</v>
      </c>
      <c r="BJ44" s="71">
        <f t="shared" si="51"/>
        <v>438.53299999999996</v>
      </c>
      <c r="BK44" s="72">
        <f t="shared" si="67"/>
        <v>3.766</v>
      </c>
      <c r="BL44" s="134">
        <f t="shared" si="68"/>
        <v>0</v>
      </c>
    </row>
    <row r="45" spans="1:64" ht="12.9" x14ac:dyDescent="0.35">
      <c r="A45" s="286"/>
      <c r="B45" s="238"/>
      <c r="C45" s="25" t="s">
        <v>199</v>
      </c>
      <c r="D45" s="40" t="s">
        <v>187</v>
      </c>
      <c r="E45" s="78">
        <f t="shared" si="8"/>
        <v>1.4999999999999999E-2</v>
      </c>
      <c r="F45" s="79">
        <v>1.4999999999999999E-2</v>
      </c>
      <c r="G45" s="80"/>
      <c r="H45" s="81"/>
      <c r="I45" s="78">
        <f t="shared" si="9"/>
        <v>0</v>
      </c>
      <c r="J45" s="79"/>
      <c r="K45" s="80"/>
      <c r="L45" s="81"/>
      <c r="M45" s="70">
        <f t="shared" si="10"/>
        <v>1.4999999999999999E-2</v>
      </c>
      <c r="N45" s="71">
        <f t="shared" si="11"/>
        <v>1.4999999999999999E-2</v>
      </c>
      <c r="O45" s="72">
        <f t="shared" si="12"/>
        <v>0</v>
      </c>
      <c r="P45" s="134">
        <f t="shared" si="13"/>
        <v>0</v>
      </c>
      <c r="Q45" s="78">
        <f t="shared" si="14"/>
        <v>0</v>
      </c>
      <c r="R45" s="79"/>
      <c r="S45" s="80"/>
      <c r="T45" s="81"/>
      <c r="U45" s="70">
        <f t="shared" si="15"/>
        <v>1.4999999999999999E-2</v>
      </c>
      <c r="V45" s="71">
        <f t="shared" si="16"/>
        <v>1.4999999999999999E-2</v>
      </c>
      <c r="W45" s="72">
        <f t="shared" si="17"/>
        <v>0</v>
      </c>
      <c r="X45" s="134">
        <f t="shared" si="18"/>
        <v>0</v>
      </c>
      <c r="Y45" s="78">
        <f t="shared" si="19"/>
        <v>14.01</v>
      </c>
      <c r="Z45" s="79">
        <v>14.01</v>
      </c>
      <c r="AA45" s="80"/>
      <c r="AB45" s="81"/>
      <c r="AC45" s="70">
        <f t="shared" si="20"/>
        <v>14.025</v>
      </c>
      <c r="AD45" s="71">
        <f t="shared" si="21"/>
        <v>14.025</v>
      </c>
      <c r="AE45" s="72">
        <f t="shared" si="22"/>
        <v>0</v>
      </c>
      <c r="AF45" s="134">
        <f t="shared" si="23"/>
        <v>0</v>
      </c>
      <c r="AG45" s="78">
        <f t="shared" si="24"/>
        <v>2.2189999999999999</v>
      </c>
      <c r="AH45" s="79">
        <v>2.2189999999999999</v>
      </c>
      <c r="AI45" s="80"/>
      <c r="AJ45" s="81"/>
      <c r="AK45" s="70">
        <f t="shared" si="25"/>
        <v>16.244</v>
      </c>
      <c r="AL45" s="71">
        <f t="shared" si="26"/>
        <v>16.244</v>
      </c>
      <c r="AM45" s="72">
        <f t="shared" si="52"/>
        <v>0</v>
      </c>
      <c r="AN45" s="134">
        <f t="shared" si="28"/>
        <v>0</v>
      </c>
      <c r="AO45" s="78">
        <f t="shared" si="29"/>
        <v>0</v>
      </c>
      <c r="AP45" s="79"/>
      <c r="AQ45" s="80"/>
      <c r="AR45" s="81"/>
      <c r="AS45" s="70">
        <f t="shared" si="30"/>
        <v>16.244</v>
      </c>
      <c r="AT45" s="71">
        <f t="shared" si="31"/>
        <v>16.244</v>
      </c>
      <c r="AU45" s="72">
        <f t="shared" si="53"/>
        <v>0</v>
      </c>
      <c r="AV45" s="134">
        <f t="shared" si="33"/>
        <v>0</v>
      </c>
      <c r="AW45" s="78">
        <f t="shared" si="34"/>
        <v>0</v>
      </c>
      <c r="AX45" s="79"/>
      <c r="AY45" s="80"/>
      <c r="AZ45" s="81"/>
      <c r="BA45" s="70">
        <f t="shared" si="35"/>
        <v>16.244</v>
      </c>
      <c r="BB45" s="71">
        <f t="shared" si="36"/>
        <v>16.244</v>
      </c>
      <c r="BC45" s="72">
        <f t="shared" si="54"/>
        <v>0</v>
      </c>
      <c r="BD45" s="134">
        <f t="shared" si="38"/>
        <v>0</v>
      </c>
      <c r="BE45" s="78">
        <f t="shared" si="39"/>
        <v>12.98</v>
      </c>
      <c r="BF45" s="79">
        <v>12.18</v>
      </c>
      <c r="BG45" s="80"/>
      <c r="BH45" s="81">
        <v>0.8</v>
      </c>
      <c r="BI45" s="70">
        <f t="shared" si="40"/>
        <v>29.224</v>
      </c>
      <c r="BJ45" s="71">
        <f t="shared" si="51"/>
        <v>28.423999999999999</v>
      </c>
      <c r="BK45" s="72">
        <f t="shared" si="67"/>
        <v>0</v>
      </c>
      <c r="BL45" s="134">
        <f t="shared" si="68"/>
        <v>0.8</v>
      </c>
    </row>
    <row r="46" spans="1:64" ht="12.9" x14ac:dyDescent="0.35">
      <c r="A46" s="285" t="s">
        <v>32</v>
      </c>
      <c r="B46" s="237" t="s">
        <v>46</v>
      </c>
      <c r="C46" s="25" t="s">
        <v>201</v>
      </c>
      <c r="D46" s="25" t="s">
        <v>125</v>
      </c>
      <c r="E46" s="78">
        <f t="shared" si="8"/>
        <v>2696.3390000000004</v>
      </c>
      <c r="F46" s="79">
        <v>2569.7510000000002</v>
      </c>
      <c r="G46" s="80">
        <v>989.66</v>
      </c>
      <c r="H46" s="81">
        <v>126.58799999999999</v>
      </c>
      <c r="I46" s="78">
        <f t="shared" si="9"/>
        <v>0</v>
      </c>
      <c r="J46" s="79"/>
      <c r="K46" s="80"/>
      <c r="L46" s="81"/>
      <c r="M46" s="70">
        <f t="shared" si="10"/>
        <v>2696.3390000000004</v>
      </c>
      <c r="N46" s="71">
        <f t="shared" si="11"/>
        <v>2569.7510000000002</v>
      </c>
      <c r="O46" s="72">
        <f t="shared" si="12"/>
        <v>989.66</v>
      </c>
      <c r="P46" s="134">
        <f t="shared" si="13"/>
        <v>126.58799999999999</v>
      </c>
      <c r="Q46" s="78">
        <f t="shared" si="14"/>
        <v>0</v>
      </c>
      <c r="R46" s="79"/>
      <c r="S46" s="80"/>
      <c r="T46" s="81"/>
      <c r="U46" s="70">
        <f t="shared" si="15"/>
        <v>2696.3390000000004</v>
      </c>
      <c r="V46" s="71">
        <f t="shared" si="16"/>
        <v>2569.7510000000002</v>
      </c>
      <c r="W46" s="72">
        <f t="shared" si="17"/>
        <v>989.66</v>
      </c>
      <c r="X46" s="134">
        <f t="shared" si="18"/>
        <v>126.58799999999999</v>
      </c>
      <c r="Y46" s="78">
        <f t="shared" si="19"/>
        <v>0</v>
      </c>
      <c r="Z46" s="79">
        <v>9.8010000000000002</v>
      </c>
      <c r="AA46" s="80">
        <v>-2.4990000000000001</v>
      </c>
      <c r="AB46" s="81">
        <v>-9.8010000000000002</v>
      </c>
      <c r="AC46" s="70">
        <f t="shared" si="20"/>
        <v>2696.3389999999999</v>
      </c>
      <c r="AD46" s="71">
        <f t="shared" si="21"/>
        <v>2579.5520000000001</v>
      </c>
      <c r="AE46" s="72">
        <f t="shared" si="22"/>
        <v>987.16099999999994</v>
      </c>
      <c r="AF46" s="134">
        <f t="shared" si="23"/>
        <v>116.78699999999999</v>
      </c>
      <c r="AG46" s="78">
        <f t="shared" si="24"/>
        <v>0</v>
      </c>
      <c r="AH46" s="79"/>
      <c r="AI46" s="80"/>
      <c r="AJ46" s="81"/>
      <c r="AK46" s="70">
        <f t="shared" si="25"/>
        <v>2696.3389999999999</v>
      </c>
      <c r="AL46" s="71">
        <f t="shared" si="26"/>
        <v>2579.5520000000001</v>
      </c>
      <c r="AM46" s="72">
        <f t="shared" si="52"/>
        <v>987.16099999999994</v>
      </c>
      <c r="AN46" s="134">
        <f t="shared" si="28"/>
        <v>116.78699999999999</v>
      </c>
      <c r="AO46" s="78">
        <f t="shared" si="29"/>
        <v>0</v>
      </c>
      <c r="AP46" s="79"/>
      <c r="AQ46" s="80"/>
      <c r="AR46" s="81"/>
      <c r="AS46" s="70">
        <f t="shared" si="30"/>
        <v>2696.3389999999999</v>
      </c>
      <c r="AT46" s="71">
        <f t="shared" si="31"/>
        <v>2579.5520000000001</v>
      </c>
      <c r="AU46" s="72">
        <f t="shared" si="53"/>
        <v>987.16099999999994</v>
      </c>
      <c r="AV46" s="134">
        <f t="shared" si="33"/>
        <v>116.78699999999999</v>
      </c>
      <c r="AW46" s="78">
        <f t="shared" si="34"/>
        <v>26.277999999999999</v>
      </c>
      <c r="AX46" s="79">
        <v>12.077999999999999</v>
      </c>
      <c r="AY46" s="80"/>
      <c r="AZ46" s="81">
        <v>14.2</v>
      </c>
      <c r="BA46" s="70">
        <f t="shared" si="35"/>
        <v>2722.6170000000002</v>
      </c>
      <c r="BB46" s="71">
        <f t="shared" si="36"/>
        <v>2591.63</v>
      </c>
      <c r="BC46" s="72">
        <f t="shared" si="54"/>
        <v>987.16099999999994</v>
      </c>
      <c r="BD46" s="134">
        <f t="shared" si="38"/>
        <v>130.98699999999999</v>
      </c>
      <c r="BE46" s="78">
        <f t="shared" si="39"/>
        <v>0</v>
      </c>
      <c r="BF46" s="79"/>
      <c r="BG46" s="80"/>
      <c r="BH46" s="81"/>
      <c r="BI46" s="70">
        <f t="shared" si="40"/>
        <v>2722.6170000000002</v>
      </c>
      <c r="BJ46" s="71">
        <f t="shared" si="51"/>
        <v>2591.63</v>
      </c>
      <c r="BK46" s="72">
        <f t="shared" si="67"/>
        <v>987.16099999999994</v>
      </c>
      <c r="BL46" s="134">
        <f t="shared" si="68"/>
        <v>130.98699999999999</v>
      </c>
    </row>
    <row r="47" spans="1:64" ht="12.9" x14ac:dyDescent="0.35">
      <c r="A47" s="287"/>
      <c r="B47" s="243"/>
      <c r="C47" s="25" t="s">
        <v>202</v>
      </c>
      <c r="D47" s="25" t="s">
        <v>50</v>
      </c>
      <c r="E47" s="78">
        <f t="shared" si="8"/>
        <v>78.391999999999996</v>
      </c>
      <c r="F47" s="79">
        <v>55.895000000000003</v>
      </c>
      <c r="G47" s="80"/>
      <c r="H47" s="81">
        <v>22.497</v>
      </c>
      <c r="I47" s="78">
        <f t="shared" si="9"/>
        <v>0</v>
      </c>
      <c r="J47" s="79"/>
      <c r="K47" s="80"/>
      <c r="L47" s="81"/>
      <c r="M47" s="70">
        <f t="shared" si="10"/>
        <v>78.391999999999996</v>
      </c>
      <c r="N47" s="71">
        <f t="shared" si="11"/>
        <v>55.895000000000003</v>
      </c>
      <c r="O47" s="72">
        <f t="shared" si="12"/>
        <v>0</v>
      </c>
      <c r="P47" s="134">
        <f t="shared" si="13"/>
        <v>22.497</v>
      </c>
      <c r="Q47" s="78">
        <f t="shared" si="14"/>
        <v>0</v>
      </c>
      <c r="R47" s="79"/>
      <c r="S47" s="80"/>
      <c r="T47" s="81"/>
      <c r="U47" s="70">
        <f t="shared" si="15"/>
        <v>78.391999999999996</v>
      </c>
      <c r="V47" s="71">
        <f t="shared" si="16"/>
        <v>55.895000000000003</v>
      </c>
      <c r="W47" s="72">
        <f t="shared" si="17"/>
        <v>0</v>
      </c>
      <c r="X47" s="134">
        <f t="shared" si="18"/>
        <v>22.497</v>
      </c>
      <c r="Y47" s="78">
        <f t="shared" si="19"/>
        <v>0</v>
      </c>
      <c r="Z47" s="79">
        <v>6</v>
      </c>
      <c r="AA47" s="80"/>
      <c r="AB47" s="81">
        <v>-6</v>
      </c>
      <c r="AC47" s="70">
        <f t="shared" si="20"/>
        <v>78.391999999999996</v>
      </c>
      <c r="AD47" s="71">
        <f t="shared" si="21"/>
        <v>61.895000000000003</v>
      </c>
      <c r="AE47" s="72">
        <f t="shared" si="22"/>
        <v>0</v>
      </c>
      <c r="AF47" s="134">
        <f t="shared" si="23"/>
        <v>16.497</v>
      </c>
      <c r="AG47" s="78">
        <f t="shared" si="24"/>
        <v>0</v>
      </c>
      <c r="AH47" s="79"/>
      <c r="AI47" s="80"/>
      <c r="AJ47" s="81"/>
      <c r="AK47" s="70">
        <f t="shared" si="25"/>
        <v>78.391999999999996</v>
      </c>
      <c r="AL47" s="71">
        <f t="shared" si="26"/>
        <v>61.895000000000003</v>
      </c>
      <c r="AM47" s="72">
        <f t="shared" si="52"/>
        <v>0</v>
      </c>
      <c r="AN47" s="134">
        <f t="shared" si="28"/>
        <v>16.497</v>
      </c>
      <c r="AO47" s="78">
        <f t="shared" si="29"/>
        <v>0</v>
      </c>
      <c r="AP47" s="79"/>
      <c r="AQ47" s="80"/>
      <c r="AR47" s="81"/>
      <c r="AS47" s="70">
        <f t="shared" si="30"/>
        <v>78.391999999999996</v>
      </c>
      <c r="AT47" s="71">
        <f t="shared" si="31"/>
        <v>61.895000000000003</v>
      </c>
      <c r="AU47" s="72">
        <f t="shared" si="53"/>
        <v>0</v>
      </c>
      <c r="AV47" s="134">
        <f t="shared" si="33"/>
        <v>16.497</v>
      </c>
      <c r="AW47" s="78">
        <f t="shared" si="34"/>
        <v>0</v>
      </c>
      <c r="AX47" s="79"/>
      <c r="AY47" s="80"/>
      <c r="AZ47" s="81"/>
      <c r="BA47" s="70">
        <f t="shared" si="35"/>
        <v>78.391999999999996</v>
      </c>
      <c r="BB47" s="71">
        <f t="shared" si="36"/>
        <v>61.895000000000003</v>
      </c>
      <c r="BC47" s="72">
        <f t="shared" si="54"/>
        <v>0</v>
      </c>
      <c r="BD47" s="134">
        <f t="shared" si="38"/>
        <v>16.497</v>
      </c>
      <c r="BE47" s="78">
        <f t="shared" si="39"/>
        <v>0</v>
      </c>
      <c r="BF47" s="79"/>
      <c r="BG47" s="80"/>
      <c r="BH47" s="81"/>
      <c r="BI47" s="70">
        <f t="shared" si="40"/>
        <v>78.391999999999996</v>
      </c>
      <c r="BJ47" s="71">
        <f t="shared" si="51"/>
        <v>61.895000000000003</v>
      </c>
      <c r="BK47" s="72">
        <f t="shared" si="67"/>
        <v>0</v>
      </c>
      <c r="BL47" s="134">
        <f t="shared" si="68"/>
        <v>16.497</v>
      </c>
    </row>
    <row r="48" spans="1:64" ht="12.9" hidden="1" x14ac:dyDescent="0.35">
      <c r="A48" s="287"/>
      <c r="B48" s="243"/>
      <c r="C48" s="25" t="s">
        <v>205</v>
      </c>
      <c r="D48" s="25" t="s">
        <v>187</v>
      </c>
      <c r="E48" s="78">
        <f t="shared" si="8"/>
        <v>0</v>
      </c>
      <c r="F48" s="79"/>
      <c r="G48" s="80"/>
      <c r="H48" s="81"/>
      <c r="I48" s="78">
        <f t="shared" si="9"/>
        <v>0</v>
      </c>
      <c r="J48" s="79"/>
      <c r="K48" s="80"/>
      <c r="L48" s="81"/>
      <c r="M48" s="70">
        <f t="shared" si="10"/>
        <v>0</v>
      </c>
      <c r="N48" s="71">
        <f t="shared" si="11"/>
        <v>0</v>
      </c>
      <c r="O48" s="72">
        <f t="shared" si="12"/>
        <v>0</v>
      </c>
      <c r="P48" s="134">
        <f t="shared" si="13"/>
        <v>0</v>
      </c>
      <c r="Q48" s="78">
        <f t="shared" si="14"/>
        <v>0</v>
      </c>
      <c r="R48" s="79"/>
      <c r="S48" s="80"/>
      <c r="T48" s="81"/>
      <c r="U48" s="70">
        <f t="shared" si="15"/>
        <v>0</v>
      </c>
      <c r="V48" s="71">
        <f t="shared" si="16"/>
        <v>0</v>
      </c>
      <c r="W48" s="72">
        <f t="shared" si="17"/>
        <v>0</v>
      </c>
      <c r="X48" s="134">
        <f t="shared" si="18"/>
        <v>0</v>
      </c>
      <c r="Y48" s="78">
        <f t="shared" si="19"/>
        <v>0</v>
      </c>
      <c r="Z48" s="79"/>
      <c r="AA48" s="80"/>
      <c r="AB48" s="81"/>
      <c r="AC48" s="70">
        <f t="shared" si="20"/>
        <v>0</v>
      </c>
      <c r="AD48" s="71">
        <f t="shared" si="21"/>
        <v>0</v>
      </c>
      <c r="AE48" s="72">
        <f t="shared" si="22"/>
        <v>0</v>
      </c>
      <c r="AF48" s="134">
        <f t="shared" si="23"/>
        <v>0</v>
      </c>
      <c r="AG48" s="78">
        <f t="shared" si="24"/>
        <v>0</v>
      </c>
      <c r="AH48" s="79"/>
      <c r="AI48" s="80"/>
      <c r="AJ48" s="81"/>
      <c r="AK48" s="70">
        <f t="shared" si="25"/>
        <v>0</v>
      </c>
      <c r="AL48" s="71">
        <f t="shared" si="26"/>
        <v>0</v>
      </c>
      <c r="AM48" s="72">
        <f t="shared" si="52"/>
        <v>0</v>
      </c>
      <c r="AN48" s="134">
        <f t="shared" si="28"/>
        <v>0</v>
      </c>
      <c r="AO48" s="78">
        <f t="shared" si="29"/>
        <v>0</v>
      </c>
      <c r="AP48" s="79"/>
      <c r="AQ48" s="80"/>
      <c r="AR48" s="81"/>
      <c r="AS48" s="70">
        <f t="shared" si="30"/>
        <v>0</v>
      </c>
      <c r="AT48" s="71">
        <f t="shared" si="31"/>
        <v>0</v>
      </c>
      <c r="AU48" s="72">
        <f t="shared" si="53"/>
        <v>0</v>
      </c>
      <c r="AV48" s="134">
        <f t="shared" si="33"/>
        <v>0</v>
      </c>
      <c r="AW48" s="78">
        <f t="shared" si="34"/>
        <v>0</v>
      </c>
      <c r="AX48" s="79"/>
      <c r="AY48" s="80"/>
      <c r="AZ48" s="81"/>
      <c r="BA48" s="70">
        <f t="shared" si="35"/>
        <v>0</v>
      </c>
      <c r="BB48" s="71">
        <f t="shared" si="36"/>
        <v>0</v>
      </c>
      <c r="BC48" s="72">
        <f t="shared" si="54"/>
        <v>0</v>
      </c>
      <c r="BD48" s="134">
        <f t="shared" si="38"/>
        <v>0</v>
      </c>
      <c r="BE48" s="78">
        <f t="shared" si="39"/>
        <v>0</v>
      </c>
      <c r="BF48" s="79"/>
      <c r="BG48" s="80"/>
      <c r="BH48" s="81"/>
      <c r="BI48" s="70">
        <f t="shared" si="40"/>
        <v>0</v>
      </c>
      <c r="BJ48" s="71">
        <f t="shared" si="51"/>
        <v>0</v>
      </c>
      <c r="BK48" s="72">
        <f t="shared" si="67"/>
        <v>0</v>
      </c>
      <c r="BL48" s="134">
        <f t="shared" si="68"/>
        <v>0</v>
      </c>
    </row>
    <row r="49" spans="1:64" ht="12.9" hidden="1" x14ac:dyDescent="0.35">
      <c r="A49" s="286"/>
      <c r="B49" s="238"/>
      <c r="C49" s="25" t="s">
        <v>207</v>
      </c>
      <c r="D49" s="25" t="s">
        <v>137</v>
      </c>
      <c r="E49" s="78">
        <f t="shared" si="8"/>
        <v>0</v>
      </c>
      <c r="F49" s="79"/>
      <c r="G49" s="80"/>
      <c r="H49" s="81"/>
      <c r="I49" s="78">
        <f t="shared" si="9"/>
        <v>0</v>
      </c>
      <c r="J49" s="79"/>
      <c r="K49" s="80"/>
      <c r="L49" s="81"/>
      <c r="M49" s="70">
        <f t="shared" si="10"/>
        <v>0</v>
      </c>
      <c r="N49" s="71">
        <f t="shared" si="11"/>
        <v>0</v>
      </c>
      <c r="O49" s="72">
        <f t="shared" si="12"/>
        <v>0</v>
      </c>
      <c r="P49" s="134">
        <f t="shared" si="13"/>
        <v>0</v>
      </c>
      <c r="Q49" s="78">
        <f t="shared" si="14"/>
        <v>0</v>
      </c>
      <c r="R49" s="79"/>
      <c r="S49" s="80"/>
      <c r="T49" s="81"/>
      <c r="U49" s="70">
        <f t="shared" si="15"/>
        <v>0</v>
      </c>
      <c r="V49" s="71">
        <f t="shared" si="16"/>
        <v>0</v>
      </c>
      <c r="W49" s="72">
        <f t="shared" si="17"/>
        <v>0</v>
      </c>
      <c r="X49" s="134">
        <f t="shared" si="18"/>
        <v>0</v>
      </c>
      <c r="Y49" s="78">
        <f t="shared" si="19"/>
        <v>0</v>
      </c>
      <c r="Z49" s="79"/>
      <c r="AA49" s="80"/>
      <c r="AB49" s="81"/>
      <c r="AC49" s="70">
        <f t="shared" si="20"/>
        <v>0</v>
      </c>
      <c r="AD49" s="71">
        <f t="shared" si="21"/>
        <v>0</v>
      </c>
      <c r="AE49" s="72">
        <f t="shared" si="22"/>
        <v>0</v>
      </c>
      <c r="AF49" s="134">
        <f t="shared" si="23"/>
        <v>0</v>
      </c>
      <c r="AG49" s="78">
        <f t="shared" si="24"/>
        <v>0</v>
      </c>
      <c r="AH49" s="79"/>
      <c r="AI49" s="80"/>
      <c r="AJ49" s="81"/>
      <c r="AK49" s="70">
        <f t="shared" si="25"/>
        <v>0</v>
      </c>
      <c r="AL49" s="71">
        <f t="shared" si="26"/>
        <v>0</v>
      </c>
      <c r="AM49" s="72">
        <f t="shared" si="52"/>
        <v>0</v>
      </c>
      <c r="AN49" s="134">
        <f t="shared" si="28"/>
        <v>0</v>
      </c>
      <c r="AO49" s="78">
        <f t="shared" si="29"/>
        <v>0</v>
      </c>
      <c r="AP49" s="79"/>
      <c r="AQ49" s="80"/>
      <c r="AR49" s="81"/>
      <c r="AS49" s="70">
        <f t="shared" si="30"/>
        <v>0</v>
      </c>
      <c r="AT49" s="71">
        <f t="shared" si="31"/>
        <v>0</v>
      </c>
      <c r="AU49" s="72">
        <f t="shared" si="53"/>
        <v>0</v>
      </c>
      <c r="AV49" s="134">
        <f t="shared" si="33"/>
        <v>0</v>
      </c>
      <c r="AW49" s="78">
        <f t="shared" si="34"/>
        <v>0</v>
      </c>
      <c r="AX49" s="79"/>
      <c r="AY49" s="80"/>
      <c r="AZ49" s="81"/>
      <c r="BA49" s="70">
        <f t="shared" si="35"/>
        <v>0</v>
      </c>
      <c r="BB49" s="71">
        <f t="shared" si="36"/>
        <v>0</v>
      </c>
      <c r="BC49" s="72">
        <f t="shared" si="54"/>
        <v>0</v>
      </c>
      <c r="BD49" s="134">
        <f t="shared" si="38"/>
        <v>0</v>
      </c>
      <c r="BE49" s="78">
        <f t="shared" si="39"/>
        <v>0</v>
      </c>
      <c r="BF49" s="79"/>
      <c r="BG49" s="80"/>
      <c r="BH49" s="81"/>
      <c r="BI49" s="70">
        <f t="shared" si="40"/>
        <v>0</v>
      </c>
      <c r="BJ49" s="71">
        <f t="shared" si="51"/>
        <v>0</v>
      </c>
      <c r="BK49" s="72">
        <f t="shared" si="67"/>
        <v>0</v>
      </c>
      <c r="BL49" s="134">
        <f t="shared" si="68"/>
        <v>0</v>
      </c>
    </row>
    <row r="50" spans="1:64" ht="12.9" x14ac:dyDescent="0.35">
      <c r="A50" s="285" t="s">
        <v>40</v>
      </c>
      <c r="B50" s="237" t="s">
        <v>47</v>
      </c>
      <c r="C50" s="25" t="s">
        <v>208</v>
      </c>
      <c r="D50" s="25" t="s">
        <v>125</v>
      </c>
      <c r="E50" s="78">
        <f t="shared" si="8"/>
        <v>1830.8040000000001</v>
      </c>
      <c r="F50" s="79">
        <f>534.054-4</f>
        <v>530.05399999999997</v>
      </c>
      <c r="G50" s="80"/>
      <c r="H50" s="81">
        <f>1296.75+4</f>
        <v>1300.75</v>
      </c>
      <c r="I50" s="78">
        <f t="shared" si="9"/>
        <v>0</v>
      </c>
      <c r="J50" s="79"/>
      <c r="K50" s="80"/>
      <c r="L50" s="81"/>
      <c r="M50" s="70">
        <f t="shared" si="10"/>
        <v>1830.8040000000001</v>
      </c>
      <c r="N50" s="71">
        <f t="shared" si="11"/>
        <v>530.05399999999997</v>
      </c>
      <c r="O50" s="72">
        <f t="shared" si="12"/>
        <v>0</v>
      </c>
      <c r="P50" s="134">
        <f t="shared" si="13"/>
        <v>1300.75</v>
      </c>
      <c r="Q50" s="78">
        <f t="shared" si="14"/>
        <v>0</v>
      </c>
      <c r="R50" s="79"/>
      <c r="S50" s="80"/>
      <c r="T50" s="81"/>
      <c r="U50" s="70">
        <f t="shared" si="15"/>
        <v>1830.8040000000001</v>
      </c>
      <c r="V50" s="71">
        <f t="shared" si="16"/>
        <v>530.05399999999997</v>
      </c>
      <c r="W50" s="72">
        <f t="shared" si="17"/>
        <v>0</v>
      </c>
      <c r="X50" s="134">
        <f t="shared" si="18"/>
        <v>1300.75</v>
      </c>
      <c r="Y50" s="78">
        <f t="shared" si="19"/>
        <v>0</v>
      </c>
      <c r="Z50" s="79">
        <v>4</v>
      </c>
      <c r="AA50" s="80"/>
      <c r="AB50" s="81">
        <v>-4</v>
      </c>
      <c r="AC50" s="70">
        <f t="shared" si="20"/>
        <v>1830.8040000000001</v>
      </c>
      <c r="AD50" s="71">
        <f t="shared" si="21"/>
        <v>534.05399999999997</v>
      </c>
      <c r="AE50" s="72">
        <f t="shared" si="22"/>
        <v>0</v>
      </c>
      <c r="AF50" s="134">
        <f t="shared" si="23"/>
        <v>1296.75</v>
      </c>
      <c r="AG50" s="78">
        <f t="shared" si="24"/>
        <v>0</v>
      </c>
      <c r="AH50" s="79"/>
      <c r="AI50" s="80"/>
      <c r="AJ50" s="81"/>
      <c r="AK50" s="70">
        <f t="shared" si="25"/>
        <v>1830.8040000000001</v>
      </c>
      <c r="AL50" s="71">
        <f t="shared" si="26"/>
        <v>534.05399999999997</v>
      </c>
      <c r="AM50" s="72">
        <f t="shared" si="52"/>
        <v>0</v>
      </c>
      <c r="AN50" s="134">
        <f t="shared" si="28"/>
        <v>1296.75</v>
      </c>
      <c r="AO50" s="78">
        <f t="shared" si="29"/>
        <v>0</v>
      </c>
      <c r="AP50" s="79">
        <v>10</v>
      </c>
      <c r="AQ50" s="80"/>
      <c r="AR50" s="81">
        <v>-10</v>
      </c>
      <c r="AS50" s="70">
        <f t="shared" si="30"/>
        <v>1830.8040000000001</v>
      </c>
      <c r="AT50" s="71">
        <f t="shared" si="31"/>
        <v>544.05399999999997</v>
      </c>
      <c r="AU50" s="72">
        <f t="shared" si="53"/>
        <v>0</v>
      </c>
      <c r="AV50" s="134">
        <f t="shared" si="33"/>
        <v>1286.75</v>
      </c>
      <c r="AW50" s="78">
        <f t="shared" si="34"/>
        <v>0</v>
      </c>
      <c r="AX50" s="79">
        <v>4</v>
      </c>
      <c r="AY50" s="80"/>
      <c r="AZ50" s="81">
        <v>-4</v>
      </c>
      <c r="BA50" s="70">
        <f t="shared" si="35"/>
        <v>1830.8040000000001</v>
      </c>
      <c r="BB50" s="71">
        <f t="shared" si="36"/>
        <v>548.05399999999997</v>
      </c>
      <c r="BC50" s="72">
        <f t="shared" si="54"/>
        <v>0</v>
      </c>
      <c r="BD50" s="134">
        <f t="shared" si="38"/>
        <v>1282.75</v>
      </c>
      <c r="BE50" s="78">
        <f t="shared" si="39"/>
        <v>0</v>
      </c>
      <c r="BF50" s="79">
        <v>0.28999999999999998</v>
      </c>
      <c r="BG50" s="80"/>
      <c r="BH50" s="81">
        <v>-0.28999999999999998</v>
      </c>
      <c r="BI50" s="70">
        <f t="shared" si="40"/>
        <v>1830.8040000000001</v>
      </c>
      <c r="BJ50" s="71">
        <f t="shared" si="51"/>
        <v>548.34399999999994</v>
      </c>
      <c r="BK50" s="72">
        <f t="shared" si="67"/>
        <v>0</v>
      </c>
      <c r="BL50" s="134">
        <f t="shared" si="68"/>
        <v>1282.46</v>
      </c>
    </row>
    <row r="51" spans="1:64" ht="12.9" x14ac:dyDescent="0.35">
      <c r="A51" s="287"/>
      <c r="B51" s="243"/>
      <c r="C51" s="25" t="s">
        <v>208</v>
      </c>
      <c r="D51" s="25" t="s">
        <v>38</v>
      </c>
      <c r="E51" s="78">
        <f t="shared" si="8"/>
        <v>174.04</v>
      </c>
      <c r="F51" s="79">
        <v>174.04</v>
      </c>
      <c r="G51" s="80">
        <v>101.99</v>
      </c>
      <c r="H51" s="81"/>
      <c r="I51" s="78">
        <f t="shared" si="9"/>
        <v>0</v>
      </c>
      <c r="J51" s="79"/>
      <c r="K51" s="80"/>
      <c r="L51" s="81"/>
      <c r="M51" s="70">
        <f t="shared" si="10"/>
        <v>174.04</v>
      </c>
      <c r="N51" s="71">
        <f t="shared" si="11"/>
        <v>174.04</v>
      </c>
      <c r="O51" s="72">
        <f t="shared" si="12"/>
        <v>101.99</v>
      </c>
      <c r="P51" s="134">
        <f t="shared" si="13"/>
        <v>0</v>
      </c>
      <c r="Q51" s="78">
        <f t="shared" si="14"/>
        <v>-6.6</v>
      </c>
      <c r="R51" s="79">
        <v>-6.6</v>
      </c>
      <c r="S51" s="80">
        <v>-6.46</v>
      </c>
      <c r="T51" s="81"/>
      <c r="U51" s="70">
        <f t="shared" si="15"/>
        <v>167.44</v>
      </c>
      <c r="V51" s="71">
        <f t="shared" si="16"/>
        <v>167.44</v>
      </c>
      <c r="W51" s="72">
        <f t="shared" si="17"/>
        <v>95.53</v>
      </c>
      <c r="X51" s="134">
        <f t="shared" si="18"/>
        <v>0</v>
      </c>
      <c r="Y51" s="78">
        <f t="shared" si="19"/>
        <v>0</v>
      </c>
      <c r="Z51" s="79"/>
      <c r="AA51" s="80"/>
      <c r="AB51" s="81"/>
      <c r="AC51" s="70">
        <f t="shared" si="20"/>
        <v>167.44</v>
      </c>
      <c r="AD51" s="71">
        <f t="shared" si="21"/>
        <v>167.44</v>
      </c>
      <c r="AE51" s="72">
        <f t="shared" si="22"/>
        <v>95.53</v>
      </c>
      <c r="AF51" s="134">
        <f t="shared" si="23"/>
        <v>0</v>
      </c>
      <c r="AG51" s="78">
        <f t="shared" si="24"/>
        <v>0</v>
      </c>
      <c r="AH51" s="79"/>
      <c r="AI51" s="80"/>
      <c r="AJ51" s="81"/>
      <c r="AK51" s="70">
        <f t="shared" si="25"/>
        <v>167.44</v>
      </c>
      <c r="AL51" s="71">
        <f t="shared" si="26"/>
        <v>167.44</v>
      </c>
      <c r="AM51" s="72">
        <f t="shared" si="52"/>
        <v>95.53</v>
      </c>
      <c r="AN51" s="134">
        <f t="shared" si="28"/>
        <v>0</v>
      </c>
      <c r="AO51" s="78">
        <f t="shared" si="29"/>
        <v>0</v>
      </c>
      <c r="AP51" s="79"/>
      <c r="AQ51" s="80"/>
      <c r="AR51" s="81"/>
      <c r="AS51" s="70">
        <f t="shared" si="30"/>
        <v>167.44</v>
      </c>
      <c r="AT51" s="71">
        <f t="shared" si="31"/>
        <v>167.44</v>
      </c>
      <c r="AU51" s="72">
        <f t="shared" si="53"/>
        <v>95.53</v>
      </c>
      <c r="AV51" s="134">
        <f t="shared" si="33"/>
        <v>0</v>
      </c>
      <c r="AW51" s="78">
        <f t="shared" si="34"/>
        <v>-46</v>
      </c>
      <c r="AX51" s="79">
        <v>-46</v>
      </c>
      <c r="AY51" s="80"/>
      <c r="AZ51" s="81"/>
      <c r="BA51" s="70">
        <f t="shared" si="35"/>
        <v>121.44</v>
      </c>
      <c r="BB51" s="71">
        <f t="shared" si="36"/>
        <v>121.44</v>
      </c>
      <c r="BC51" s="72">
        <f t="shared" si="54"/>
        <v>95.53</v>
      </c>
      <c r="BD51" s="134">
        <f t="shared" si="38"/>
        <v>0</v>
      </c>
      <c r="BE51" s="78">
        <f t="shared" si="39"/>
        <v>0</v>
      </c>
      <c r="BF51" s="79"/>
      <c r="BG51" s="80"/>
      <c r="BH51" s="81"/>
      <c r="BI51" s="70">
        <f t="shared" si="40"/>
        <v>121.44</v>
      </c>
      <c r="BJ51" s="71">
        <f t="shared" si="51"/>
        <v>121.44</v>
      </c>
      <c r="BK51" s="72">
        <f t="shared" si="67"/>
        <v>95.53</v>
      </c>
      <c r="BL51" s="134">
        <f t="shared" si="68"/>
        <v>0</v>
      </c>
    </row>
    <row r="52" spans="1:64" ht="12.9" x14ac:dyDescent="0.35">
      <c r="A52" s="287"/>
      <c r="B52" s="243"/>
      <c r="C52" s="25" t="s">
        <v>216</v>
      </c>
      <c r="D52" s="25" t="s">
        <v>187</v>
      </c>
      <c r="E52" s="78">
        <f t="shared" si="8"/>
        <v>4.6070000000000002</v>
      </c>
      <c r="F52" s="79">
        <f>0.967+0.64</f>
        <v>1.607</v>
      </c>
      <c r="G52" s="80"/>
      <c r="H52" s="81">
        <v>3</v>
      </c>
      <c r="I52" s="78">
        <f t="shared" si="9"/>
        <v>42</v>
      </c>
      <c r="J52" s="79">
        <v>42</v>
      </c>
      <c r="K52" s="80"/>
      <c r="L52" s="81"/>
      <c r="M52" s="70">
        <f t="shared" si="10"/>
        <v>46.606999999999999</v>
      </c>
      <c r="N52" s="71">
        <f t="shared" si="11"/>
        <v>43.606999999999999</v>
      </c>
      <c r="O52" s="72">
        <f t="shared" si="12"/>
        <v>0</v>
      </c>
      <c r="P52" s="134">
        <f t="shared" si="13"/>
        <v>3</v>
      </c>
      <c r="Q52" s="78">
        <f t="shared" si="14"/>
        <v>64.239000000000004</v>
      </c>
      <c r="R52" s="79"/>
      <c r="S52" s="80"/>
      <c r="T52" s="81">
        <v>64.239000000000004</v>
      </c>
      <c r="U52" s="70">
        <f t="shared" si="15"/>
        <v>110.846</v>
      </c>
      <c r="V52" s="71">
        <f t="shared" si="16"/>
        <v>43.606999999999999</v>
      </c>
      <c r="W52" s="72">
        <f t="shared" si="17"/>
        <v>0</v>
      </c>
      <c r="X52" s="134">
        <f t="shared" si="18"/>
        <v>67.239000000000004</v>
      </c>
      <c r="Y52" s="78">
        <f t="shared" si="19"/>
        <v>11</v>
      </c>
      <c r="Z52" s="79">
        <f>1.21+3</f>
        <v>4.21</v>
      </c>
      <c r="AA52" s="80"/>
      <c r="AB52" s="81">
        <f>9.79-3</f>
        <v>6.7899999999999991</v>
      </c>
      <c r="AC52" s="70">
        <f t="shared" si="20"/>
        <v>121.846</v>
      </c>
      <c r="AD52" s="71">
        <f t="shared" si="21"/>
        <v>47.817</v>
      </c>
      <c r="AE52" s="72">
        <f t="shared" si="22"/>
        <v>0</v>
      </c>
      <c r="AF52" s="134">
        <f t="shared" si="23"/>
        <v>74.028999999999996</v>
      </c>
      <c r="AG52" s="78">
        <f t="shared" si="24"/>
        <v>0</v>
      </c>
      <c r="AH52" s="79"/>
      <c r="AI52" s="80"/>
      <c r="AJ52" s="81"/>
      <c r="AK52" s="70">
        <f t="shared" si="25"/>
        <v>121.846</v>
      </c>
      <c r="AL52" s="71">
        <f t="shared" si="26"/>
        <v>47.817</v>
      </c>
      <c r="AM52" s="72">
        <f t="shared" si="52"/>
        <v>0</v>
      </c>
      <c r="AN52" s="134">
        <f t="shared" si="28"/>
        <v>74.028999999999996</v>
      </c>
      <c r="AO52" s="78">
        <f t="shared" si="29"/>
        <v>9.6989999999999998</v>
      </c>
      <c r="AP52" s="79">
        <v>9.6989999999999998</v>
      </c>
      <c r="AQ52" s="80"/>
      <c r="AR52" s="81"/>
      <c r="AS52" s="70">
        <f t="shared" si="30"/>
        <v>131.54499999999999</v>
      </c>
      <c r="AT52" s="71">
        <f t="shared" si="31"/>
        <v>57.515999999999998</v>
      </c>
      <c r="AU52" s="72">
        <f t="shared" si="53"/>
        <v>0</v>
      </c>
      <c r="AV52" s="134">
        <f t="shared" si="33"/>
        <v>74.028999999999996</v>
      </c>
      <c r="AW52" s="78">
        <f t="shared" si="34"/>
        <v>0</v>
      </c>
      <c r="AX52" s="79"/>
      <c r="AY52" s="80"/>
      <c r="AZ52" s="81"/>
      <c r="BA52" s="70">
        <f t="shared" si="35"/>
        <v>131.54499999999999</v>
      </c>
      <c r="BB52" s="71">
        <f t="shared" si="36"/>
        <v>57.515999999999998</v>
      </c>
      <c r="BC52" s="72">
        <f t="shared" si="54"/>
        <v>0</v>
      </c>
      <c r="BD52" s="134">
        <f t="shared" si="38"/>
        <v>74.028999999999996</v>
      </c>
      <c r="BE52" s="78">
        <f t="shared" si="39"/>
        <v>60.02</v>
      </c>
      <c r="BF52" s="79">
        <v>8.3480000000000008</v>
      </c>
      <c r="BG52" s="80"/>
      <c r="BH52" s="81">
        <f>38.228+13.444</f>
        <v>51.672000000000004</v>
      </c>
      <c r="BI52" s="70">
        <f t="shared" si="40"/>
        <v>191.565</v>
      </c>
      <c r="BJ52" s="71">
        <f t="shared" si="51"/>
        <v>65.864000000000004</v>
      </c>
      <c r="BK52" s="72">
        <f t="shared" si="67"/>
        <v>0</v>
      </c>
      <c r="BL52" s="134">
        <f t="shared" si="68"/>
        <v>125.70099999999999</v>
      </c>
    </row>
    <row r="53" spans="1:64" ht="12.9" x14ac:dyDescent="0.35">
      <c r="A53" s="287"/>
      <c r="B53" s="243"/>
      <c r="C53" s="25" t="s">
        <v>217</v>
      </c>
      <c r="D53" s="25" t="s">
        <v>137</v>
      </c>
      <c r="E53" s="78">
        <f t="shared" si="8"/>
        <v>1306.1480000000001</v>
      </c>
      <c r="F53" s="79">
        <v>14.95</v>
      </c>
      <c r="G53" s="80"/>
      <c r="H53" s="81">
        <v>1291.1980000000001</v>
      </c>
      <c r="I53" s="78">
        <f t="shared" si="9"/>
        <v>0</v>
      </c>
      <c r="J53" s="79"/>
      <c r="K53" s="80"/>
      <c r="L53" s="81"/>
      <c r="M53" s="70">
        <f t="shared" si="10"/>
        <v>1306.1480000000001</v>
      </c>
      <c r="N53" s="71">
        <f t="shared" si="11"/>
        <v>14.95</v>
      </c>
      <c r="O53" s="72">
        <f t="shared" si="12"/>
        <v>0</v>
      </c>
      <c r="P53" s="134">
        <f t="shared" si="13"/>
        <v>1291.1980000000001</v>
      </c>
      <c r="Q53" s="78">
        <f t="shared" si="14"/>
        <v>116.5</v>
      </c>
      <c r="R53" s="79"/>
      <c r="S53" s="80"/>
      <c r="T53" s="81">
        <f>113.5+3</f>
        <v>116.5</v>
      </c>
      <c r="U53" s="70">
        <f t="shared" si="15"/>
        <v>1422.6480000000001</v>
      </c>
      <c r="V53" s="71">
        <f t="shared" si="16"/>
        <v>14.95</v>
      </c>
      <c r="W53" s="72">
        <f t="shared" si="17"/>
        <v>0</v>
      </c>
      <c r="X53" s="134">
        <f t="shared" si="18"/>
        <v>1407.6980000000001</v>
      </c>
      <c r="Y53" s="78">
        <f t="shared" si="19"/>
        <v>11.446999999999999</v>
      </c>
      <c r="Z53" s="79"/>
      <c r="AA53" s="80"/>
      <c r="AB53" s="81">
        <v>11.446999999999999</v>
      </c>
      <c r="AC53" s="70">
        <f t="shared" si="20"/>
        <v>1434.095</v>
      </c>
      <c r="AD53" s="71">
        <f t="shared" si="21"/>
        <v>14.95</v>
      </c>
      <c r="AE53" s="72">
        <f t="shared" si="22"/>
        <v>0</v>
      </c>
      <c r="AF53" s="134">
        <f t="shared" si="23"/>
        <v>1419.145</v>
      </c>
      <c r="AG53" s="78">
        <f t="shared" si="24"/>
        <v>0</v>
      </c>
      <c r="AH53" s="79"/>
      <c r="AI53" s="80"/>
      <c r="AJ53" s="81"/>
      <c r="AK53" s="70">
        <f t="shared" si="25"/>
        <v>1434.095</v>
      </c>
      <c r="AL53" s="71">
        <f t="shared" si="26"/>
        <v>14.95</v>
      </c>
      <c r="AM53" s="72">
        <f t="shared" si="52"/>
        <v>0</v>
      </c>
      <c r="AN53" s="134">
        <f t="shared" si="28"/>
        <v>1419.145</v>
      </c>
      <c r="AO53" s="78">
        <f t="shared" si="29"/>
        <v>0</v>
      </c>
      <c r="AP53" s="79"/>
      <c r="AQ53" s="80"/>
      <c r="AR53" s="81"/>
      <c r="AS53" s="70">
        <f t="shared" si="30"/>
        <v>1434.095</v>
      </c>
      <c r="AT53" s="71">
        <f t="shared" si="31"/>
        <v>14.95</v>
      </c>
      <c r="AU53" s="72">
        <f t="shared" si="53"/>
        <v>0</v>
      </c>
      <c r="AV53" s="134">
        <f t="shared" si="33"/>
        <v>1419.145</v>
      </c>
      <c r="AW53" s="78">
        <f t="shared" si="34"/>
        <v>0</v>
      </c>
      <c r="AX53" s="79"/>
      <c r="AY53" s="80"/>
      <c r="AZ53" s="81"/>
      <c r="BA53" s="70">
        <f t="shared" si="35"/>
        <v>1434.095</v>
      </c>
      <c r="BB53" s="71">
        <f t="shared" si="36"/>
        <v>14.95</v>
      </c>
      <c r="BC53" s="72">
        <f t="shared" si="54"/>
        <v>0</v>
      </c>
      <c r="BD53" s="134">
        <f t="shared" si="38"/>
        <v>1419.145</v>
      </c>
      <c r="BE53" s="78">
        <f t="shared" si="39"/>
        <v>0</v>
      </c>
      <c r="BF53" s="79">
        <v>-13.942</v>
      </c>
      <c r="BG53" s="80"/>
      <c r="BH53" s="81">
        <v>13.942</v>
      </c>
      <c r="BI53" s="70">
        <f t="shared" si="40"/>
        <v>1434.095</v>
      </c>
      <c r="BJ53" s="71">
        <f t="shared" si="51"/>
        <v>1.0079999999999991</v>
      </c>
      <c r="BK53" s="72">
        <f t="shared" si="67"/>
        <v>0</v>
      </c>
      <c r="BL53" s="134">
        <f t="shared" si="68"/>
        <v>1433.087</v>
      </c>
    </row>
    <row r="54" spans="1:64" ht="12.9" hidden="1" x14ac:dyDescent="0.35">
      <c r="A54" s="286"/>
      <c r="B54" s="238"/>
      <c r="C54" s="25" t="s">
        <v>218</v>
      </c>
      <c r="D54" s="25" t="s">
        <v>103</v>
      </c>
      <c r="E54" s="78">
        <f t="shared" si="8"/>
        <v>0</v>
      </c>
      <c r="F54" s="79"/>
      <c r="G54" s="80"/>
      <c r="H54" s="81"/>
      <c r="I54" s="78">
        <f t="shared" si="9"/>
        <v>0</v>
      </c>
      <c r="J54" s="79"/>
      <c r="K54" s="80"/>
      <c r="L54" s="81"/>
      <c r="M54" s="70">
        <f t="shared" si="10"/>
        <v>0</v>
      </c>
      <c r="N54" s="71">
        <f t="shared" si="11"/>
        <v>0</v>
      </c>
      <c r="O54" s="72">
        <f t="shared" si="12"/>
        <v>0</v>
      </c>
      <c r="P54" s="134">
        <f t="shared" si="13"/>
        <v>0</v>
      </c>
      <c r="Q54" s="78">
        <f t="shared" si="14"/>
        <v>0</v>
      </c>
      <c r="R54" s="79"/>
      <c r="S54" s="80"/>
      <c r="T54" s="81"/>
      <c r="U54" s="70">
        <f t="shared" si="15"/>
        <v>0</v>
      </c>
      <c r="V54" s="71">
        <f t="shared" si="16"/>
        <v>0</v>
      </c>
      <c r="W54" s="72">
        <f t="shared" si="17"/>
        <v>0</v>
      </c>
      <c r="X54" s="134">
        <f t="shared" si="18"/>
        <v>0</v>
      </c>
      <c r="Y54" s="78">
        <f t="shared" si="19"/>
        <v>0</v>
      </c>
      <c r="Z54" s="79"/>
      <c r="AA54" s="80"/>
      <c r="AB54" s="81"/>
      <c r="AC54" s="70">
        <f t="shared" si="20"/>
        <v>0</v>
      </c>
      <c r="AD54" s="71">
        <f t="shared" si="21"/>
        <v>0</v>
      </c>
      <c r="AE54" s="72">
        <f t="shared" si="22"/>
        <v>0</v>
      </c>
      <c r="AF54" s="134">
        <f t="shared" si="23"/>
        <v>0</v>
      </c>
      <c r="AG54" s="78">
        <f t="shared" si="24"/>
        <v>0</v>
      </c>
      <c r="AH54" s="79"/>
      <c r="AI54" s="80"/>
      <c r="AJ54" s="81"/>
      <c r="AK54" s="70">
        <f t="shared" si="25"/>
        <v>0</v>
      </c>
      <c r="AL54" s="71">
        <f t="shared" si="26"/>
        <v>0</v>
      </c>
      <c r="AM54" s="72">
        <f t="shared" si="52"/>
        <v>0</v>
      </c>
      <c r="AN54" s="134">
        <f t="shared" si="28"/>
        <v>0</v>
      </c>
      <c r="AO54" s="78">
        <f t="shared" si="29"/>
        <v>0</v>
      </c>
      <c r="AP54" s="79"/>
      <c r="AQ54" s="80"/>
      <c r="AR54" s="81"/>
      <c r="AS54" s="70">
        <f t="shared" si="30"/>
        <v>0</v>
      </c>
      <c r="AT54" s="71">
        <f t="shared" si="31"/>
        <v>0</v>
      </c>
      <c r="AU54" s="72">
        <f t="shared" si="53"/>
        <v>0</v>
      </c>
      <c r="AV54" s="134">
        <f t="shared" si="33"/>
        <v>0</v>
      </c>
      <c r="AW54" s="78">
        <f t="shared" si="34"/>
        <v>0</v>
      </c>
      <c r="AX54" s="79"/>
      <c r="AY54" s="80"/>
      <c r="AZ54" s="81"/>
      <c r="BA54" s="70">
        <f t="shared" si="35"/>
        <v>0</v>
      </c>
      <c r="BB54" s="71">
        <f t="shared" si="36"/>
        <v>0</v>
      </c>
      <c r="BC54" s="72">
        <f t="shared" si="54"/>
        <v>0</v>
      </c>
      <c r="BD54" s="134">
        <f t="shared" si="38"/>
        <v>0</v>
      </c>
      <c r="BE54" s="78">
        <f t="shared" si="39"/>
        <v>0</v>
      </c>
      <c r="BF54" s="79"/>
      <c r="BG54" s="80"/>
      <c r="BH54" s="81"/>
      <c r="BI54" s="70">
        <f t="shared" si="40"/>
        <v>0</v>
      </c>
      <c r="BJ54" s="71">
        <f t="shared" si="51"/>
        <v>0</v>
      </c>
      <c r="BK54" s="72">
        <f t="shared" si="67"/>
        <v>0</v>
      </c>
      <c r="BL54" s="134">
        <f t="shared" si="68"/>
        <v>0</v>
      </c>
    </row>
    <row r="55" spans="1:64" ht="12.9" x14ac:dyDescent="0.35">
      <c r="A55" s="285" t="s">
        <v>7</v>
      </c>
      <c r="B55" s="237" t="s">
        <v>48</v>
      </c>
      <c r="C55" s="25" t="s">
        <v>263</v>
      </c>
      <c r="D55" s="25" t="s">
        <v>125</v>
      </c>
      <c r="E55" s="78">
        <f t="shared" si="8"/>
        <v>3041.3020000000001</v>
      </c>
      <c r="F55" s="79">
        <f>865.748+32-8+70</f>
        <v>959.74800000000005</v>
      </c>
      <c r="G55" s="80"/>
      <c r="H55" s="81">
        <f>1491.336+660.218-70</f>
        <v>2081.5540000000001</v>
      </c>
      <c r="I55" s="78">
        <f t="shared" si="9"/>
        <v>-6.9960000000000004</v>
      </c>
      <c r="J55" s="79">
        <f>-3.996-3</f>
        <v>-6.9960000000000004</v>
      </c>
      <c r="K55" s="80"/>
      <c r="L55" s="81"/>
      <c r="M55" s="70">
        <f t="shared" si="10"/>
        <v>3034.306</v>
      </c>
      <c r="N55" s="71">
        <f t="shared" si="11"/>
        <v>952.75200000000007</v>
      </c>
      <c r="O55" s="72">
        <f t="shared" si="12"/>
        <v>0</v>
      </c>
      <c r="P55" s="134">
        <f t="shared" si="13"/>
        <v>2081.5540000000001</v>
      </c>
      <c r="Q55" s="78">
        <f t="shared" si="14"/>
        <v>8.52</v>
      </c>
      <c r="R55" s="79">
        <v>8.52</v>
      </c>
      <c r="S55" s="80"/>
      <c r="T55" s="81"/>
      <c r="U55" s="70">
        <f t="shared" si="15"/>
        <v>3042.826</v>
      </c>
      <c r="V55" s="71">
        <f t="shared" si="16"/>
        <v>961.27200000000005</v>
      </c>
      <c r="W55" s="72">
        <f t="shared" si="17"/>
        <v>0</v>
      </c>
      <c r="X55" s="134">
        <f t="shared" si="18"/>
        <v>2081.5540000000001</v>
      </c>
      <c r="Y55" s="78">
        <f t="shared" si="19"/>
        <v>0</v>
      </c>
      <c r="Z55" s="79"/>
      <c r="AA55" s="80"/>
      <c r="AB55" s="81"/>
      <c r="AC55" s="70">
        <f t="shared" si="20"/>
        <v>3042.826</v>
      </c>
      <c r="AD55" s="71">
        <f t="shared" si="21"/>
        <v>961.27200000000005</v>
      </c>
      <c r="AE55" s="72">
        <f t="shared" si="22"/>
        <v>0</v>
      </c>
      <c r="AF55" s="134">
        <f t="shared" si="23"/>
        <v>2081.5540000000001</v>
      </c>
      <c r="AG55" s="78">
        <f t="shared" si="24"/>
        <v>0</v>
      </c>
      <c r="AH55" s="79">
        <v>6.2169999999999996</v>
      </c>
      <c r="AI55" s="80"/>
      <c r="AJ55" s="81">
        <v>-6.2169999999999996</v>
      </c>
      <c r="AK55" s="70">
        <f t="shared" si="25"/>
        <v>3042.826</v>
      </c>
      <c r="AL55" s="71">
        <f t="shared" si="26"/>
        <v>967.48900000000003</v>
      </c>
      <c r="AM55" s="72">
        <f t="shared" si="52"/>
        <v>0</v>
      </c>
      <c r="AN55" s="134">
        <f t="shared" si="28"/>
        <v>2075.337</v>
      </c>
      <c r="AO55" s="78">
        <f t="shared" si="29"/>
        <v>0</v>
      </c>
      <c r="AP55" s="79">
        <v>1.456</v>
      </c>
      <c r="AQ55" s="80">
        <v>1.43</v>
      </c>
      <c r="AR55" s="81">
        <v>-1.456</v>
      </c>
      <c r="AS55" s="70">
        <f t="shared" si="30"/>
        <v>3042.826</v>
      </c>
      <c r="AT55" s="71">
        <f t="shared" si="31"/>
        <v>968.94500000000005</v>
      </c>
      <c r="AU55" s="72">
        <f t="shared" si="53"/>
        <v>1.43</v>
      </c>
      <c r="AV55" s="134">
        <f t="shared" si="33"/>
        <v>2073.8809999999999</v>
      </c>
      <c r="AW55" s="78">
        <f t="shared" si="34"/>
        <v>740.88800000000003</v>
      </c>
      <c r="AX55" s="79">
        <v>88.028999999999996</v>
      </c>
      <c r="AY55" s="80"/>
      <c r="AZ55" s="81">
        <v>652.85900000000004</v>
      </c>
      <c r="BA55" s="70">
        <f t="shared" si="35"/>
        <v>3783.7139999999999</v>
      </c>
      <c r="BB55" s="71">
        <f t="shared" si="36"/>
        <v>1056.9740000000002</v>
      </c>
      <c r="BC55" s="72">
        <f t="shared" si="54"/>
        <v>1.43</v>
      </c>
      <c r="BD55" s="134">
        <f t="shared" si="38"/>
        <v>2726.74</v>
      </c>
      <c r="BE55" s="78">
        <f t="shared" si="39"/>
        <v>-9.9949999999999992</v>
      </c>
      <c r="BF55" s="79">
        <v>-3.5</v>
      </c>
      <c r="BG55" s="80"/>
      <c r="BH55" s="81">
        <f>3.5-9.995</f>
        <v>-6.4949999999999992</v>
      </c>
      <c r="BI55" s="70">
        <f t="shared" si="40"/>
        <v>3773.7190000000001</v>
      </c>
      <c r="BJ55" s="71">
        <f t="shared" si="51"/>
        <v>1053.4740000000002</v>
      </c>
      <c r="BK55" s="72">
        <f t="shared" si="67"/>
        <v>1.43</v>
      </c>
      <c r="BL55" s="134">
        <f t="shared" si="68"/>
        <v>2720.2449999999999</v>
      </c>
    </row>
    <row r="56" spans="1:64" ht="12.9" x14ac:dyDescent="0.35">
      <c r="A56" s="287"/>
      <c r="B56" s="243"/>
      <c r="C56" s="25" t="s">
        <v>292</v>
      </c>
      <c r="D56" s="25" t="s">
        <v>137</v>
      </c>
      <c r="E56" s="78">
        <f t="shared" si="8"/>
        <v>976.97400000000005</v>
      </c>
      <c r="F56" s="79">
        <v>101</v>
      </c>
      <c r="G56" s="80"/>
      <c r="H56" s="81">
        <f>744.7+131.274</f>
        <v>875.97400000000005</v>
      </c>
      <c r="I56" s="78">
        <f t="shared" si="9"/>
        <v>-49.341999999999999</v>
      </c>
      <c r="J56" s="79">
        <f>-5+3.558</f>
        <v>-1.4420000000000002</v>
      </c>
      <c r="K56" s="80"/>
      <c r="L56" s="81">
        <v>-47.9</v>
      </c>
      <c r="M56" s="70">
        <f t="shared" si="10"/>
        <v>927.63200000000006</v>
      </c>
      <c r="N56" s="71">
        <f t="shared" si="11"/>
        <v>99.557999999999993</v>
      </c>
      <c r="O56" s="72">
        <f t="shared" si="12"/>
        <v>0</v>
      </c>
      <c r="P56" s="134">
        <f t="shared" si="13"/>
        <v>828.07400000000007</v>
      </c>
      <c r="Q56" s="78">
        <f t="shared" si="14"/>
        <v>272.19799999999998</v>
      </c>
      <c r="R56" s="79">
        <f>295.198-8-15</f>
        <v>272.19799999999998</v>
      </c>
      <c r="S56" s="80"/>
      <c r="T56" s="81"/>
      <c r="U56" s="70">
        <f t="shared" si="15"/>
        <v>1199.83</v>
      </c>
      <c r="V56" s="71">
        <f t="shared" si="16"/>
        <v>371.75599999999997</v>
      </c>
      <c r="W56" s="72">
        <f t="shared" si="17"/>
        <v>0</v>
      </c>
      <c r="X56" s="134">
        <f t="shared" si="18"/>
        <v>828.07400000000007</v>
      </c>
      <c r="Y56" s="78">
        <f t="shared" si="19"/>
        <v>111.92699999999999</v>
      </c>
      <c r="Z56" s="164">
        <f>-15.35-15.056</f>
        <v>-30.405999999999999</v>
      </c>
      <c r="AA56" s="80"/>
      <c r="AB56" s="81">
        <f>90.632+15.747+35.954</f>
        <v>142.333</v>
      </c>
      <c r="AC56" s="70">
        <f t="shared" si="20"/>
        <v>1311.7570000000001</v>
      </c>
      <c r="AD56" s="71">
        <f t="shared" si="21"/>
        <v>341.34999999999997</v>
      </c>
      <c r="AE56" s="72">
        <f t="shared" si="22"/>
        <v>0</v>
      </c>
      <c r="AF56" s="134">
        <f t="shared" si="23"/>
        <v>970.40700000000004</v>
      </c>
      <c r="AG56" s="78">
        <f t="shared" si="24"/>
        <v>139.023</v>
      </c>
      <c r="AH56" s="79">
        <v>-12.877000000000001</v>
      </c>
      <c r="AI56" s="80"/>
      <c r="AJ56" s="81">
        <v>151.9</v>
      </c>
      <c r="AK56" s="70">
        <f t="shared" si="25"/>
        <v>1450.78</v>
      </c>
      <c r="AL56" s="71">
        <f t="shared" si="26"/>
        <v>328.47299999999996</v>
      </c>
      <c r="AM56" s="72">
        <f t="shared" si="52"/>
        <v>0</v>
      </c>
      <c r="AN56" s="134">
        <f t="shared" si="28"/>
        <v>1122.307</v>
      </c>
      <c r="AO56" s="78">
        <f t="shared" si="29"/>
        <v>-1.7230000000000001</v>
      </c>
      <c r="AP56" s="79">
        <v>-1.7230000000000001</v>
      </c>
      <c r="AQ56" s="80"/>
      <c r="AR56" s="81"/>
      <c r="AS56" s="70">
        <f t="shared" si="30"/>
        <v>1449.057</v>
      </c>
      <c r="AT56" s="71">
        <f t="shared" si="31"/>
        <v>326.74999999999994</v>
      </c>
      <c r="AU56" s="72">
        <f t="shared" si="53"/>
        <v>0</v>
      </c>
      <c r="AV56" s="134">
        <f t="shared" si="33"/>
        <v>1122.307</v>
      </c>
      <c r="AW56" s="78">
        <f t="shared" si="34"/>
        <v>229.685</v>
      </c>
      <c r="AX56" s="79">
        <v>18</v>
      </c>
      <c r="AY56" s="80"/>
      <c r="AZ56" s="81">
        <f>4.685+207</f>
        <v>211.685</v>
      </c>
      <c r="BA56" s="70">
        <f t="shared" si="35"/>
        <v>1678.742</v>
      </c>
      <c r="BB56" s="71">
        <f t="shared" si="36"/>
        <v>344.74999999999994</v>
      </c>
      <c r="BC56" s="72">
        <f t="shared" si="54"/>
        <v>0</v>
      </c>
      <c r="BD56" s="134">
        <f t="shared" si="38"/>
        <v>1333.992</v>
      </c>
      <c r="BE56" s="78">
        <f t="shared" si="39"/>
        <v>65.497</v>
      </c>
      <c r="BF56" s="79">
        <v>65.497</v>
      </c>
      <c r="BG56" s="80"/>
      <c r="BH56" s="81"/>
      <c r="BI56" s="70">
        <f t="shared" si="40"/>
        <v>1744.239</v>
      </c>
      <c r="BJ56" s="71">
        <f t="shared" si="51"/>
        <v>410.24699999999996</v>
      </c>
      <c r="BK56" s="72">
        <f t="shared" si="67"/>
        <v>0</v>
      </c>
      <c r="BL56" s="134">
        <f t="shared" si="68"/>
        <v>1333.992</v>
      </c>
    </row>
    <row r="57" spans="1:64" ht="12.9" x14ac:dyDescent="0.35">
      <c r="A57" s="286"/>
      <c r="B57" s="238"/>
      <c r="C57" s="25" t="s">
        <v>293</v>
      </c>
      <c r="D57" s="25" t="s">
        <v>187</v>
      </c>
      <c r="E57" s="78">
        <f t="shared" si="8"/>
        <v>78.866</v>
      </c>
      <c r="F57" s="79">
        <v>17.666</v>
      </c>
      <c r="G57" s="80"/>
      <c r="H57" s="81">
        <v>61.2</v>
      </c>
      <c r="I57" s="78">
        <f t="shared" si="9"/>
        <v>37.031999999999996</v>
      </c>
      <c r="J57" s="79">
        <f>3.7+1.401</f>
        <v>5.101</v>
      </c>
      <c r="K57" s="80">
        <f>3.647+1.381</f>
        <v>5.0279999999999996</v>
      </c>
      <c r="L57" s="81">
        <f>19.65+12.281</f>
        <v>31.930999999999997</v>
      </c>
      <c r="M57" s="70">
        <f t="shared" si="10"/>
        <v>115.898</v>
      </c>
      <c r="N57" s="71">
        <f t="shared" si="11"/>
        <v>22.766999999999999</v>
      </c>
      <c r="O57" s="72">
        <f t="shared" si="12"/>
        <v>5.0279999999999996</v>
      </c>
      <c r="P57" s="134">
        <f t="shared" si="13"/>
        <v>93.131</v>
      </c>
      <c r="Q57" s="78">
        <f t="shared" si="14"/>
        <v>94.337000000000003</v>
      </c>
      <c r="R57" s="79">
        <v>94.337000000000003</v>
      </c>
      <c r="S57" s="80"/>
      <c r="T57" s="81"/>
      <c r="U57" s="70">
        <f t="shared" si="15"/>
        <v>210.23500000000001</v>
      </c>
      <c r="V57" s="71">
        <f t="shared" si="16"/>
        <v>117.104</v>
      </c>
      <c r="W57" s="72">
        <f t="shared" si="17"/>
        <v>5.0279999999999996</v>
      </c>
      <c r="X57" s="134">
        <f t="shared" si="18"/>
        <v>93.131</v>
      </c>
      <c r="Y57" s="78">
        <f t="shared" si="19"/>
        <v>0</v>
      </c>
      <c r="Z57" s="79">
        <v>4.0540000000000003</v>
      </c>
      <c r="AA57" s="80"/>
      <c r="AB57" s="81">
        <v>-4.0540000000000003</v>
      </c>
      <c r="AC57" s="70">
        <f t="shared" si="20"/>
        <v>210.23500000000001</v>
      </c>
      <c r="AD57" s="71">
        <f t="shared" si="21"/>
        <v>121.158</v>
      </c>
      <c r="AE57" s="72">
        <f t="shared" si="22"/>
        <v>5.0279999999999996</v>
      </c>
      <c r="AF57" s="134">
        <f t="shared" si="23"/>
        <v>89.076999999999998</v>
      </c>
      <c r="AG57" s="78">
        <f t="shared" si="24"/>
        <v>86.373999999999995</v>
      </c>
      <c r="AH57" s="79"/>
      <c r="AI57" s="80"/>
      <c r="AJ57" s="81">
        <v>86.373999999999995</v>
      </c>
      <c r="AK57" s="70">
        <f t="shared" si="25"/>
        <v>296.60899999999998</v>
      </c>
      <c r="AL57" s="71">
        <f t="shared" si="26"/>
        <v>121.158</v>
      </c>
      <c r="AM57" s="72">
        <f t="shared" si="52"/>
        <v>5.0279999999999996</v>
      </c>
      <c r="AN57" s="134">
        <f t="shared" si="28"/>
        <v>175.45099999999999</v>
      </c>
      <c r="AO57" s="78">
        <f t="shared" si="29"/>
        <v>88.221000000000004</v>
      </c>
      <c r="AP57" s="79">
        <f>44.28+1.523</f>
        <v>45.803000000000004</v>
      </c>
      <c r="AQ57" s="80">
        <v>1.5</v>
      </c>
      <c r="AR57" s="81">
        <f>43.941-1.523</f>
        <v>42.417999999999999</v>
      </c>
      <c r="AS57" s="70">
        <f t="shared" si="30"/>
        <v>384.83000000000004</v>
      </c>
      <c r="AT57" s="71">
        <f t="shared" si="31"/>
        <v>166.96100000000001</v>
      </c>
      <c r="AU57" s="72">
        <f t="shared" si="53"/>
        <v>6.5279999999999996</v>
      </c>
      <c r="AV57" s="134">
        <f t="shared" si="33"/>
        <v>217.869</v>
      </c>
      <c r="AW57" s="78">
        <f t="shared" si="34"/>
        <v>219.26599999999999</v>
      </c>
      <c r="AX57" s="79">
        <v>1.1599999999999999</v>
      </c>
      <c r="AY57" s="80">
        <v>1.143</v>
      </c>
      <c r="AZ57" s="81">
        <f>16.904+201.202</f>
        <v>218.10599999999999</v>
      </c>
      <c r="BA57" s="70">
        <f t="shared" si="35"/>
        <v>604.096</v>
      </c>
      <c r="BB57" s="71">
        <f t="shared" si="36"/>
        <v>168.12100000000001</v>
      </c>
      <c r="BC57" s="72">
        <f t="shared" si="54"/>
        <v>7.6709999999999994</v>
      </c>
      <c r="BD57" s="134">
        <f t="shared" si="38"/>
        <v>435.97500000000002</v>
      </c>
      <c r="BE57" s="78">
        <f t="shared" si="39"/>
        <v>168.90199999999999</v>
      </c>
      <c r="BF57" s="79">
        <f>2.113</f>
        <v>2.113</v>
      </c>
      <c r="BG57" s="80"/>
      <c r="BH57" s="81">
        <f>119.591+47.198</f>
        <v>166.78899999999999</v>
      </c>
      <c r="BI57" s="70">
        <f t="shared" si="40"/>
        <v>772.99800000000005</v>
      </c>
      <c r="BJ57" s="71">
        <f t="shared" si="51"/>
        <v>170.23400000000001</v>
      </c>
      <c r="BK57" s="72">
        <f t="shared" si="67"/>
        <v>7.6709999999999994</v>
      </c>
      <c r="BL57" s="134">
        <f t="shared" si="68"/>
        <v>602.76400000000001</v>
      </c>
    </row>
    <row r="58" spans="1:64" s="138" customFormat="1" ht="12.45" x14ac:dyDescent="0.3">
      <c r="A58" s="135"/>
      <c r="B58" s="145" t="s">
        <v>8</v>
      </c>
      <c r="C58" s="42" t="s">
        <v>175</v>
      </c>
      <c r="D58" s="137"/>
      <c r="E58" s="73">
        <f>SUM(H58,F58)</f>
        <v>1030.7009999999998</v>
      </c>
      <c r="F58" s="74">
        <f>SUM(F60:F69)</f>
        <v>1028.6689999999999</v>
      </c>
      <c r="G58" s="75">
        <f>SUM(G60:G69)</f>
        <v>889.51700000000005</v>
      </c>
      <c r="H58" s="133">
        <f>SUM(H60:H69)</f>
        <v>2.032</v>
      </c>
      <c r="I58" s="73">
        <f>SUM(L58,J58)</f>
        <v>0</v>
      </c>
      <c r="J58" s="74">
        <f>SUM(J60:J69)</f>
        <v>0</v>
      </c>
      <c r="K58" s="75">
        <f>SUM(K60:K69)</f>
        <v>0</v>
      </c>
      <c r="L58" s="133">
        <f>SUM(L60:L69)</f>
        <v>0</v>
      </c>
      <c r="M58" s="73">
        <f t="shared" si="10"/>
        <v>1030.7009999999998</v>
      </c>
      <c r="N58" s="74">
        <f t="shared" si="11"/>
        <v>1028.6689999999999</v>
      </c>
      <c r="O58" s="75">
        <f t="shared" si="12"/>
        <v>889.51700000000005</v>
      </c>
      <c r="P58" s="133">
        <f t="shared" si="13"/>
        <v>2.032</v>
      </c>
      <c r="Q58" s="73">
        <f>SUM(T58,R58)</f>
        <v>9.1170000000000009</v>
      </c>
      <c r="R58" s="74">
        <f>SUM(R60:R69)</f>
        <v>9.1170000000000009</v>
      </c>
      <c r="S58" s="75">
        <f>SUM(S60:S69)</f>
        <v>5.0439999999999996</v>
      </c>
      <c r="T58" s="133">
        <f>SUM(T60:T69)</f>
        <v>0</v>
      </c>
      <c r="U58" s="73">
        <f t="shared" si="15"/>
        <v>1039.8179999999998</v>
      </c>
      <c r="V58" s="74">
        <f t="shared" si="16"/>
        <v>1037.7859999999998</v>
      </c>
      <c r="W58" s="75">
        <f t="shared" si="17"/>
        <v>894.56100000000004</v>
      </c>
      <c r="X58" s="133">
        <f t="shared" si="18"/>
        <v>2.032</v>
      </c>
      <c r="Y58" s="73">
        <f>SUM(AB58,Z58)</f>
        <v>1.0680000000000001</v>
      </c>
      <c r="Z58" s="74">
        <f>SUM(Z60:Z69)</f>
        <v>1.0680000000000001</v>
      </c>
      <c r="AA58" s="75">
        <f>SUM(AA60:AA69)</f>
        <v>0.67399999999999993</v>
      </c>
      <c r="AB58" s="133">
        <f>SUM(AB60:AB69)</f>
        <v>0</v>
      </c>
      <c r="AC58" s="73">
        <f t="shared" si="20"/>
        <v>1040.8859999999997</v>
      </c>
      <c r="AD58" s="74">
        <f t="shared" si="21"/>
        <v>1038.8539999999998</v>
      </c>
      <c r="AE58" s="75">
        <f t="shared" si="22"/>
        <v>895.23500000000001</v>
      </c>
      <c r="AF58" s="133">
        <f t="shared" si="23"/>
        <v>2.032</v>
      </c>
      <c r="AG58" s="73">
        <f>SUM(AJ58,AH58)</f>
        <v>6.1029999999999998</v>
      </c>
      <c r="AH58" s="74">
        <f>SUM(AH60:AH69)</f>
        <v>6.1029999999999998</v>
      </c>
      <c r="AI58" s="75">
        <f>SUM(AI60:AI69)</f>
        <v>1.7589999999999999</v>
      </c>
      <c r="AJ58" s="133">
        <f>SUM(AJ60:AJ69)</f>
        <v>0</v>
      </c>
      <c r="AK58" s="73">
        <f t="shared" si="25"/>
        <v>1046.9889999999998</v>
      </c>
      <c r="AL58" s="74">
        <f t="shared" si="26"/>
        <v>1044.9569999999999</v>
      </c>
      <c r="AM58" s="75">
        <f t="shared" si="52"/>
        <v>896.99400000000003</v>
      </c>
      <c r="AN58" s="133">
        <f t="shared" si="28"/>
        <v>2.032</v>
      </c>
      <c r="AO58" s="73">
        <f>SUM(AR58,AP58)</f>
        <v>0</v>
      </c>
      <c r="AP58" s="74">
        <f>SUM(AP60:AP69)</f>
        <v>0</v>
      </c>
      <c r="AQ58" s="75">
        <f>SUM(AQ60:AQ69)</f>
        <v>-6.0259999999999998</v>
      </c>
      <c r="AR58" s="133">
        <f>SUM(AR60:AR69)</f>
        <v>0</v>
      </c>
      <c r="AS58" s="73">
        <f t="shared" si="30"/>
        <v>1046.9889999999998</v>
      </c>
      <c r="AT58" s="74">
        <f t="shared" si="31"/>
        <v>1044.9569999999999</v>
      </c>
      <c r="AU58" s="75">
        <f t="shared" si="53"/>
        <v>890.96800000000007</v>
      </c>
      <c r="AV58" s="133">
        <f t="shared" si="33"/>
        <v>2.032</v>
      </c>
      <c r="AW58" s="73">
        <f>SUM(AZ58,AX58)</f>
        <v>-4.6949999999999985</v>
      </c>
      <c r="AX58" s="74">
        <f>SUM(AX60:AX69)</f>
        <v>-4.6949999999999985</v>
      </c>
      <c r="AY58" s="75">
        <f>SUM(AY60:AY69)</f>
        <v>-12.400999999999998</v>
      </c>
      <c r="AZ58" s="133">
        <f>SUM(AZ60:AZ69)</f>
        <v>0</v>
      </c>
      <c r="BA58" s="73">
        <f t="shared" si="35"/>
        <v>1042.2939999999999</v>
      </c>
      <c r="BB58" s="74">
        <f t="shared" si="36"/>
        <v>1040.2619999999999</v>
      </c>
      <c r="BC58" s="75">
        <f t="shared" si="54"/>
        <v>878.56700000000012</v>
      </c>
      <c r="BD58" s="133">
        <f t="shared" si="38"/>
        <v>2.032</v>
      </c>
      <c r="BE58" s="73">
        <f>SUM(BH58,BF58)</f>
        <v>0.5</v>
      </c>
      <c r="BF58" s="74">
        <f>SUM(BF60:BF69)</f>
        <v>-17</v>
      </c>
      <c r="BG58" s="75">
        <f>SUM(BG60:BG69)</f>
        <v>-25.338999999999999</v>
      </c>
      <c r="BH58" s="133">
        <f>SUM(BH60:BH69)</f>
        <v>17.5</v>
      </c>
      <c r="BI58" s="73">
        <f t="shared" si="40"/>
        <v>1042.7939999999999</v>
      </c>
      <c r="BJ58" s="74">
        <f t="shared" si="51"/>
        <v>1023.2619999999999</v>
      </c>
      <c r="BK58" s="75">
        <f t="shared" si="67"/>
        <v>853.22800000000007</v>
      </c>
      <c r="BL58" s="133">
        <f t="shared" si="68"/>
        <v>19.532</v>
      </c>
    </row>
    <row r="59" spans="1:64" ht="12.9" x14ac:dyDescent="0.35">
      <c r="A59" s="39"/>
      <c r="B59" s="4" t="s">
        <v>2</v>
      </c>
      <c r="C59" s="119"/>
      <c r="D59" s="27"/>
      <c r="E59" s="78">
        <f t="shared" ref="E59:E150" si="69">SUM(H59,F59)</f>
        <v>0</v>
      </c>
      <c r="F59" s="79">
        <v>0</v>
      </c>
      <c r="G59" s="80">
        <v>0</v>
      </c>
      <c r="H59" s="81">
        <v>0</v>
      </c>
      <c r="I59" s="78">
        <f t="shared" ref="I59:I119" si="70">SUM(L59,J59)</f>
        <v>0</v>
      </c>
      <c r="J59" s="79">
        <v>0</v>
      </c>
      <c r="K59" s="80">
        <v>0</v>
      </c>
      <c r="L59" s="81">
        <v>0</v>
      </c>
      <c r="M59" s="70">
        <f t="shared" si="10"/>
        <v>0</v>
      </c>
      <c r="N59" s="71">
        <f t="shared" si="11"/>
        <v>0</v>
      </c>
      <c r="O59" s="72">
        <f t="shared" si="12"/>
        <v>0</v>
      </c>
      <c r="P59" s="134">
        <f t="shared" si="13"/>
        <v>0</v>
      </c>
      <c r="Q59" s="78">
        <f t="shared" ref="Q59:Q119" si="71">SUM(T59,R59)</f>
        <v>0</v>
      </c>
      <c r="R59" s="79">
        <v>0</v>
      </c>
      <c r="S59" s="80">
        <v>0</v>
      </c>
      <c r="T59" s="81">
        <v>0</v>
      </c>
      <c r="U59" s="70">
        <f t="shared" si="15"/>
        <v>0</v>
      </c>
      <c r="V59" s="71">
        <f t="shared" si="16"/>
        <v>0</v>
      </c>
      <c r="W59" s="72">
        <f t="shared" si="17"/>
        <v>0</v>
      </c>
      <c r="X59" s="134">
        <f t="shared" si="18"/>
        <v>0</v>
      </c>
      <c r="Y59" s="78">
        <f t="shared" ref="Y59:Y119" si="72">SUM(AB59,Z59)</f>
        <v>0</v>
      </c>
      <c r="Z59" s="79">
        <v>0</v>
      </c>
      <c r="AA59" s="80">
        <v>0</v>
      </c>
      <c r="AB59" s="81">
        <v>0</v>
      </c>
      <c r="AC59" s="70">
        <f t="shared" si="20"/>
        <v>0</v>
      </c>
      <c r="AD59" s="71">
        <f t="shared" si="21"/>
        <v>0</v>
      </c>
      <c r="AE59" s="72">
        <f t="shared" si="22"/>
        <v>0</v>
      </c>
      <c r="AF59" s="134">
        <f t="shared" si="23"/>
        <v>0</v>
      </c>
      <c r="AG59" s="78">
        <f t="shared" ref="AG59:AG115" si="73">SUM(AJ59,AH59)</f>
        <v>0</v>
      </c>
      <c r="AH59" s="79">
        <v>0</v>
      </c>
      <c r="AI59" s="80">
        <v>0</v>
      </c>
      <c r="AJ59" s="81">
        <v>0</v>
      </c>
      <c r="AK59" s="70">
        <f t="shared" si="25"/>
        <v>0</v>
      </c>
      <c r="AL59" s="71">
        <f t="shared" si="26"/>
        <v>0</v>
      </c>
      <c r="AM59" s="72">
        <f t="shared" si="52"/>
        <v>0</v>
      </c>
      <c r="AN59" s="134">
        <f t="shared" si="28"/>
        <v>0</v>
      </c>
      <c r="AO59" s="78">
        <f t="shared" ref="AO59:AO115" si="74">SUM(AR59,AP59)</f>
        <v>0</v>
      </c>
      <c r="AP59" s="79">
        <v>0</v>
      </c>
      <c r="AQ59" s="80">
        <v>0</v>
      </c>
      <c r="AR59" s="81">
        <v>0</v>
      </c>
      <c r="AS59" s="70">
        <f t="shared" si="30"/>
        <v>0</v>
      </c>
      <c r="AT59" s="71">
        <f t="shared" si="31"/>
        <v>0</v>
      </c>
      <c r="AU59" s="72">
        <f t="shared" si="53"/>
        <v>0</v>
      </c>
      <c r="AV59" s="134">
        <f t="shared" si="33"/>
        <v>0</v>
      </c>
      <c r="AW59" s="78">
        <f t="shared" ref="AW59:AW115" si="75">SUM(AZ59,AX59)</f>
        <v>0</v>
      </c>
      <c r="AX59" s="79">
        <v>0</v>
      </c>
      <c r="AY59" s="80">
        <v>0</v>
      </c>
      <c r="AZ59" s="81">
        <v>0</v>
      </c>
      <c r="BA59" s="70">
        <f t="shared" si="35"/>
        <v>0</v>
      </c>
      <c r="BB59" s="71">
        <f t="shared" si="36"/>
        <v>0</v>
      </c>
      <c r="BC59" s="72">
        <f t="shared" si="54"/>
        <v>0</v>
      </c>
      <c r="BD59" s="134">
        <f t="shared" si="38"/>
        <v>0</v>
      </c>
      <c r="BE59" s="78">
        <f t="shared" ref="BE59:BE115" si="76">SUM(BH59,BF59)</f>
        <v>0</v>
      </c>
      <c r="BF59" s="79"/>
      <c r="BG59" s="80"/>
      <c r="BH59" s="81"/>
      <c r="BI59" s="70">
        <f t="shared" si="40"/>
        <v>0</v>
      </c>
      <c r="BJ59" s="71">
        <f t="shared" si="51"/>
        <v>0</v>
      </c>
      <c r="BK59" s="72">
        <f t="shared" si="67"/>
        <v>0</v>
      </c>
      <c r="BL59" s="134">
        <f t="shared" si="68"/>
        <v>0</v>
      </c>
    </row>
    <row r="60" spans="1:64" ht="12.9" x14ac:dyDescent="0.35">
      <c r="A60" s="25" t="s">
        <v>22</v>
      </c>
      <c r="B60" s="26" t="s">
        <v>34</v>
      </c>
      <c r="C60" s="27" t="s">
        <v>26</v>
      </c>
      <c r="D60" s="40" t="s">
        <v>125</v>
      </c>
      <c r="E60" s="78">
        <f t="shared" si="69"/>
        <v>0.4</v>
      </c>
      <c r="F60" s="79">
        <v>0.4</v>
      </c>
      <c r="G60" s="80"/>
      <c r="H60" s="81"/>
      <c r="I60" s="78">
        <f t="shared" si="70"/>
        <v>0</v>
      </c>
      <c r="J60" s="79"/>
      <c r="K60" s="80"/>
      <c r="L60" s="81"/>
      <c r="M60" s="70">
        <f t="shared" si="10"/>
        <v>0.4</v>
      </c>
      <c r="N60" s="71">
        <f t="shared" si="11"/>
        <v>0.4</v>
      </c>
      <c r="O60" s="72">
        <f t="shared" si="12"/>
        <v>0</v>
      </c>
      <c r="P60" s="134">
        <f t="shared" si="13"/>
        <v>0</v>
      </c>
      <c r="Q60" s="78">
        <f t="shared" si="71"/>
        <v>0</v>
      </c>
      <c r="R60" s="79"/>
      <c r="S60" s="80"/>
      <c r="T60" s="81"/>
      <c r="U60" s="70">
        <f t="shared" si="15"/>
        <v>0.4</v>
      </c>
      <c r="V60" s="71">
        <f t="shared" si="16"/>
        <v>0.4</v>
      </c>
      <c r="W60" s="72">
        <f t="shared" si="17"/>
        <v>0</v>
      </c>
      <c r="X60" s="134">
        <f t="shared" si="18"/>
        <v>0</v>
      </c>
      <c r="Y60" s="78">
        <f t="shared" si="72"/>
        <v>0</v>
      </c>
      <c r="Z60" s="79"/>
      <c r="AA60" s="80"/>
      <c r="AB60" s="81"/>
      <c r="AC60" s="70">
        <f t="shared" si="20"/>
        <v>0.4</v>
      </c>
      <c r="AD60" s="71">
        <f t="shared" si="21"/>
        <v>0.4</v>
      </c>
      <c r="AE60" s="72">
        <f t="shared" si="22"/>
        <v>0</v>
      </c>
      <c r="AF60" s="134">
        <f t="shared" si="23"/>
        <v>0</v>
      </c>
      <c r="AG60" s="78">
        <f t="shared" si="73"/>
        <v>0</v>
      </c>
      <c r="AH60" s="79"/>
      <c r="AI60" s="80"/>
      <c r="AJ60" s="81"/>
      <c r="AK60" s="70">
        <f t="shared" si="25"/>
        <v>0.4</v>
      </c>
      <c r="AL60" s="71">
        <f t="shared" si="26"/>
        <v>0.4</v>
      </c>
      <c r="AM60" s="72">
        <f t="shared" si="52"/>
        <v>0</v>
      </c>
      <c r="AN60" s="134">
        <f t="shared" si="28"/>
        <v>0</v>
      </c>
      <c r="AO60" s="78">
        <f t="shared" si="74"/>
        <v>0</v>
      </c>
      <c r="AP60" s="79"/>
      <c r="AQ60" s="80"/>
      <c r="AR60" s="81"/>
      <c r="AS60" s="70">
        <f t="shared" si="30"/>
        <v>0.4</v>
      </c>
      <c r="AT60" s="71">
        <f t="shared" si="31"/>
        <v>0.4</v>
      </c>
      <c r="AU60" s="72">
        <f t="shared" si="53"/>
        <v>0</v>
      </c>
      <c r="AV60" s="134">
        <f t="shared" si="33"/>
        <v>0</v>
      </c>
      <c r="AW60" s="78">
        <f t="shared" si="75"/>
        <v>0.5</v>
      </c>
      <c r="AX60" s="79">
        <v>0.5</v>
      </c>
      <c r="AY60" s="80"/>
      <c r="AZ60" s="81"/>
      <c r="BA60" s="70">
        <f t="shared" si="35"/>
        <v>0.9</v>
      </c>
      <c r="BB60" s="71">
        <f t="shared" si="36"/>
        <v>0.9</v>
      </c>
      <c r="BC60" s="72">
        <f t="shared" si="54"/>
        <v>0</v>
      </c>
      <c r="BD60" s="134">
        <f t="shared" si="38"/>
        <v>0</v>
      </c>
      <c r="BE60" s="78">
        <f t="shared" si="76"/>
        <v>0</v>
      </c>
      <c r="BF60" s="79"/>
      <c r="BG60" s="80"/>
      <c r="BH60" s="81"/>
      <c r="BI60" s="70">
        <f t="shared" si="40"/>
        <v>0.9</v>
      </c>
      <c r="BJ60" s="71">
        <f t="shared" si="51"/>
        <v>0.9</v>
      </c>
      <c r="BK60" s="72">
        <f t="shared" si="67"/>
        <v>0</v>
      </c>
      <c r="BL60" s="134">
        <f t="shared" si="68"/>
        <v>0</v>
      </c>
    </row>
    <row r="61" spans="1:64" ht="12.9" x14ac:dyDescent="0.35">
      <c r="A61" s="231" t="s">
        <v>25</v>
      </c>
      <c r="B61" s="233" t="s">
        <v>41</v>
      </c>
      <c r="C61" s="27" t="s">
        <v>51</v>
      </c>
      <c r="D61" s="25" t="s">
        <v>125</v>
      </c>
      <c r="E61" s="78">
        <f t="shared" si="69"/>
        <v>297.39300000000003</v>
      </c>
      <c r="F61" s="79">
        <f>278.29+18.503</f>
        <v>296.79300000000001</v>
      </c>
      <c r="G61" s="80">
        <f>227.72-4</f>
        <v>223.72</v>
      </c>
      <c r="H61" s="81">
        <v>0.6</v>
      </c>
      <c r="I61" s="78">
        <f t="shared" si="70"/>
        <v>0</v>
      </c>
      <c r="J61" s="79"/>
      <c r="K61" s="80"/>
      <c r="L61" s="81"/>
      <c r="M61" s="70">
        <f t="shared" si="10"/>
        <v>297.39300000000003</v>
      </c>
      <c r="N61" s="71">
        <f t="shared" si="11"/>
        <v>296.79300000000001</v>
      </c>
      <c r="O61" s="72">
        <f t="shared" si="12"/>
        <v>223.72</v>
      </c>
      <c r="P61" s="134">
        <f t="shared" si="13"/>
        <v>0.6</v>
      </c>
      <c r="Q61" s="78">
        <f t="shared" si="71"/>
        <v>0</v>
      </c>
      <c r="R61" s="79"/>
      <c r="S61" s="80"/>
      <c r="T61" s="81"/>
      <c r="U61" s="70">
        <f t="shared" si="15"/>
        <v>297.39300000000003</v>
      </c>
      <c r="V61" s="71">
        <f t="shared" si="16"/>
        <v>296.79300000000001</v>
      </c>
      <c r="W61" s="72">
        <f t="shared" si="17"/>
        <v>223.72</v>
      </c>
      <c r="X61" s="134">
        <f t="shared" si="18"/>
        <v>0.6</v>
      </c>
      <c r="Y61" s="78">
        <f t="shared" si="72"/>
        <v>0.375</v>
      </c>
      <c r="Z61" s="79">
        <v>0.375</v>
      </c>
      <c r="AA61" s="80"/>
      <c r="AB61" s="81"/>
      <c r="AC61" s="70">
        <f t="shared" si="20"/>
        <v>297.76800000000003</v>
      </c>
      <c r="AD61" s="71">
        <f t="shared" si="21"/>
        <v>297.16800000000001</v>
      </c>
      <c r="AE61" s="72">
        <f t="shared" si="22"/>
        <v>223.72</v>
      </c>
      <c r="AF61" s="134">
        <f t="shared" si="23"/>
        <v>0.6</v>
      </c>
      <c r="AG61" s="78">
        <f t="shared" si="73"/>
        <v>0</v>
      </c>
      <c r="AH61" s="79"/>
      <c r="AI61" s="80"/>
      <c r="AJ61" s="81"/>
      <c r="AK61" s="70">
        <f t="shared" si="25"/>
        <v>297.76800000000003</v>
      </c>
      <c r="AL61" s="71">
        <f t="shared" si="26"/>
        <v>297.16800000000001</v>
      </c>
      <c r="AM61" s="72">
        <f t="shared" si="52"/>
        <v>223.72</v>
      </c>
      <c r="AN61" s="134">
        <f t="shared" si="28"/>
        <v>0.6</v>
      </c>
      <c r="AO61" s="78">
        <f t="shared" si="74"/>
        <v>0</v>
      </c>
      <c r="AP61" s="79"/>
      <c r="AQ61" s="80"/>
      <c r="AR61" s="81"/>
      <c r="AS61" s="70">
        <f t="shared" si="30"/>
        <v>297.76800000000003</v>
      </c>
      <c r="AT61" s="71">
        <f t="shared" si="31"/>
        <v>297.16800000000001</v>
      </c>
      <c r="AU61" s="72">
        <f t="shared" si="53"/>
        <v>223.72</v>
      </c>
      <c r="AV61" s="134">
        <f t="shared" si="33"/>
        <v>0.6</v>
      </c>
      <c r="AW61" s="78">
        <f t="shared" si="75"/>
        <v>2.97</v>
      </c>
      <c r="AX61" s="79">
        <f>2.97</f>
        <v>2.97</v>
      </c>
      <c r="AY61" s="80">
        <v>0.56999999999999995</v>
      </c>
      <c r="AZ61" s="81"/>
      <c r="BA61" s="70">
        <f t="shared" si="35"/>
        <v>300.73800000000006</v>
      </c>
      <c r="BB61" s="71">
        <f t="shared" si="36"/>
        <v>300.13800000000003</v>
      </c>
      <c r="BC61" s="72">
        <f t="shared" si="54"/>
        <v>224.29</v>
      </c>
      <c r="BD61" s="134">
        <f t="shared" si="38"/>
        <v>0.6</v>
      </c>
      <c r="BE61" s="78">
        <f t="shared" si="76"/>
        <v>1.2</v>
      </c>
      <c r="BF61" s="79">
        <v>1.2</v>
      </c>
      <c r="BG61" s="80"/>
      <c r="BH61" s="81"/>
      <c r="BI61" s="70">
        <f t="shared" si="40"/>
        <v>301.93800000000005</v>
      </c>
      <c r="BJ61" s="71">
        <f t="shared" si="51"/>
        <v>301.33800000000002</v>
      </c>
      <c r="BK61" s="72">
        <f t="shared" si="67"/>
        <v>224.29</v>
      </c>
      <c r="BL61" s="134">
        <f t="shared" si="68"/>
        <v>0.6</v>
      </c>
    </row>
    <row r="62" spans="1:64" ht="12.9" x14ac:dyDescent="0.35">
      <c r="A62" s="241"/>
      <c r="B62" s="242"/>
      <c r="C62" s="27" t="s">
        <v>52</v>
      </c>
      <c r="D62" s="25" t="s">
        <v>49</v>
      </c>
      <c r="E62" s="78">
        <f t="shared" si="69"/>
        <v>687.23</v>
      </c>
      <c r="F62" s="79">
        <v>687.23</v>
      </c>
      <c r="G62" s="80">
        <f>666.26-1.5</f>
        <v>664.76</v>
      </c>
      <c r="H62" s="81"/>
      <c r="I62" s="78">
        <f t="shared" si="70"/>
        <v>0</v>
      </c>
      <c r="J62" s="79"/>
      <c r="K62" s="80"/>
      <c r="L62" s="81"/>
      <c r="M62" s="70">
        <f t="shared" si="10"/>
        <v>687.23</v>
      </c>
      <c r="N62" s="71">
        <f t="shared" si="11"/>
        <v>687.23</v>
      </c>
      <c r="O62" s="72">
        <f t="shared" si="12"/>
        <v>664.76</v>
      </c>
      <c r="P62" s="134">
        <f t="shared" si="13"/>
        <v>0</v>
      </c>
      <c r="Q62" s="78">
        <f t="shared" si="71"/>
        <v>0</v>
      </c>
      <c r="R62" s="79"/>
      <c r="S62" s="80"/>
      <c r="T62" s="81"/>
      <c r="U62" s="70">
        <f t="shared" si="15"/>
        <v>687.23</v>
      </c>
      <c r="V62" s="71">
        <f t="shared" si="16"/>
        <v>687.23</v>
      </c>
      <c r="W62" s="72">
        <f t="shared" si="17"/>
        <v>664.76</v>
      </c>
      <c r="X62" s="134">
        <f t="shared" si="18"/>
        <v>0</v>
      </c>
      <c r="Y62" s="78">
        <f t="shared" si="72"/>
        <v>-0.51300000000000001</v>
      </c>
      <c r="Z62" s="79">
        <v>-0.51300000000000001</v>
      </c>
      <c r="AA62" s="80">
        <v>-0.50600000000000001</v>
      </c>
      <c r="AB62" s="81"/>
      <c r="AC62" s="70">
        <f t="shared" si="20"/>
        <v>686.71699999999998</v>
      </c>
      <c r="AD62" s="71">
        <f t="shared" si="21"/>
        <v>686.71699999999998</v>
      </c>
      <c r="AE62" s="72">
        <f t="shared" si="22"/>
        <v>664.25400000000002</v>
      </c>
      <c r="AF62" s="134">
        <f t="shared" si="23"/>
        <v>0</v>
      </c>
      <c r="AG62" s="78">
        <f t="shared" si="73"/>
        <v>1.784</v>
      </c>
      <c r="AH62" s="79">
        <v>1.784</v>
      </c>
      <c r="AI62" s="80">
        <v>1.7589999999999999</v>
      </c>
      <c r="AJ62" s="81"/>
      <c r="AK62" s="70">
        <f t="shared" si="25"/>
        <v>688.50099999999998</v>
      </c>
      <c r="AL62" s="71">
        <f t="shared" si="26"/>
        <v>688.50099999999998</v>
      </c>
      <c r="AM62" s="72">
        <f t="shared" si="52"/>
        <v>666.01300000000003</v>
      </c>
      <c r="AN62" s="134">
        <f t="shared" si="28"/>
        <v>0</v>
      </c>
      <c r="AO62" s="78">
        <f t="shared" si="74"/>
        <v>0</v>
      </c>
      <c r="AP62" s="79"/>
      <c r="AQ62" s="80">
        <v>-6.0259999999999998</v>
      </c>
      <c r="AR62" s="81"/>
      <c r="AS62" s="70">
        <f t="shared" si="30"/>
        <v>688.50099999999998</v>
      </c>
      <c r="AT62" s="71">
        <f t="shared" si="31"/>
        <v>688.50099999999998</v>
      </c>
      <c r="AU62" s="72">
        <f t="shared" si="53"/>
        <v>659.98700000000008</v>
      </c>
      <c r="AV62" s="134">
        <f t="shared" si="33"/>
        <v>0</v>
      </c>
      <c r="AW62" s="78">
        <f t="shared" si="75"/>
        <v>-17.11</v>
      </c>
      <c r="AX62" s="79">
        <v>-17.11</v>
      </c>
      <c r="AY62" s="80">
        <v>-16.829999999999998</v>
      </c>
      <c r="AZ62" s="81"/>
      <c r="BA62" s="70">
        <f t="shared" si="35"/>
        <v>671.39099999999996</v>
      </c>
      <c r="BB62" s="71">
        <f t="shared" si="36"/>
        <v>671.39099999999996</v>
      </c>
      <c r="BC62" s="72">
        <f t="shared" si="54"/>
        <v>643.15700000000004</v>
      </c>
      <c r="BD62" s="134">
        <f t="shared" si="38"/>
        <v>0</v>
      </c>
      <c r="BE62" s="78">
        <f t="shared" si="76"/>
        <v>0</v>
      </c>
      <c r="BF62" s="79">
        <v>-17.5</v>
      </c>
      <c r="BG62" s="80">
        <f>-0.058-25.11-0.15</f>
        <v>-25.317999999999998</v>
      </c>
      <c r="BH62" s="81">
        <v>17.5</v>
      </c>
      <c r="BI62" s="70">
        <f t="shared" si="40"/>
        <v>671.39099999999996</v>
      </c>
      <c r="BJ62" s="71">
        <f t="shared" si="51"/>
        <v>653.89099999999996</v>
      </c>
      <c r="BK62" s="72">
        <f t="shared" si="67"/>
        <v>617.83900000000006</v>
      </c>
      <c r="BL62" s="134">
        <f t="shared" si="68"/>
        <v>17.5</v>
      </c>
    </row>
    <row r="63" spans="1:64" ht="12.9" x14ac:dyDescent="0.35">
      <c r="A63" s="232"/>
      <c r="B63" s="234"/>
      <c r="C63" s="27" t="s">
        <v>53</v>
      </c>
      <c r="D63" s="25" t="s">
        <v>137</v>
      </c>
      <c r="E63" s="78">
        <f t="shared" si="69"/>
        <v>8.952</v>
      </c>
      <c r="F63" s="79">
        <f>6.468+1.052</f>
        <v>7.52</v>
      </c>
      <c r="G63" s="80">
        <v>1.0369999999999999</v>
      </c>
      <c r="H63" s="81">
        <v>1.4319999999999999</v>
      </c>
      <c r="I63" s="78">
        <f t="shared" si="70"/>
        <v>0</v>
      </c>
      <c r="J63" s="79"/>
      <c r="K63" s="80"/>
      <c r="L63" s="81"/>
      <c r="M63" s="70">
        <f t="shared" si="10"/>
        <v>8.952</v>
      </c>
      <c r="N63" s="71">
        <f t="shared" si="11"/>
        <v>7.52</v>
      </c>
      <c r="O63" s="72">
        <f t="shared" si="12"/>
        <v>1.0369999999999999</v>
      </c>
      <c r="P63" s="134">
        <f t="shared" si="13"/>
        <v>1.4319999999999999</v>
      </c>
      <c r="Q63" s="78">
        <f t="shared" si="71"/>
        <v>9.1170000000000009</v>
      </c>
      <c r="R63" s="79">
        <f>4.374+0.743+4</f>
        <v>9.1170000000000009</v>
      </c>
      <c r="S63" s="80">
        <v>5.0439999999999996</v>
      </c>
      <c r="T63" s="81"/>
      <c r="U63" s="70">
        <f t="shared" si="15"/>
        <v>18.068999999999999</v>
      </c>
      <c r="V63" s="71">
        <f>N63+R63</f>
        <v>16.637</v>
      </c>
      <c r="W63" s="72">
        <f t="shared" si="17"/>
        <v>6.0809999999999995</v>
      </c>
      <c r="X63" s="134">
        <f t="shared" si="18"/>
        <v>1.4319999999999999</v>
      </c>
      <c r="Y63" s="78">
        <f t="shared" si="72"/>
        <v>1.206</v>
      </c>
      <c r="Z63" s="79">
        <v>1.206</v>
      </c>
      <c r="AA63" s="80">
        <v>1.18</v>
      </c>
      <c r="AB63" s="81"/>
      <c r="AC63" s="70">
        <f t="shared" si="20"/>
        <v>19.274999999999999</v>
      </c>
      <c r="AD63" s="71">
        <f>V63+Z63</f>
        <v>17.843</v>
      </c>
      <c r="AE63" s="72">
        <f t="shared" si="22"/>
        <v>7.2609999999999992</v>
      </c>
      <c r="AF63" s="134">
        <f t="shared" si="23"/>
        <v>1.4319999999999999</v>
      </c>
      <c r="AG63" s="78">
        <f t="shared" si="73"/>
        <v>4.319</v>
      </c>
      <c r="AH63" s="79">
        <v>4.319</v>
      </c>
      <c r="AI63" s="80"/>
      <c r="AJ63" s="81"/>
      <c r="AK63" s="70">
        <f t="shared" si="25"/>
        <v>23.593999999999998</v>
      </c>
      <c r="AL63" s="71">
        <f>AD63+AH63</f>
        <v>22.161999999999999</v>
      </c>
      <c r="AM63" s="72">
        <f t="shared" si="52"/>
        <v>7.2609999999999992</v>
      </c>
      <c r="AN63" s="134">
        <f t="shared" si="28"/>
        <v>1.4319999999999999</v>
      </c>
      <c r="AO63" s="78">
        <f t="shared" si="74"/>
        <v>0</v>
      </c>
      <c r="AP63" s="79"/>
      <c r="AQ63" s="80"/>
      <c r="AR63" s="81"/>
      <c r="AS63" s="70">
        <f t="shared" si="30"/>
        <v>23.593999999999998</v>
      </c>
      <c r="AT63" s="71">
        <f>AL63+AP63</f>
        <v>22.161999999999999</v>
      </c>
      <c r="AU63" s="72">
        <f t="shared" si="53"/>
        <v>7.2609999999999992</v>
      </c>
      <c r="AV63" s="134">
        <f t="shared" si="33"/>
        <v>1.4319999999999999</v>
      </c>
      <c r="AW63" s="78">
        <f t="shared" si="75"/>
        <v>3.8850000000000002</v>
      </c>
      <c r="AX63" s="79">
        <f>3.915-0.03</f>
        <v>3.8850000000000002</v>
      </c>
      <c r="AY63" s="80">
        <v>3.859</v>
      </c>
      <c r="AZ63" s="81"/>
      <c r="BA63" s="70">
        <f t="shared" si="35"/>
        <v>27.478999999999999</v>
      </c>
      <c r="BB63" s="71">
        <f>AT63+AX63</f>
        <v>26.047000000000001</v>
      </c>
      <c r="BC63" s="72">
        <f t="shared" si="54"/>
        <v>11.12</v>
      </c>
      <c r="BD63" s="134">
        <f t="shared" si="38"/>
        <v>1.4319999999999999</v>
      </c>
      <c r="BE63" s="78">
        <f t="shared" si="76"/>
        <v>0</v>
      </c>
      <c r="BF63" s="79"/>
      <c r="BG63" s="80">
        <v>-2.1000000000000001E-2</v>
      </c>
      <c r="BH63" s="81"/>
      <c r="BI63" s="70">
        <f t="shared" si="40"/>
        <v>27.478999999999999</v>
      </c>
      <c r="BJ63" s="71">
        <f>BB63+BF63</f>
        <v>26.047000000000001</v>
      </c>
      <c r="BK63" s="72">
        <f t="shared" si="67"/>
        <v>11.098999999999998</v>
      </c>
      <c r="BL63" s="134">
        <f t="shared" si="68"/>
        <v>1.4319999999999999</v>
      </c>
    </row>
    <row r="64" spans="1:64" ht="12.9" x14ac:dyDescent="0.35">
      <c r="A64" s="45" t="s">
        <v>23</v>
      </c>
      <c r="B64" s="46" t="s">
        <v>44</v>
      </c>
      <c r="C64" s="27" t="s">
        <v>105</v>
      </c>
      <c r="D64" s="25" t="s">
        <v>38</v>
      </c>
      <c r="E64" s="78">
        <f t="shared" si="69"/>
        <v>17.8</v>
      </c>
      <c r="F64" s="79">
        <v>17.8</v>
      </c>
      <c r="G64" s="80"/>
      <c r="H64" s="81"/>
      <c r="I64" s="78">
        <f t="shared" si="70"/>
        <v>0</v>
      </c>
      <c r="J64" s="79"/>
      <c r="K64" s="80"/>
      <c r="L64" s="81"/>
      <c r="M64" s="70">
        <f t="shared" si="10"/>
        <v>17.8</v>
      </c>
      <c r="N64" s="71">
        <f t="shared" si="11"/>
        <v>17.8</v>
      </c>
      <c r="O64" s="72">
        <f t="shared" si="12"/>
        <v>0</v>
      </c>
      <c r="P64" s="134">
        <f t="shared" si="13"/>
        <v>0</v>
      </c>
      <c r="Q64" s="78">
        <f t="shared" si="71"/>
        <v>0</v>
      </c>
      <c r="R64" s="79"/>
      <c r="S64" s="80"/>
      <c r="T64" s="81"/>
      <c r="U64" s="70">
        <f t="shared" si="15"/>
        <v>17.8</v>
      </c>
      <c r="V64" s="71">
        <f t="shared" si="16"/>
        <v>17.8</v>
      </c>
      <c r="W64" s="72">
        <f t="shared" si="17"/>
        <v>0</v>
      </c>
      <c r="X64" s="134">
        <f t="shared" si="18"/>
        <v>0</v>
      </c>
      <c r="Y64" s="78">
        <f t="shared" si="72"/>
        <v>0</v>
      </c>
      <c r="Z64" s="79"/>
      <c r="AA64" s="80"/>
      <c r="AB64" s="81"/>
      <c r="AC64" s="70">
        <f t="shared" si="20"/>
        <v>17.8</v>
      </c>
      <c r="AD64" s="71">
        <f t="shared" ref="AD64:AD82" si="77">V64+Z64</f>
        <v>17.8</v>
      </c>
      <c r="AE64" s="72">
        <f t="shared" si="22"/>
        <v>0</v>
      </c>
      <c r="AF64" s="134">
        <f t="shared" si="23"/>
        <v>0</v>
      </c>
      <c r="AG64" s="78">
        <f t="shared" si="73"/>
        <v>0</v>
      </c>
      <c r="AH64" s="79"/>
      <c r="AI64" s="80"/>
      <c r="AJ64" s="81"/>
      <c r="AK64" s="70">
        <f t="shared" si="25"/>
        <v>17.8</v>
      </c>
      <c r="AL64" s="71">
        <f t="shared" ref="AL64:AL82" si="78">AD64+AH64</f>
        <v>17.8</v>
      </c>
      <c r="AM64" s="72">
        <f t="shared" si="52"/>
        <v>0</v>
      </c>
      <c r="AN64" s="134">
        <f t="shared" si="28"/>
        <v>0</v>
      </c>
      <c r="AO64" s="78">
        <f t="shared" si="74"/>
        <v>0</v>
      </c>
      <c r="AP64" s="79"/>
      <c r="AQ64" s="80"/>
      <c r="AR64" s="81"/>
      <c r="AS64" s="70">
        <f t="shared" si="30"/>
        <v>17.8</v>
      </c>
      <c r="AT64" s="71">
        <f t="shared" ref="AT64:AT82" si="79">AL64+AP64</f>
        <v>17.8</v>
      </c>
      <c r="AU64" s="72">
        <f t="shared" si="53"/>
        <v>0</v>
      </c>
      <c r="AV64" s="134">
        <f t="shared" si="33"/>
        <v>0</v>
      </c>
      <c r="AW64" s="78">
        <f t="shared" si="75"/>
        <v>-0.48</v>
      </c>
      <c r="AX64" s="79">
        <v>-0.48</v>
      </c>
      <c r="AY64" s="80"/>
      <c r="AZ64" s="81"/>
      <c r="BA64" s="70">
        <f t="shared" si="35"/>
        <v>17.32</v>
      </c>
      <c r="BB64" s="71">
        <f t="shared" ref="BB64:BB82" si="80">AT64+AX64</f>
        <v>17.32</v>
      </c>
      <c r="BC64" s="72">
        <f t="shared" si="54"/>
        <v>0</v>
      </c>
      <c r="BD64" s="134">
        <f t="shared" si="38"/>
        <v>0</v>
      </c>
      <c r="BE64" s="78">
        <f t="shared" si="76"/>
        <v>-0.7</v>
      </c>
      <c r="BF64" s="79">
        <v>-0.7</v>
      </c>
      <c r="BG64" s="80"/>
      <c r="BH64" s="81"/>
      <c r="BI64" s="70">
        <f t="shared" si="40"/>
        <v>16.62</v>
      </c>
      <c r="BJ64" s="71">
        <f t="shared" ref="BJ64:BJ82" si="81">BB64+BF64</f>
        <v>16.62</v>
      </c>
      <c r="BK64" s="72">
        <f t="shared" si="67"/>
        <v>0</v>
      </c>
      <c r="BL64" s="134">
        <f t="shared" si="68"/>
        <v>0</v>
      </c>
    </row>
    <row r="65" spans="1:64" ht="12.9" x14ac:dyDescent="0.35">
      <c r="A65" s="283" t="s">
        <v>33</v>
      </c>
      <c r="B65" s="237" t="s">
        <v>45</v>
      </c>
      <c r="C65" s="27" t="s">
        <v>234</v>
      </c>
      <c r="D65" s="25" t="s">
        <v>125</v>
      </c>
      <c r="E65" s="78">
        <f t="shared" si="69"/>
        <v>0.5</v>
      </c>
      <c r="F65" s="79">
        <v>0.5</v>
      </c>
      <c r="G65" s="80"/>
      <c r="H65" s="81"/>
      <c r="I65" s="78">
        <f t="shared" si="70"/>
        <v>0</v>
      </c>
      <c r="J65" s="79"/>
      <c r="K65" s="80"/>
      <c r="L65" s="81"/>
      <c r="M65" s="70">
        <f t="shared" si="10"/>
        <v>0.5</v>
      </c>
      <c r="N65" s="71">
        <f t="shared" si="11"/>
        <v>0.5</v>
      </c>
      <c r="O65" s="72">
        <f t="shared" si="12"/>
        <v>0</v>
      </c>
      <c r="P65" s="134">
        <f t="shared" si="13"/>
        <v>0</v>
      </c>
      <c r="Q65" s="78">
        <f t="shared" si="71"/>
        <v>0</v>
      </c>
      <c r="R65" s="79"/>
      <c r="S65" s="80"/>
      <c r="T65" s="81"/>
      <c r="U65" s="70">
        <f t="shared" si="15"/>
        <v>0.5</v>
      </c>
      <c r="V65" s="71">
        <f t="shared" si="16"/>
        <v>0.5</v>
      </c>
      <c r="W65" s="72">
        <f t="shared" si="17"/>
        <v>0</v>
      </c>
      <c r="X65" s="134">
        <f t="shared" si="18"/>
        <v>0</v>
      </c>
      <c r="Y65" s="78">
        <f t="shared" si="72"/>
        <v>0</v>
      </c>
      <c r="Z65" s="79"/>
      <c r="AA65" s="80"/>
      <c r="AB65" s="81"/>
      <c r="AC65" s="70">
        <f t="shared" si="20"/>
        <v>0.5</v>
      </c>
      <c r="AD65" s="71">
        <f t="shared" si="77"/>
        <v>0.5</v>
      </c>
      <c r="AE65" s="72">
        <f t="shared" si="22"/>
        <v>0</v>
      </c>
      <c r="AF65" s="134">
        <f t="shared" si="23"/>
        <v>0</v>
      </c>
      <c r="AG65" s="78">
        <f t="shared" si="73"/>
        <v>0</v>
      </c>
      <c r="AH65" s="79"/>
      <c r="AI65" s="80"/>
      <c r="AJ65" s="81"/>
      <c r="AK65" s="70">
        <f t="shared" si="25"/>
        <v>0.5</v>
      </c>
      <c r="AL65" s="71">
        <f t="shared" si="78"/>
        <v>0.5</v>
      </c>
      <c r="AM65" s="72">
        <f t="shared" si="52"/>
        <v>0</v>
      </c>
      <c r="AN65" s="134">
        <f t="shared" si="28"/>
        <v>0</v>
      </c>
      <c r="AO65" s="78">
        <f t="shared" si="74"/>
        <v>0</v>
      </c>
      <c r="AP65" s="79"/>
      <c r="AQ65" s="80"/>
      <c r="AR65" s="81"/>
      <c r="AS65" s="70">
        <f t="shared" si="30"/>
        <v>0.5</v>
      </c>
      <c r="AT65" s="71">
        <f t="shared" si="79"/>
        <v>0.5</v>
      </c>
      <c r="AU65" s="72">
        <f t="shared" si="53"/>
        <v>0</v>
      </c>
      <c r="AV65" s="134">
        <f t="shared" si="33"/>
        <v>0</v>
      </c>
      <c r="AW65" s="78">
        <f t="shared" si="75"/>
        <v>0</v>
      </c>
      <c r="AX65" s="79"/>
      <c r="AY65" s="80"/>
      <c r="AZ65" s="81"/>
      <c r="BA65" s="70">
        <f t="shared" si="35"/>
        <v>0.5</v>
      </c>
      <c r="BB65" s="71">
        <f t="shared" si="80"/>
        <v>0.5</v>
      </c>
      <c r="BC65" s="72">
        <f t="shared" si="54"/>
        <v>0</v>
      </c>
      <c r="BD65" s="134">
        <f t="shared" si="38"/>
        <v>0</v>
      </c>
      <c r="BE65" s="78">
        <f t="shared" si="76"/>
        <v>0</v>
      </c>
      <c r="BF65" s="79"/>
      <c r="BG65" s="80"/>
      <c r="BH65" s="81"/>
      <c r="BI65" s="70">
        <f t="shared" si="40"/>
        <v>0.5</v>
      </c>
      <c r="BJ65" s="71">
        <f t="shared" si="81"/>
        <v>0.5</v>
      </c>
      <c r="BK65" s="72">
        <f t="shared" si="67"/>
        <v>0</v>
      </c>
      <c r="BL65" s="134">
        <f t="shared" si="68"/>
        <v>0</v>
      </c>
    </row>
    <row r="66" spans="1:64" ht="12.9" x14ac:dyDescent="0.35">
      <c r="A66" s="284"/>
      <c r="B66" s="238"/>
      <c r="C66" s="27" t="s">
        <v>236</v>
      </c>
      <c r="D66" s="25" t="s">
        <v>137</v>
      </c>
      <c r="E66" s="78">
        <f t="shared" si="69"/>
        <v>0</v>
      </c>
      <c r="F66" s="79"/>
      <c r="G66" s="80"/>
      <c r="H66" s="81"/>
      <c r="I66" s="78">
        <f t="shared" si="70"/>
        <v>0</v>
      </c>
      <c r="J66" s="79"/>
      <c r="K66" s="80"/>
      <c r="L66" s="81"/>
      <c r="M66" s="70">
        <f t="shared" si="10"/>
        <v>0</v>
      </c>
      <c r="N66" s="71">
        <f t="shared" si="11"/>
        <v>0</v>
      </c>
      <c r="O66" s="72">
        <f t="shared" si="12"/>
        <v>0</v>
      </c>
      <c r="P66" s="134">
        <f t="shared" si="13"/>
        <v>0</v>
      </c>
      <c r="Q66" s="78">
        <f t="shared" si="71"/>
        <v>0</v>
      </c>
      <c r="R66" s="79"/>
      <c r="S66" s="80"/>
      <c r="T66" s="81"/>
      <c r="U66" s="70">
        <f t="shared" si="15"/>
        <v>0</v>
      </c>
      <c r="V66" s="71">
        <f t="shared" si="16"/>
        <v>0</v>
      </c>
      <c r="W66" s="72">
        <f t="shared" si="17"/>
        <v>0</v>
      </c>
      <c r="X66" s="134">
        <f t="shared" si="18"/>
        <v>0</v>
      </c>
      <c r="Y66" s="78">
        <f t="shared" si="72"/>
        <v>0</v>
      </c>
      <c r="Z66" s="79"/>
      <c r="AA66" s="80"/>
      <c r="AB66" s="81"/>
      <c r="AC66" s="70">
        <f t="shared" si="20"/>
        <v>0</v>
      </c>
      <c r="AD66" s="71">
        <f t="shared" si="77"/>
        <v>0</v>
      </c>
      <c r="AE66" s="72">
        <f t="shared" si="22"/>
        <v>0</v>
      </c>
      <c r="AF66" s="134">
        <f t="shared" si="23"/>
        <v>0</v>
      </c>
      <c r="AG66" s="78">
        <f t="shared" si="73"/>
        <v>0</v>
      </c>
      <c r="AH66" s="79"/>
      <c r="AI66" s="80"/>
      <c r="AJ66" s="81"/>
      <c r="AK66" s="70">
        <f t="shared" si="25"/>
        <v>0</v>
      </c>
      <c r="AL66" s="71">
        <f t="shared" si="78"/>
        <v>0</v>
      </c>
      <c r="AM66" s="72">
        <f t="shared" si="52"/>
        <v>0</v>
      </c>
      <c r="AN66" s="134">
        <f t="shared" si="28"/>
        <v>0</v>
      </c>
      <c r="AO66" s="78">
        <f t="shared" si="74"/>
        <v>0</v>
      </c>
      <c r="AP66" s="79"/>
      <c r="AQ66" s="80"/>
      <c r="AR66" s="81"/>
      <c r="AS66" s="70">
        <f t="shared" si="30"/>
        <v>0</v>
      </c>
      <c r="AT66" s="71">
        <f t="shared" si="79"/>
        <v>0</v>
      </c>
      <c r="AU66" s="72">
        <f t="shared" si="53"/>
        <v>0</v>
      </c>
      <c r="AV66" s="134">
        <f t="shared" si="33"/>
        <v>0</v>
      </c>
      <c r="AW66" s="78">
        <f t="shared" si="75"/>
        <v>0.3</v>
      </c>
      <c r="AX66" s="79">
        <v>0.3</v>
      </c>
      <c r="AY66" s="80"/>
      <c r="AZ66" s="81"/>
      <c r="BA66" s="70">
        <f t="shared" si="35"/>
        <v>0.3</v>
      </c>
      <c r="BB66" s="71">
        <f t="shared" si="80"/>
        <v>0.3</v>
      </c>
      <c r="BC66" s="72">
        <f t="shared" si="54"/>
        <v>0</v>
      </c>
      <c r="BD66" s="134">
        <f t="shared" si="38"/>
        <v>0</v>
      </c>
      <c r="BE66" s="78">
        <f t="shared" si="76"/>
        <v>0</v>
      </c>
      <c r="BF66" s="79"/>
      <c r="BG66" s="80"/>
      <c r="BH66" s="81"/>
      <c r="BI66" s="70">
        <f t="shared" si="40"/>
        <v>0.3</v>
      </c>
      <c r="BJ66" s="71">
        <f t="shared" si="81"/>
        <v>0.3</v>
      </c>
      <c r="BK66" s="72">
        <f t="shared" si="67"/>
        <v>0</v>
      </c>
      <c r="BL66" s="134">
        <f t="shared" si="68"/>
        <v>0</v>
      </c>
    </row>
    <row r="67" spans="1:64" ht="12.9" x14ac:dyDescent="0.35">
      <c r="A67" s="285" t="s">
        <v>32</v>
      </c>
      <c r="B67" s="237" t="s">
        <v>46</v>
      </c>
      <c r="C67" s="27" t="s">
        <v>246</v>
      </c>
      <c r="D67" s="25" t="s">
        <v>125</v>
      </c>
      <c r="E67" s="78">
        <f t="shared" si="69"/>
        <v>1.5</v>
      </c>
      <c r="F67" s="79">
        <v>1.5</v>
      </c>
      <c r="G67" s="80"/>
      <c r="H67" s="81"/>
      <c r="I67" s="78">
        <f t="shared" si="70"/>
        <v>0</v>
      </c>
      <c r="J67" s="79"/>
      <c r="K67" s="80"/>
      <c r="L67" s="81"/>
      <c r="M67" s="70">
        <f t="shared" si="10"/>
        <v>1.5</v>
      </c>
      <c r="N67" s="71">
        <f t="shared" si="11"/>
        <v>1.5</v>
      </c>
      <c r="O67" s="72">
        <f t="shared" si="12"/>
        <v>0</v>
      </c>
      <c r="P67" s="134">
        <f t="shared" si="13"/>
        <v>0</v>
      </c>
      <c r="Q67" s="78">
        <f t="shared" si="71"/>
        <v>0</v>
      </c>
      <c r="R67" s="79"/>
      <c r="S67" s="80"/>
      <c r="T67" s="81"/>
      <c r="U67" s="70">
        <f t="shared" si="15"/>
        <v>1.5</v>
      </c>
      <c r="V67" s="71">
        <f t="shared" si="16"/>
        <v>1.5</v>
      </c>
      <c r="W67" s="72">
        <f t="shared" si="17"/>
        <v>0</v>
      </c>
      <c r="X67" s="134">
        <f t="shared" si="18"/>
        <v>0</v>
      </c>
      <c r="Y67" s="78">
        <f t="shared" si="72"/>
        <v>0</v>
      </c>
      <c r="Z67" s="79"/>
      <c r="AA67" s="80"/>
      <c r="AB67" s="81"/>
      <c r="AC67" s="70">
        <f t="shared" si="20"/>
        <v>1.5</v>
      </c>
      <c r="AD67" s="71">
        <f t="shared" si="77"/>
        <v>1.5</v>
      </c>
      <c r="AE67" s="72">
        <f t="shared" si="22"/>
        <v>0</v>
      </c>
      <c r="AF67" s="134">
        <f t="shared" si="23"/>
        <v>0</v>
      </c>
      <c r="AG67" s="78">
        <f t="shared" si="73"/>
        <v>0</v>
      </c>
      <c r="AH67" s="79"/>
      <c r="AI67" s="80"/>
      <c r="AJ67" s="81"/>
      <c r="AK67" s="70">
        <f t="shared" si="25"/>
        <v>1.5</v>
      </c>
      <c r="AL67" s="71">
        <f t="shared" si="78"/>
        <v>1.5</v>
      </c>
      <c r="AM67" s="72">
        <f t="shared" si="52"/>
        <v>0</v>
      </c>
      <c r="AN67" s="134">
        <f t="shared" si="28"/>
        <v>0</v>
      </c>
      <c r="AO67" s="78">
        <f t="shared" si="74"/>
        <v>0</v>
      </c>
      <c r="AP67" s="79"/>
      <c r="AQ67" s="80"/>
      <c r="AR67" s="81"/>
      <c r="AS67" s="70">
        <f t="shared" si="30"/>
        <v>1.5</v>
      </c>
      <c r="AT67" s="71">
        <f t="shared" si="79"/>
        <v>1.5</v>
      </c>
      <c r="AU67" s="72">
        <f t="shared" si="53"/>
        <v>0</v>
      </c>
      <c r="AV67" s="134">
        <f t="shared" si="33"/>
        <v>0</v>
      </c>
      <c r="AW67" s="78">
        <f t="shared" si="75"/>
        <v>0.24</v>
      </c>
      <c r="AX67" s="79">
        <v>0.24</v>
      </c>
      <c r="AY67" s="80"/>
      <c r="AZ67" s="81"/>
      <c r="BA67" s="70">
        <f t="shared" si="35"/>
        <v>1.74</v>
      </c>
      <c r="BB67" s="71">
        <f t="shared" si="80"/>
        <v>1.74</v>
      </c>
      <c r="BC67" s="72">
        <f t="shared" si="54"/>
        <v>0</v>
      </c>
      <c r="BD67" s="134">
        <f t="shared" si="38"/>
        <v>0</v>
      </c>
      <c r="BE67" s="78">
        <f t="shared" si="76"/>
        <v>0</v>
      </c>
      <c r="BF67" s="79"/>
      <c r="BG67" s="80"/>
      <c r="BH67" s="81"/>
      <c r="BI67" s="70">
        <f t="shared" si="40"/>
        <v>1.74</v>
      </c>
      <c r="BJ67" s="71">
        <f t="shared" si="81"/>
        <v>1.74</v>
      </c>
      <c r="BK67" s="72">
        <f t="shared" si="67"/>
        <v>0</v>
      </c>
      <c r="BL67" s="134">
        <f t="shared" si="68"/>
        <v>0</v>
      </c>
    </row>
    <row r="68" spans="1:64" ht="12.9" hidden="1" x14ac:dyDescent="0.35">
      <c r="A68" s="286"/>
      <c r="B68" s="238"/>
      <c r="C68" s="27" t="s">
        <v>246</v>
      </c>
      <c r="D68" s="25" t="s">
        <v>50</v>
      </c>
      <c r="E68" s="78">
        <f t="shared" si="69"/>
        <v>0</v>
      </c>
      <c r="F68" s="79"/>
      <c r="G68" s="80"/>
      <c r="H68" s="81"/>
      <c r="I68" s="78">
        <f t="shared" si="70"/>
        <v>0</v>
      </c>
      <c r="J68" s="79"/>
      <c r="K68" s="80"/>
      <c r="L68" s="81"/>
      <c r="M68" s="70">
        <f t="shared" si="10"/>
        <v>0</v>
      </c>
      <c r="N68" s="71">
        <f t="shared" si="11"/>
        <v>0</v>
      </c>
      <c r="O68" s="72">
        <f t="shared" si="12"/>
        <v>0</v>
      </c>
      <c r="P68" s="134">
        <f t="shared" si="13"/>
        <v>0</v>
      </c>
      <c r="Q68" s="78">
        <f t="shared" si="71"/>
        <v>0</v>
      </c>
      <c r="R68" s="79"/>
      <c r="S68" s="80"/>
      <c r="T68" s="81"/>
      <c r="U68" s="70">
        <f t="shared" si="15"/>
        <v>0</v>
      </c>
      <c r="V68" s="71">
        <f t="shared" si="16"/>
        <v>0</v>
      </c>
      <c r="W68" s="72">
        <f t="shared" si="17"/>
        <v>0</v>
      </c>
      <c r="X68" s="134">
        <f t="shared" si="18"/>
        <v>0</v>
      </c>
      <c r="Y68" s="78">
        <f t="shared" si="72"/>
        <v>0</v>
      </c>
      <c r="Z68" s="79"/>
      <c r="AA68" s="80"/>
      <c r="AB68" s="81"/>
      <c r="AC68" s="70">
        <f t="shared" si="20"/>
        <v>0</v>
      </c>
      <c r="AD68" s="71">
        <f t="shared" si="77"/>
        <v>0</v>
      </c>
      <c r="AE68" s="72">
        <f t="shared" si="22"/>
        <v>0</v>
      </c>
      <c r="AF68" s="134">
        <f t="shared" si="23"/>
        <v>0</v>
      </c>
      <c r="AG68" s="78">
        <f t="shared" si="73"/>
        <v>0</v>
      </c>
      <c r="AH68" s="79"/>
      <c r="AI68" s="80"/>
      <c r="AJ68" s="81"/>
      <c r="AK68" s="70">
        <f t="shared" si="25"/>
        <v>0</v>
      </c>
      <c r="AL68" s="71">
        <f t="shared" si="78"/>
        <v>0</v>
      </c>
      <c r="AM68" s="72">
        <f t="shared" si="52"/>
        <v>0</v>
      </c>
      <c r="AN68" s="134">
        <f t="shared" si="28"/>
        <v>0</v>
      </c>
      <c r="AO68" s="78">
        <f t="shared" si="74"/>
        <v>0</v>
      </c>
      <c r="AP68" s="79"/>
      <c r="AQ68" s="80"/>
      <c r="AR68" s="81"/>
      <c r="AS68" s="70">
        <f t="shared" si="30"/>
        <v>0</v>
      </c>
      <c r="AT68" s="71">
        <f t="shared" si="79"/>
        <v>0</v>
      </c>
      <c r="AU68" s="72">
        <f t="shared" si="53"/>
        <v>0</v>
      </c>
      <c r="AV68" s="134">
        <f t="shared" si="33"/>
        <v>0</v>
      </c>
      <c r="AW68" s="78">
        <f t="shared" si="75"/>
        <v>0</v>
      </c>
      <c r="AX68" s="79"/>
      <c r="AY68" s="80"/>
      <c r="AZ68" s="81"/>
      <c r="BA68" s="70">
        <f t="shared" si="35"/>
        <v>0</v>
      </c>
      <c r="BB68" s="71">
        <f t="shared" si="80"/>
        <v>0</v>
      </c>
      <c r="BC68" s="72">
        <f t="shared" si="54"/>
        <v>0</v>
      </c>
      <c r="BD68" s="134">
        <f t="shared" si="38"/>
        <v>0</v>
      </c>
      <c r="BE68" s="78">
        <f t="shared" si="76"/>
        <v>0</v>
      </c>
      <c r="BF68" s="79"/>
      <c r="BG68" s="80"/>
      <c r="BH68" s="81"/>
      <c r="BI68" s="70">
        <f t="shared" si="40"/>
        <v>0</v>
      </c>
      <c r="BJ68" s="71">
        <f t="shared" si="81"/>
        <v>0</v>
      </c>
      <c r="BK68" s="72">
        <f t="shared" si="67"/>
        <v>0</v>
      </c>
      <c r="BL68" s="134">
        <f t="shared" si="68"/>
        <v>0</v>
      </c>
    </row>
    <row r="69" spans="1:64" ht="12.9" x14ac:dyDescent="0.35">
      <c r="A69" s="45" t="s">
        <v>7</v>
      </c>
      <c r="B69" s="23" t="s">
        <v>48</v>
      </c>
      <c r="C69" s="27" t="s">
        <v>285</v>
      </c>
      <c r="D69" s="25" t="s">
        <v>125</v>
      </c>
      <c r="E69" s="78">
        <f t="shared" si="69"/>
        <v>16.925999999999998</v>
      </c>
      <c r="F69" s="79">
        <v>16.925999999999998</v>
      </c>
      <c r="G69" s="80"/>
      <c r="H69" s="81"/>
      <c r="I69" s="78">
        <f t="shared" si="70"/>
        <v>0</v>
      </c>
      <c r="J69" s="79"/>
      <c r="K69" s="80"/>
      <c r="L69" s="81"/>
      <c r="M69" s="70">
        <f t="shared" si="10"/>
        <v>16.925999999999998</v>
      </c>
      <c r="N69" s="71">
        <f t="shared" si="11"/>
        <v>16.925999999999998</v>
      </c>
      <c r="O69" s="72">
        <f t="shared" si="12"/>
        <v>0</v>
      </c>
      <c r="P69" s="134">
        <f t="shared" si="13"/>
        <v>0</v>
      </c>
      <c r="Q69" s="78">
        <f t="shared" si="71"/>
        <v>0</v>
      </c>
      <c r="R69" s="79"/>
      <c r="S69" s="80"/>
      <c r="T69" s="81"/>
      <c r="U69" s="70">
        <f t="shared" si="15"/>
        <v>16.925999999999998</v>
      </c>
      <c r="V69" s="71">
        <f t="shared" si="16"/>
        <v>16.925999999999998</v>
      </c>
      <c r="W69" s="72">
        <f t="shared" si="17"/>
        <v>0</v>
      </c>
      <c r="X69" s="134">
        <f t="shared" si="18"/>
        <v>0</v>
      </c>
      <c r="Y69" s="78">
        <f t="shared" si="72"/>
        <v>0</v>
      </c>
      <c r="Z69" s="79"/>
      <c r="AA69" s="80"/>
      <c r="AB69" s="81"/>
      <c r="AC69" s="70">
        <f t="shared" si="20"/>
        <v>16.925999999999998</v>
      </c>
      <c r="AD69" s="71">
        <f t="shared" si="77"/>
        <v>16.925999999999998</v>
      </c>
      <c r="AE69" s="72">
        <f t="shared" si="22"/>
        <v>0</v>
      </c>
      <c r="AF69" s="134">
        <f t="shared" si="23"/>
        <v>0</v>
      </c>
      <c r="AG69" s="78">
        <f t="shared" si="73"/>
        <v>0</v>
      </c>
      <c r="AH69" s="79"/>
      <c r="AI69" s="80"/>
      <c r="AJ69" s="81"/>
      <c r="AK69" s="70">
        <f t="shared" si="25"/>
        <v>16.925999999999998</v>
      </c>
      <c r="AL69" s="71">
        <f t="shared" si="78"/>
        <v>16.925999999999998</v>
      </c>
      <c r="AM69" s="72">
        <f t="shared" si="52"/>
        <v>0</v>
      </c>
      <c r="AN69" s="134">
        <f t="shared" si="28"/>
        <v>0</v>
      </c>
      <c r="AO69" s="78">
        <f t="shared" si="74"/>
        <v>0</v>
      </c>
      <c r="AP69" s="79"/>
      <c r="AQ69" s="80"/>
      <c r="AR69" s="81"/>
      <c r="AS69" s="70">
        <f t="shared" si="30"/>
        <v>16.925999999999998</v>
      </c>
      <c r="AT69" s="71">
        <f t="shared" si="79"/>
        <v>16.925999999999998</v>
      </c>
      <c r="AU69" s="72">
        <f t="shared" si="53"/>
        <v>0</v>
      </c>
      <c r="AV69" s="134">
        <f t="shared" si="33"/>
        <v>0</v>
      </c>
      <c r="AW69" s="78">
        <f t="shared" si="75"/>
        <v>5</v>
      </c>
      <c r="AX69" s="79">
        <v>5</v>
      </c>
      <c r="AY69" s="80"/>
      <c r="AZ69" s="81"/>
      <c r="BA69" s="70">
        <f t="shared" si="35"/>
        <v>21.925999999999998</v>
      </c>
      <c r="BB69" s="71">
        <f t="shared" si="80"/>
        <v>21.925999999999998</v>
      </c>
      <c r="BC69" s="72">
        <f t="shared" si="54"/>
        <v>0</v>
      </c>
      <c r="BD69" s="134">
        <f t="shared" si="38"/>
        <v>0</v>
      </c>
      <c r="BE69" s="78">
        <f t="shared" si="76"/>
        <v>0</v>
      </c>
      <c r="BF69" s="79"/>
      <c r="BG69" s="80"/>
      <c r="BH69" s="81"/>
      <c r="BI69" s="70">
        <f t="shared" si="40"/>
        <v>21.925999999999998</v>
      </c>
      <c r="BJ69" s="71">
        <f t="shared" si="81"/>
        <v>21.925999999999998</v>
      </c>
      <c r="BK69" s="72">
        <f t="shared" si="67"/>
        <v>0</v>
      </c>
      <c r="BL69" s="134">
        <f t="shared" si="68"/>
        <v>0</v>
      </c>
    </row>
    <row r="70" spans="1:64" s="138" customFormat="1" ht="12.45" x14ac:dyDescent="0.3">
      <c r="A70" s="135"/>
      <c r="B70" s="145" t="s">
        <v>141</v>
      </c>
      <c r="C70" s="42" t="s">
        <v>176</v>
      </c>
      <c r="D70" s="137"/>
      <c r="E70" s="73">
        <f t="shared" si="69"/>
        <v>1254.9580000000001</v>
      </c>
      <c r="F70" s="74">
        <f>SUM(F72:F82)</f>
        <v>1236.7260000000001</v>
      </c>
      <c r="G70" s="75">
        <f>SUM(G72:G82)</f>
        <v>1050.184</v>
      </c>
      <c r="H70" s="133">
        <f>SUM(H72:H82)</f>
        <v>18.231999999999999</v>
      </c>
      <c r="I70" s="73">
        <f t="shared" si="70"/>
        <v>0</v>
      </c>
      <c r="J70" s="74">
        <f>SUM(J72:J82)</f>
        <v>-4.7</v>
      </c>
      <c r="K70" s="75">
        <f>SUM(K72:K82)</f>
        <v>0</v>
      </c>
      <c r="L70" s="133">
        <f>SUM(L72:L82)</f>
        <v>4.7</v>
      </c>
      <c r="M70" s="73">
        <f t="shared" si="10"/>
        <v>1254.9580000000001</v>
      </c>
      <c r="N70" s="74">
        <f t="shared" si="11"/>
        <v>1232.0260000000001</v>
      </c>
      <c r="O70" s="75">
        <f t="shared" si="12"/>
        <v>1050.184</v>
      </c>
      <c r="P70" s="133">
        <f t="shared" si="13"/>
        <v>22.931999999999999</v>
      </c>
      <c r="Q70" s="73">
        <f t="shared" si="71"/>
        <v>9.6039999999999992</v>
      </c>
      <c r="R70" s="74">
        <f>SUM(R72:R82)</f>
        <v>8.4039999999999999</v>
      </c>
      <c r="S70" s="75">
        <f>SUM(S72:S82)</f>
        <v>-1.573</v>
      </c>
      <c r="T70" s="133">
        <f>SUM(T72:T82)</f>
        <v>1.2</v>
      </c>
      <c r="U70" s="73">
        <f t="shared" si="15"/>
        <v>1264.5620000000001</v>
      </c>
      <c r="V70" s="74">
        <f t="shared" si="16"/>
        <v>1240.43</v>
      </c>
      <c r="W70" s="75">
        <f t="shared" si="17"/>
        <v>1048.6109999999999</v>
      </c>
      <c r="X70" s="133">
        <f t="shared" si="18"/>
        <v>24.131999999999998</v>
      </c>
      <c r="Y70" s="73">
        <f t="shared" si="72"/>
        <v>-8.5999999999999854E-2</v>
      </c>
      <c r="Z70" s="74">
        <f>SUM(Z72:Z82)</f>
        <v>-8.5999999999999854E-2</v>
      </c>
      <c r="AA70" s="75">
        <f>SUM(AA72:AA82)</f>
        <v>-0.10200000000000031</v>
      </c>
      <c r="AB70" s="133">
        <f>SUM(AB72:AB82)</f>
        <v>0</v>
      </c>
      <c r="AC70" s="73">
        <f t="shared" si="20"/>
        <v>1264.4760000000001</v>
      </c>
      <c r="AD70" s="74">
        <f t="shared" si="77"/>
        <v>1240.3440000000001</v>
      </c>
      <c r="AE70" s="75">
        <f t="shared" si="22"/>
        <v>1048.5089999999998</v>
      </c>
      <c r="AF70" s="133">
        <f t="shared" si="23"/>
        <v>24.131999999999998</v>
      </c>
      <c r="AG70" s="73">
        <f t="shared" si="73"/>
        <v>6.7220000000000004</v>
      </c>
      <c r="AH70" s="74">
        <f>SUM(AH72:AH82)</f>
        <v>6.7220000000000004</v>
      </c>
      <c r="AI70" s="75">
        <f>SUM(AI72:AI82)</f>
        <v>0.73199999999999998</v>
      </c>
      <c r="AJ70" s="133">
        <f>SUM(AJ72:AJ82)</f>
        <v>0</v>
      </c>
      <c r="AK70" s="73">
        <f t="shared" si="25"/>
        <v>1271.1980000000001</v>
      </c>
      <c r="AL70" s="74">
        <f t="shared" si="78"/>
        <v>1247.066</v>
      </c>
      <c r="AM70" s="75">
        <f t="shared" si="52"/>
        <v>1049.2409999999998</v>
      </c>
      <c r="AN70" s="133">
        <f t="shared" si="28"/>
        <v>24.131999999999998</v>
      </c>
      <c r="AO70" s="73">
        <f t="shared" si="74"/>
        <v>0</v>
      </c>
      <c r="AP70" s="74">
        <f>SUM(AP72:AP82)</f>
        <v>-8.870000000000001</v>
      </c>
      <c r="AQ70" s="75">
        <f>SUM(AQ72:AQ82)</f>
        <v>-10</v>
      </c>
      <c r="AR70" s="133">
        <f>SUM(AR72:AR82)</f>
        <v>8.870000000000001</v>
      </c>
      <c r="AS70" s="73">
        <f t="shared" si="30"/>
        <v>1271.1980000000001</v>
      </c>
      <c r="AT70" s="74">
        <f t="shared" si="79"/>
        <v>1238.1960000000001</v>
      </c>
      <c r="AU70" s="75">
        <f t="shared" si="53"/>
        <v>1039.2409999999998</v>
      </c>
      <c r="AV70" s="133">
        <f t="shared" si="33"/>
        <v>33.001999999999995</v>
      </c>
      <c r="AW70" s="73">
        <f t="shared" si="75"/>
        <v>110.59100000000001</v>
      </c>
      <c r="AX70" s="74">
        <f>SUM(AX72:AX82)</f>
        <v>101.59100000000001</v>
      </c>
      <c r="AY70" s="75">
        <f>SUM(AY72:AY82)</f>
        <v>87.844000000000008</v>
      </c>
      <c r="AZ70" s="133">
        <f>SUM(AZ72:AZ82)</f>
        <v>9</v>
      </c>
      <c r="BA70" s="73">
        <f t="shared" si="35"/>
        <v>1381.7890000000002</v>
      </c>
      <c r="BB70" s="74">
        <f t="shared" si="80"/>
        <v>1339.7870000000003</v>
      </c>
      <c r="BC70" s="75">
        <f t="shared" si="54"/>
        <v>1127.0849999999998</v>
      </c>
      <c r="BD70" s="133">
        <f>AV70+AZ70</f>
        <v>42.001999999999995</v>
      </c>
      <c r="BE70" s="73">
        <f t="shared" si="76"/>
        <v>12.612</v>
      </c>
      <c r="BF70" s="74">
        <f>SUM(BF72:BF82)</f>
        <v>1.7170000000000001</v>
      </c>
      <c r="BG70" s="75">
        <f>SUM(BG72:BG82)</f>
        <v>3.7879999999999998</v>
      </c>
      <c r="BH70" s="133">
        <f>SUM(BH72:BH82)</f>
        <v>10.895</v>
      </c>
      <c r="BI70" s="73">
        <f t="shared" si="40"/>
        <v>1394.4010000000003</v>
      </c>
      <c r="BJ70" s="74">
        <f t="shared" si="81"/>
        <v>1341.5040000000004</v>
      </c>
      <c r="BK70" s="75">
        <f t="shared" si="67"/>
        <v>1130.8729999999998</v>
      </c>
      <c r="BL70" s="133">
        <f>BD70+BH70</f>
        <v>52.896999999999991</v>
      </c>
    </row>
    <row r="71" spans="1:64" ht="12.9" x14ac:dyDescent="0.35">
      <c r="A71" s="39"/>
      <c r="B71" s="4" t="s">
        <v>2</v>
      </c>
      <c r="C71" s="119"/>
      <c r="D71" s="27"/>
      <c r="E71" s="78">
        <f t="shared" si="69"/>
        <v>0</v>
      </c>
      <c r="F71" s="79">
        <v>0</v>
      </c>
      <c r="G71" s="80">
        <v>0</v>
      </c>
      <c r="H71" s="81">
        <v>0</v>
      </c>
      <c r="I71" s="78">
        <f t="shared" si="70"/>
        <v>0</v>
      </c>
      <c r="J71" s="79">
        <v>0</v>
      </c>
      <c r="K71" s="80">
        <v>0</v>
      </c>
      <c r="L71" s="81">
        <v>0</v>
      </c>
      <c r="M71" s="70">
        <f t="shared" si="10"/>
        <v>0</v>
      </c>
      <c r="N71" s="71">
        <f t="shared" si="11"/>
        <v>0</v>
      </c>
      <c r="O71" s="72">
        <f t="shared" si="12"/>
        <v>0</v>
      </c>
      <c r="P71" s="134">
        <f t="shared" si="13"/>
        <v>0</v>
      </c>
      <c r="Q71" s="78">
        <f t="shared" si="71"/>
        <v>0</v>
      </c>
      <c r="R71" s="79">
        <v>0</v>
      </c>
      <c r="S71" s="80">
        <v>0</v>
      </c>
      <c r="T71" s="81">
        <v>0</v>
      </c>
      <c r="U71" s="70">
        <f t="shared" si="15"/>
        <v>0</v>
      </c>
      <c r="V71" s="71">
        <f t="shared" si="16"/>
        <v>0</v>
      </c>
      <c r="W71" s="72">
        <f t="shared" si="17"/>
        <v>0</v>
      </c>
      <c r="X71" s="134">
        <f t="shared" si="18"/>
        <v>0</v>
      </c>
      <c r="Y71" s="78">
        <f t="shared" si="72"/>
        <v>0</v>
      </c>
      <c r="Z71" s="79">
        <v>0</v>
      </c>
      <c r="AA71" s="80">
        <v>0</v>
      </c>
      <c r="AB71" s="81">
        <v>0</v>
      </c>
      <c r="AC71" s="70">
        <f t="shared" si="20"/>
        <v>0</v>
      </c>
      <c r="AD71" s="71">
        <f t="shared" si="77"/>
        <v>0</v>
      </c>
      <c r="AE71" s="72">
        <f t="shared" si="22"/>
        <v>0</v>
      </c>
      <c r="AF71" s="134">
        <f t="shared" si="23"/>
        <v>0</v>
      </c>
      <c r="AG71" s="78">
        <f t="shared" si="73"/>
        <v>0</v>
      </c>
      <c r="AH71" s="79">
        <v>0</v>
      </c>
      <c r="AI71" s="80">
        <v>0</v>
      </c>
      <c r="AJ71" s="81">
        <v>0</v>
      </c>
      <c r="AK71" s="70">
        <f t="shared" si="25"/>
        <v>0</v>
      </c>
      <c r="AL71" s="71">
        <f t="shared" si="78"/>
        <v>0</v>
      </c>
      <c r="AM71" s="72">
        <f t="shared" si="52"/>
        <v>0</v>
      </c>
      <c r="AN71" s="134">
        <f t="shared" si="28"/>
        <v>0</v>
      </c>
      <c r="AO71" s="78">
        <f t="shared" si="74"/>
        <v>0</v>
      </c>
      <c r="AP71" s="79">
        <v>0</v>
      </c>
      <c r="AQ71" s="80">
        <v>0</v>
      </c>
      <c r="AR71" s="81">
        <v>0</v>
      </c>
      <c r="AS71" s="70">
        <f t="shared" si="30"/>
        <v>0</v>
      </c>
      <c r="AT71" s="71">
        <f t="shared" si="79"/>
        <v>0</v>
      </c>
      <c r="AU71" s="72">
        <f t="shared" si="53"/>
        <v>0</v>
      </c>
      <c r="AV71" s="134">
        <f t="shared" si="33"/>
        <v>0</v>
      </c>
      <c r="AW71" s="78">
        <f t="shared" si="75"/>
        <v>0</v>
      </c>
      <c r="AX71" s="79">
        <v>0</v>
      </c>
      <c r="AY71" s="80">
        <v>0</v>
      </c>
      <c r="AZ71" s="81">
        <v>0</v>
      </c>
      <c r="BA71" s="70">
        <f t="shared" si="35"/>
        <v>0</v>
      </c>
      <c r="BB71" s="71">
        <f t="shared" si="80"/>
        <v>0</v>
      </c>
      <c r="BC71" s="72">
        <f t="shared" si="54"/>
        <v>0</v>
      </c>
      <c r="BD71" s="134">
        <f t="shared" si="38"/>
        <v>0</v>
      </c>
      <c r="BE71" s="78">
        <f t="shared" si="76"/>
        <v>0</v>
      </c>
      <c r="BF71" s="79">
        <v>0</v>
      </c>
      <c r="BG71" s="80">
        <v>0</v>
      </c>
      <c r="BH71" s="81">
        <v>0</v>
      </c>
      <c r="BI71" s="70">
        <f t="shared" si="40"/>
        <v>0</v>
      </c>
      <c r="BJ71" s="71">
        <f t="shared" si="81"/>
        <v>0</v>
      </c>
      <c r="BK71" s="72">
        <f t="shared" si="67"/>
        <v>0</v>
      </c>
      <c r="BL71" s="134">
        <f t="shared" ref="BL71:BL119" si="82">BD71+BH71</f>
        <v>0</v>
      </c>
    </row>
    <row r="72" spans="1:64" ht="12.9" x14ac:dyDescent="0.35">
      <c r="A72" s="25" t="s">
        <v>22</v>
      </c>
      <c r="B72" s="26" t="s">
        <v>34</v>
      </c>
      <c r="C72" s="27" t="s">
        <v>27</v>
      </c>
      <c r="D72" s="40" t="s">
        <v>125</v>
      </c>
      <c r="E72" s="78">
        <f t="shared" si="69"/>
        <v>0.4</v>
      </c>
      <c r="F72" s="79">
        <v>0.4</v>
      </c>
      <c r="G72" s="80"/>
      <c r="H72" s="81"/>
      <c r="I72" s="78">
        <f t="shared" si="70"/>
        <v>0</v>
      </c>
      <c r="J72" s="79"/>
      <c r="K72" s="80"/>
      <c r="L72" s="81"/>
      <c r="M72" s="70">
        <f t="shared" si="10"/>
        <v>0.4</v>
      </c>
      <c r="N72" s="71">
        <f t="shared" si="11"/>
        <v>0.4</v>
      </c>
      <c r="O72" s="72">
        <f t="shared" si="12"/>
        <v>0</v>
      </c>
      <c r="P72" s="134">
        <f t="shared" si="13"/>
        <v>0</v>
      </c>
      <c r="Q72" s="78">
        <f t="shared" si="71"/>
        <v>0</v>
      </c>
      <c r="R72" s="79"/>
      <c r="S72" s="80"/>
      <c r="T72" s="81"/>
      <c r="U72" s="70">
        <f t="shared" si="15"/>
        <v>0.4</v>
      </c>
      <c r="V72" s="71">
        <f t="shared" si="16"/>
        <v>0.4</v>
      </c>
      <c r="W72" s="72">
        <f t="shared" si="17"/>
        <v>0</v>
      </c>
      <c r="X72" s="134">
        <f t="shared" si="18"/>
        <v>0</v>
      </c>
      <c r="Y72" s="78">
        <f t="shared" si="72"/>
        <v>0</v>
      </c>
      <c r="Z72" s="79"/>
      <c r="AA72" s="80"/>
      <c r="AB72" s="81"/>
      <c r="AC72" s="70">
        <f t="shared" si="20"/>
        <v>0.4</v>
      </c>
      <c r="AD72" s="71">
        <f t="shared" si="77"/>
        <v>0.4</v>
      </c>
      <c r="AE72" s="72">
        <f t="shared" si="22"/>
        <v>0</v>
      </c>
      <c r="AF72" s="134">
        <f t="shared" si="23"/>
        <v>0</v>
      </c>
      <c r="AG72" s="78">
        <f t="shared" si="73"/>
        <v>0</v>
      </c>
      <c r="AH72" s="79"/>
      <c r="AI72" s="80"/>
      <c r="AJ72" s="81"/>
      <c r="AK72" s="70">
        <f t="shared" si="25"/>
        <v>0.4</v>
      </c>
      <c r="AL72" s="71">
        <f t="shared" si="78"/>
        <v>0.4</v>
      </c>
      <c r="AM72" s="72">
        <f t="shared" si="52"/>
        <v>0</v>
      </c>
      <c r="AN72" s="134">
        <f t="shared" si="28"/>
        <v>0</v>
      </c>
      <c r="AO72" s="78">
        <f t="shared" si="74"/>
        <v>0</v>
      </c>
      <c r="AP72" s="79"/>
      <c r="AQ72" s="80"/>
      <c r="AR72" s="81"/>
      <c r="AS72" s="70">
        <f t="shared" si="30"/>
        <v>0.4</v>
      </c>
      <c r="AT72" s="71">
        <f t="shared" si="79"/>
        <v>0.4</v>
      </c>
      <c r="AU72" s="72">
        <f t="shared" si="53"/>
        <v>0</v>
      </c>
      <c r="AV72" s="134">
        <f t="shared" si="33"/>
        <v>0</v>
      </c>
      <c r="AW72" s="78">
        <f t="shared" si="75"/>
        <v>0.5</v>
      </c>
      <c r="AX72" s="79">
        <v>0.5</v>
      </c>
      <c r="AY72" s="80"/>
      <c r="AZ72" s="81"/>
      <c r="BA72" s="70">
        <f t="shared" si="35"/>
        <v>0.9</v>
      </c>
      <c r="BB72" s="71">
        <f t="shared" si="80"/>
        <v>0.9</v>
      </c>
      <c r="BC72" s="72">
        <f t="shared" si="54"/>
        <v>0</v>
      </c>
      <c r="BD72" s="134">
        <f t="shared" si="38"/>
        <v>0</v>
      </c>
      <c r="BE72" s="78">
        <f t="shared" si="76"/>
        <v>0</v>
      </c>
      <c r="BF72" s="79"/>
      <c r="BG72" s="80"/>
      <c r="BH72" s="81"/>
      <c r="BI72" s="70">
        <f t="shared" si="40"/>
        <v>0.9</v>
      </c>
      <c r="BJ72" s="71">
        <f t="shared" si="81"/>
        <v>0.9</v>
      </c>
      <c r="BK72" s="72">
        <f t="shared" si="67"/>
        <v>0</v>
      </c>
      <c r="BL72" s="134">
        <f t="shared" si="82"/>
        <v>0</v>
      </c>
    </row>
    <row r="73" spans="1:64" ht="12.9" x14ac:dyDescent="0.35">
      <c r="A73" s="231" t="s">
        <v>25</v>
      </c>
      <c r="B73" s="233" t="s">
        <v>41</v>
      </c>
      <c r="C73" s="27" t="s">
        <v>28</v>
      </c>
      <c r="D73" s="25" t="s">
        <v>125</v>
      </c>
      <c r="E73" s="78">
        <f t="shared" si="69"/>
        <v>348.387</v>
      </c>
      <c r="F73" s="79">
        <f>320.168+26.719</f>
        <v>346.887</v>
      </c>
      <c r="G73" s="80">
        <f>256.038-0.9-0.1</f>
        <v>255.03800000000001</v>
      </c>
      <c r="H73" s="81">
        <v>1.5</v>
      </c>
      <c r="I73" s="78">
        <f t="shared" si="70"/>
        <v>0</v>
      </c>
      <c r="J73" s="79"/>
      <c r="K73" s="80"/>
      <c r="L73" s="81"/>
      <c r="M73" s="70">
        <f t="shared" si="10"/>
        <v>348.387</v>
      </c>
      <c r="N73" s="71">
        <f t="shared" si="11"/>
        <v>346.887</v>
      </c>
      <c r="O73" s="72">
        <f t="shared" si="12"/>
        <v>255.03800000000001</v>
      </c>
      <c r="P73" s="134">
        <f t="shared" si="13"/>
        <v>1.5</v>
      </c>
      <c r="Q73" s="78">
        <f t="shared" si="71"/>
        <v>0</v>
      </c>
      <c r="R73" s="79"/>
      <c r="S73" s="80"/>
      <c r="T73" s="81"/>
      <c r="U73" s="70">
        <f t="shared" si="15"/>
        <v>348.387</v>
      </c>
      <c r="V73" s="71">
        <f t="shared" si="16"/>
        <v>346.887</v>
      </c>
      <c r="W73" s="72">
        <f t="shared" si="17"/>
        <v>255.03800000000001</v>
      </c>
      <c r="X73" s="134">
        <f t="shared" si="18"/>
        <v>1.5</v>
      </c>
      <c r="Y73" s="78">
        <f t="shared" si="72"/>
        <v>0</v>
      </c>
      <c r="Z73" s="79"/>
      <c r="AA73" s="80"/>
      <c r="AB73" s="81"/>
      <c r="AC73" s="70">
        <f t="shared" si="20"/>
        <v>348.387</v>
      </c>
      <c r="AD73" s="71">
        <f t="shared" si="77"/>
        <v>346.887</v>
      </c>
      <c r="AE73" s="72">
        <f t="shared" si="22"/>
        <v>255.03800000000001</v>
      </c>
      <c r="AF73" s="134">
        <f t="shared" si="23"/>
        <v>1.5</v>
      </c>
      <c r="AG73" s="78">
        <f t="shared" si="73"/>
        <v>0</v>
      </c>
      <c r="AH73" s="79"/>
      <c r="AI73" s="80"/>
      <c r="AJ73" s="81"/>
      <c r="AK73" s="70">
        <f t="shared" si="25"/>
        <v>348.387</v>
      </c>
      <c r="AL73" s="71">
        <f t="shared" si="78"/>
        <v>346.887</v>
      </c>
      <c r="AM73" s="72">
        <f t="shared" si="52"/>
        <v>255.03800000000001</v>
      </c>
      <c r="AN73" s="134">
        <f t="shared" si="28"/>
        <v>1.5</v>
      </c>
      <c r="AO73" s="78">
        <f t="shared" si="74"/>
        <v>0</v>
      </c>
      <c r="AP73" s="79"/>
      <c r="AQ73" s="80"/>
      <c r="AR73" s="81"/>
      <c r="AS73" s="70">
        <f t="shared" si="30"/>
        <v>348.387</v>
      </c>
      <c r="AT73" s="71">
        <f t="shared" si="79"/>
        <v>346.887</v>
      </c>
      <c r="AU73" s="72">
        <f t="shared" si="53"/>
        <v>255.03800000000001</v>
      </c>
      <c r="AV73" s="134">
        <f t="shared" si="33"/>
        <v>1.5</v>
      </c>
      <c r="AW73" s="78">
        <f t="shared" si="75"/>
        <v>1.6370000000000005</v>
      </c>
      <c r="AX73" s="79">
        <f>8.137-6.5</f>
        <v>1.6370000000000005</v>
      </c>
      <c r="AY73" s="80">
        <v>5.8159999999999998</v>
      </c>
      <c r="AZ73" s="81"/>
      <c r="BA73" s="70">
        <f t="shared" si="35"/>
        <v>350.024</v>
      </c>
      <c r="BB73" s="71">
        <f t="shared" si="80"/>
        <v>348.524</v>
      </c>
      <c r="BC73" s="72">
        <f t="shared" si="54"/>
        <v>260.85399999999998</v>
      </c>
      <c r="BD73" s="134">
        <f t="shared" si="38"/>
        <v>1.5</v>
      </c>
      <c r="BE73" s="78">
        <f t="shared" si="76"/>
        <v>-2.77</v>
      </c>
      <c r="BF73" s="79">
        <v>-2.77</v>
      </c>
      <c r="BG73" s="80"/>
      <c r="BH73" s="81"/>
      <c r="BI73" s="70">
        <f t="shared" si="40"/>
        <v>347.25400000000002</v>
      </c>
      <c r="BJ73" s="71">
        <f t="shared" si="81"/>
        <v>345.75400000000002</v>
      </c>
      <c r="BK73" s="72">
        <f t="shared" si="67"/>
        <v>260.85399999999998</v>
      </c>
      <c r="BL73" s="134">
        <f t="shared" si="82"/>
        <v>1.5</v>
      </c>
    </row>
    <row r="74" spans="1:64" ht="12.9" x14ac:dyDescent="0.35">
      <c r="A74" s="241"/>
      <c r="B74" s="242"/>
      <c r="C74" s="27" t="s">
        <v>54</v>
      </c>
      <c r="D74" s="25" t="s">
        <v>49</v>
      </c>
      <c r="E74" s="78">
        <f t="shared" si="69"/>
        <v>798.28</v>
      </c>
      <c r="F74" s="79">
        <v>798.28</v>
      </c>
      <c r="G74" s="80">
        <f>770-2+1.54</f>
        <v>769.54</v>
      </c>
      <c r="H74" s="81"/>
      <c r="I74" s="78">
        <f t="shared" si="70"/>
        <v>0</v>
      </c>
      <c r="J74" s="79"/>
      <c r="K74" s="80"/>
      <c r="L74" s="81"/>
      <c r="M74" s="70">
        <f t="shared" si="10"/>
        <v>798.28</v>
      </c>
      <c r="N74" s="71">
        <f t="shared" si="11"/>
        <v>798.28</v>
      </c>
      <c r="O74" s="72">
        <f t="shared" si="12"/>
        <v>769.54</v>
      </c>
      <c r="P74" s="134">
        <f t="shared" si="13"/>
        <v>0</v>
      </c>
      <c r="Q74" s="78">
        <f t="shared" si="71"/>
        <v>0</v>
      </c>
      <c r="R74" s="79"/>
      <c r="S74" s="80"/>
      <c r="T74" s="81"/>
      <c r="U74" s="70">
        <f t="shared" si="15"/>
        <v>798.28</v>
      </c>
      <c r="V74" s="71">
        <f t="shared" si="16"/>
        <v>798.28</v>
      </c>
      <c r="W74" s="72">
        <f t="shared" si="17"/>
        <v>769.54</v>
      </c>
      <c r="X74" s="134">
        <f t="shared" si="18"/>
        <v>0</v>
      </c>
      <c r="Y74" s="78">
        <f t="shared" si="72"/>
        <v>-2.649</v>
      </c>
      <c r="Z74" s="79">
        <v>-2.649</v>
      </c>
      <c r="AA74" s="80">
        <v>-2.6110000000000002</v>
      </c>
      <c r="AB74" s="81"/>
      <c r="AC74" s="70">
        <f t="shared" si="20"/>
        <v>795.63099999999997</v>
      </c>
      <c r="AD74" s="71">
        <f t="shared" si="77"/>
        <v>795.63099999999997</v>
      </c>
      <c r="AE74" s="72">
        <f t="shared" si="22"/>
        <v>766.92899999999997</v>
      </c>
      <c r="AF74" s="134">
        <f t="shared" si="23"/>
        <v>0</v>
      </c>
      <c r="AG74" s="78">
        <f t="shared" si="73"/>
        <v>0.74199999999999999</v>
      </c>
      <c r="AH74" s="79">
        <v>0.74199999999999999</v>
      </c>
      <c r="AI74" s="80">
        <v>0.73199999999999998</v>
      </c>
      <c r="AJ74" s="81"/>
      <c r="AK74" s="70">
        <f t="shared" si="25"/>
        <v>796.37299999999993</v>
      </c>
      <c r="AL74" s="71">
        <f t="shared" si="78"/>
        <v>796.37299999999993</v>
      </c>
      <c r="AM74" s="72">
        <f t="shared" si="52"/>
        <v>767.66099999999994</v>
      </c>
      <c r="AN74" s="134">
        <f t="shared" si="28"/>
        <v>0</v>
      </c>
      <c r="AO74" s="78">
        <f t="shared" si="74"/>
        <v>0</v>
      </c>
      <c r="AP74" s="79"/>
      <c r="AQ74" s="80"/>
      <c r="AR74" s="81"/>
      <c r="AS74" s="70">
        <f t="shared" si="30"/>
        <v>796.37299999999993</v>
      </c>
      <c r="AT74" s="71">
        <f t="shared" si="79"/>
        <v>796.37299999999993</v>
      </c>
      <c r="AU74" s="72">
        <f t="shared" si="53"/>
        <v>767.66099999999994</v>
      </c>
      <c r="AV74" s="134">
        <f t="shared" si="33"/>
        <v>0</v>
      </c>
      <c r="AW74" s="78">
        <f t="shared" si="75"/>
        <v>30.24</v>
      </c>
      <c r="AX74" s="79">
        <v>30.24</v>
      </c>
      <c r="AY74" s="80">
        <v>29.475000000000001</v>
      </c>
      <c r="AZ74" s="81"/>
      <c r="BA74" s="70">
        <f t="shared" si="35"/>
        <v>826.61299999999994</v>
      </c>
      <c r="BB74" s="71">
        <f t="shared" si="80"/>
        <v>826.61299999999994</v>
      </c>
      <c r="BC74" s="72">
        <f t="shared" si="54"/>
        <v>797.13599999999997</v>
      </c>
      <c r="BD74" s="134">
        <f t="shared" si="38"/>
        <v>0</v>
      </c>
      <c r="BE74" s="78">
        <f t="shared" si="76"/>
        <v>0</v>
      </c>
      <c r="BF74" s="79"/>
      <c r="BG74" s="80"/>
      <c r="BH74" s="81"/>
      <c r="BI74" s="70">
        <f t="shared" si="40"/>
        <v>826.61299999999994</v>
      </c>
      <c r="BJ74" s="71">
        <f t="shared" si="81"/>
        <v>826.61299999999994</v>
      </c>
      <c r="BK74" s="72">
        <f t="shared" si="67"/>
        <v>797.13599999999997</v>
      </c>
      <c r="BL74" s="134">
        <f t="shared" si="82"/>
        <v>0</v>
      </c>
    </row>
    <row r="75" spans="1:64" ht="12.9" x14ac:dyDescent="0.35">
      <c r="A75" s="241"/>
      <c r="B75" s="242"/>
      <c r="C75" s="27" t="s">
        <v>158</v>
      </c>
      <c r="D75" s="25" t="s">
        <v>137</v>
      </c>
      <c r="E75" s="78">
        <f t="shared" si="69"/>
        <v>13.596</v>
      </c>
      <c r="F75" s="79">
        <f>2+1.596</f>
        <v>3.5960000000000001</v>
      </c>
      <c r="G75" s="80">
        <v>1.573</v>
      </c>
      <c r="H75" s="81">
        <v>10</v>
      </c>
      <c r="I75" s="78">
        <f t="shared" si="70"/>
        <v>0</v>
      </c>
      <c r="J75" s="79"/>
      <c r="K75" s="80"/>
      <c r="L75" s="81"/>
      <c r="M75" s="70">
        <f t="shared" si="10"/>
        <v>13.596</v>
      </c>
      <c r="N75" s="71">
        <f t="shared" si="11"/>
        <v>3.5960000000000001</v>
      </c>
      <c r="O75" s="72">
        <f t="shared" si="12"/>
        <v>1.573</v>
      </c>
      <c r="P75" s="134">
        <f t="shared" si="13"/>
        <v>10</v>
      </c>
      <c r="Q75" s="78">
        <f t="shared" si="71"/>
        <v>-1.5960000000000001</v>
      </c>
      <c r="R75" s="79">
        <v>-1.5960000000000001</v>
      </c>
      <c r="S75" s="80">
        <v>-1.573</v>
      </c>
      <c r="T75" s="81"/>
      <c r="U75" s="70">
        <f t="shared" si="15"/>
        <v>12</v>
      </c>
      <c r="V75" s="71">
        <f t="shared" si="16"/>
        <v>2</v>
      </c>
      <c r="W75" s="72">
        <f t="shared" si="17"/>
        <v>0</v>
      </c>
      <c r="X75" s="134">
        <f t="shared" si="18"/>
        <v>10</v>
      </c>
      <c r="Y75" s="78">
        <f t="shared" si="72"/>
        <v>2.5630000000000002</v>
      </c>
      <c r="Z75" s="79">
        <v>2.5630000000000002</v>
      </c>
      <c r="AA75" s="80">
        <v>2.5089999999999999</v>
      </c>
      <c r="AB75" s="81"/>
      <c r="AC75" s="70">
        <f t="shared" si="20"/>
        <v>14.563000000000001</v>
      </c>
      <c r="AD75" s="71">
        <f t="shared" si="77"/>
        <v>4.5630000000000006</v>
      </c>
      <c r="AE75" s="72">
        <f t="shared" si="22"/>
        <v>2.5089999999999999</v>
      </c>
      <c r="AF75" s="134">
        <f t="shared" si="23"/>
        <v>10</v>
      </c>
      <c r="AG75" s="78">
        <f t="shared" si="73"/>
        <v>0</v>
      </c>
      <c r="AH75" s="79"/>
      <c r="AI75" s="80"/>
      <c r="AJ75" s="81"/>
      <c r="AK75" s="70">
        <f t="shared" si="25"/>
        <v>14.563000000000001</v>
      </c>
      <c r="AL75" s="71">
        <f t="shared" si="78"/>
        <v>4.5630000000000006</v>
      </c>
      <c r="AM75" s="72">
        <f t="shared" si="52"/>
        <v>2.5089999999999999</v>
      </c>
      <c r="AN75" s="134">
        <f t="shared" si="28"/>
        <v>10</v>
      </c>
      <c r="AO75" s="78">
        <f t="shared" si="74"/>
        <v>0</v>
      </c>
      <c r="AP75" s="79">
        <v>0.04</v>
      </c>
      <c r="AQ75" s="80"/>
      <c r="AR75" s="81">
        <v>-0.04</v>
      </c>
      <c r="AS75" s="70">
        <f t="shared" si="30"/>
        <v>14.563000000000002</v>
      </c>
      <c r="AT75" s="71">
        <f t="shared" si="79"/>
        <v>4.6030000000000006</v>
      </c>
      <c r="AU75" s="72">
        <f t="shared" si="53"/>
        <v>2.5089999999999999</v>
      </c>
      <c r="AV75" s="134">
        <f t="shared" si="33"/>
        <v>9.9600000000000009</v>
      </c>
      <c r="AW75" s="78">
        <f t="shared" si="75"/>
        <v>6.53</v>
      </c>
      <c r="AX75" s="79">
        <f>0.2+6.33</f>
        <v>6.53</v>
      </c>
      <c r="AY75" s="80">
        <v>6.24</v>
      </c>
      <c r="AZ75" s="81"/>
      <c r="BA75" s="70">
        <f t="shared" si="35"/>
        <v>21.093000000000004</v>
      </c>
      <c r="BB75" s="71">
        <f t="shared" si="80"/>
        <v>11.133000000000001</v>
      </c>
      <c r="BC75" s="72">
        <f t="shared" si="54"/>
        <v>8.7490000000000006</v>
      </c>
      <c r="BD75" s="134">
        <f t="shared" si="38"/>
        <v>9.9600000000000009</v>
      </c>
      <c r="BE75" s="78">
        <f t="shared" si="76"/>
        <v>0</v>
      </c>
      <c r="BF75" s="79"/>
      <c r="BG75" s="80"/>
      <c r="BH75" s="81"/>
      <c r="BI75" s="70">
        <f t="shared" si="40"/>
        <v>21.093000000000004</v>
      </c>
      <c r="BJ75" s="71">
        <f t="shared" si="81"/>
        <v>11.133000000000001</v>
      </c>
      <c r="BK75" s="72">
        <f t="shared" si="67"/>
        <v>8.7490000000000006</v>
      </c>
      <c r="BL75" s="134">
        <f t="shared" si="82"/>
        <v>9.9600000000000009</v>
      </c>
    </row>
    <row r="76" spans="1:64" ht="12.9" x14ac:dyDescent="0.35">
      <c r="A76" s="232"/>
      <c r="B76" s="234"/>
      <c r="C76" s="27" t="s">
        <v>159</v>
      </c>
      <c r="D76" s="25" t="s">
        <v>187</v>
      </c>
      <c r="E76" s="78">
        <f t="shared" si="69"/>
        <v>40.295000000000002</v>
      </c>
      <c r="F76" s="79">
        <v>33.563000000000002</v>
      </c>
      <c r="G76" s="80">
        <v>24.033000000000001</v>
      </c>
      <c r="H76" s="81">
        <v>6.7320000000000002</v>
      </c>
      <c r="I76" s="78">
        <f t="shared" si="70"/>
        <v>0</v>
      </c>
      <c r="J76" s="79">
        <v>-4.7</v>
      </c>
      <c r="K76" s="80"/>
      <c r="L76" s="81">
        <v>4.7</v>
      </c>
      <c r="M76" s="70">
        <f t="shared" si="10"/>
        <v>40.295000000000002</v>
      </c>
      <c r="N76" s="71">
        <f t="shared" si="11"/>
        <v>28.863000000000003</v>
      </c>
      <c r="O76" s="72">
        <f t="shared" si="12"/>
        <v>24.033000000000001</v>
      </c>
      <c r="P76" s="134">
        <f t="shared" si="13"/>
        <v>11.432</v>
      </c>
      <c r="Q76" s="78">
        <f t="shared" si="71"/>
        <v>0</v>
      </c>
      <c r="R76" s="79"/>
      <c r="S76" s="80"/>
      <c r="T76" s="81"/>
      <c r="U76" s="70">
        <f t="shared" si="15"/>
        <v>40.295000000000002</v>
      </c>
      <c r="V76" s="71">
        <f t="shared" si="16"/>
        <v>28.863000000000003</v>
      </c>
      <c r="W76" s="72">
        <f t="shared" si="17"/>
        <v>24.033000000000001</v>
      </c>
      <c r="X76" s="134">
        <f t="shared" si="18"/>
        <v>11.432</v>
      </c>
      <c r="Y76" s="78">
        <f t="shared" si="72"/>
        <v>0</v>
      </c>
      <c r="Z76" s="79"/>
      <c r="AA76" s="80"/>
      <c r="AB76" s="81"/>
      <c r="AC76" s="70">
        <f t="shared" si="20"/>
        <v>40.295000000000002</v>
      </c>
      <c r="AD76" s="71">
        <f t="shared" si="77"/>
        <v>28.863000000000003</v>
      </c>
      <c r="AE76" s="72">
        <f t="shared" si="22"/>
        <v>24.033000000000001</v>
      </c>
      <c r="AF76" s="134">
        <f t="shared" si="23"/>
        <v>11.432</v>
      </c>
      <c r="AG76" s="78">
        <f t="shared" si="73"/>
        <v>0</v>
      </c>
      <c r="AH76" s="79"/>
      <c r="AI76" s="80"/>
      <c r="AJ76" s="81"/>
      <c r="AK76" s="70">
        <f t="shared" si="25"/>
        <v>40.295000000000002</v>
      </c>
      <c r="AL76" s="71">
        <f t="shared" si="78"/>
        <v>28.863000000000003</v>
      </c>
      <c r="AM76" s="72">
        <f t="shared" si="52"/>
        <v>24.033000000000001</v>
      </c>
      <c r="AN76" s="134">
        <f t="shared" si="28"/>
        <v>11.432</v>
      </c>
      <c r="AO76" s="78">
        <f t="shared" si="74"/>
        <v>0</v>
      </c>
      <c r="AP76" s="79">
        <v>-8.91</v>
      </c>
      <c r="AQ76" s="80">
        <v>-10</v>
      </c>
      <c r="AR76" s="81">
        <v>8.91</v>
      </c>
      <c r="AS76" s="70">
        <f t="shared" si="30"/>
        <v>40.295000000000002</v>
      </c>
      <c r="AT76" s="71">
        <f t="shared" si="79"/>
        <v>19.953000000000003</v>
      </c>
      <c r="AU76" s="72">
        <f t="shared" si="53"/>
        <v>14.033000000000001</v>
      </c>
      <c r="AV76" s="134">
        <f t="shared" si="33"/>
        <v>20.341999999999999</v>
      </c>
      <c r="AW76" s="78">
        <f t="shared" si="75"/>
        <v>59.878999999999998</v>
      </c>
      <c r="AX76" s="79">
        <v>59.878999999999998</v>
      </c>
      <c r="AY76" s="80">
        <v>46.313000000000002</v>
      </c>
      <c r="AZ76" s="81"/>
      <c r="BA76" s="70">
        <f t="shared" si="35"/>
        <v>100.17399999999999</v>
      </c>
      <c r="BB76" s="71">
        <f t="shared" si="80"/>
        <v>79.831999999999994</v>
      </c>
      <c r="BC76" s="72">
        <f t="shared" si="54"/>
        <v>60.346000000000004</v>
      </c>
      <c r="BD76" s="134">
        <f t="shared" si="38"/>
        <v>20.341999999999999</v>
      </c>
      <c r="BE76" s="78">
        <f t="shared" si="76"/>
        <v>5.3870000000000005</v>
      </c>
      <c r="BF76" s="79">
        <v>4.4870000000000001</v>
      </c>
      <c r="BG76" s="80">
        <v>3.7879999999999998</v>
      </c>
      <c r="BH76" s="81">
        <v>0.9</v>
      </c>
      <c r="BI76" s="70">
        <f t="shared" si="40"/>
        <v>105.56099999999998</v>
      </c>
      <c r="BJ76" s="71">
        <f t="shared" si="81"/>
        <v>84.318999999999988</v>
      </c>
      <c r="BK76" s="72">
        <f t="shared" si="67"/>
        <v>64.134</v>
      </c>
      <c r="BL76" s="134">
        <f t="shared" si="82"/>
        <v>21.241999999999997</v>
      </c>
    </row>
    <row r="77" spans="1:64" ht="12.9" x14ac:dyDescent="0.35">
      <c r="A77" s="45" t="s">
        <v>23</v>
      </c>
      <c r="B77" s="46" t="s">
        <v>44</v>
      </c>
      <c r="C77" s="27" t="s">
        <v>221</v>
      </c>
      <c r="D77" s="25" t="s">
        <v>38</v>
      </c>
      <c r="E77" s="78">
        <f t="shared" si="69"/>
        <v>52</v>
      </c>
      <c r="F77" s="79">
        <v>52</v>
      </c>
      <c r="G77" s="80"/>
      <c r="H77" s="81"/>
      <c r="I77" s="78">
        <f t="shared" si="70"/>
        <v>0</v>
      </c>
      <c r="J77" s="79"/>
      <c r="K77" s="80"/>
      <c r="L77" s="81"/>
      <c r="M77" s="70">
        <f t="shared" si="10"/>
        <v>52</v>
      </c>
      <c r="N77" s="71">
        <f t="shared" si="11"/>
        <v>52</v>
      </c>
      <c r="O77" s="72">
        <f t="shared" si="12"/>
        <v>0</v>
      </c>
      <c r="P77" s="134">
        <f t="shared" si="13"/>
        <v>0</v>
      </c>
      <c r="Q77" s="78">
        <f t="shared" si="71"/>
        <v>0</v>
      </c>
      <c r="R77" s="79"/>
      <c r="S77" s="80"/>
      <c r="T77" s="81"/>
      <c r="U77" s="70">
        <f t="shared" si="15"/>
        <v>52</v>
      </c>
      <c r="V77" s="71">
        <f t="shared" si="16"/>
        <v>52</v>
      </c>
      <c r="W77" s="72">
        <f t="shared" si="17"/>
        <v>0</v>
      </c>
      <c r="X77" s="134">
        <f t="shared" si="18"/>
        <v>0</v>
      </c>
      <c r="Y77" s="78">
        <f t="shared" si="72"/>
        <v>0</v>
      </c>
      <c r="Z77" s="79"/>
      <c r="AA77" s="80"/>
      <c r="AB77" s="81"/>
      <c r="AC77" s="70">
        <f t="shared" si="20"/>
        <v>52</v>
      </c>
      <c r="AD77" s="71">
        <f t="shared" si="77"/>
        <v>52</v>
      </c>
      <c r="AE77" s="72">
        <f t="shared" si="22"/>
        <v>0</v>
      </c>
      <c r="AF77" s="134">
        <f t="shared" si="23"/>
        <v>0</v>
      </c>
      <c r="AG77" s="78">
        <f t="shared" si="73"/>
        <v>0</v>
      </c>
      <c r="AH77" s="79"/>
      <c r="AI77" s="80"/>
      <c r="AJ77" s="81"/>
      <c r="AK77" s="70">
        <f t="shared" si="25"/>
        <v>52</v>
      </c>
      <c r="AL77" s="71">
        <f t="shared" si="78"/>
        <v>52</v>
      </c>
      <c r="AM77" s="72">
        <f t="shared" si="52"/>
        <v>0</v>
      </c>
      <c r="AN77" s="134">
        <f t="shared" si="28"/>
        <v>0</v>
      </c>
      <c r="AO77" s="78">
        <f t="shared" si="74"/>
        <v>0</v>
      </c>
      <c r="AP77" s="79"/>
      <c r="AQ77" s="80"/>
      <c r="AR77" s="81"/>
      <c r="AS77" s="70">
        <f t="shared" si="30"/>
        <v>52</v>
      </c>
      <c r="AT77" s="71">
        <f t="shared" si="79"/>
        <v>52</v>
      </c>
      <c r="AU77" s="72">
        <f t="shared" si="53"/>
        <v>0</v>
      </c>
      <c r="AV77" s="134">
        <f t="shared" si="33"/>
        <v>0</v>
      </c>
      <c r="AW77" s="78">
        <f t="shared" si="75"/>
        <v>2.04</v>
      </c>
      <c r="AX77" s="79">
        <v>2.04</v>
      </c>
      <c r="AY77" s="80"/>
      <c r="AZ77" s="81"/>
      <c r="BA77" s="70">
        <f t="shared" si="35"/>
        <v>54.04</v>
      </c>
      <c r="BB77" s="71">
        <f t="shared" si="80"/>
        <v>54.04</v>
      </c>
      <c r="BC77" s="72">
        <f t="shared" si="54"/>
        <v>0</v>
      </c>
      <c r="BD77" s="134">
        <f t="shared" si="38"/>
        <v>0</v>
      </c>
      <c r="BE77" s="78">
        <f t="shared" si="76"/>
        <v>0</v>
      </c>
      <c r="BF77" s="79"/>
      <c r="BG77" s="80"/>
      <c r="BH77" s="81"/>
      <c r="BI77" s="70">
        <f t="shared" si="40"/>
        <v>54.04</v>
      </c>
      <c r="BJ77" s="71">
        <f t="shared" si="81"/>
        <v>54.04</v>
      </c>
      <c r="BK77" s="72">
        <f t="shared" si="67"/>
        <v>0</v>
      </c>
      <c r="BL77" s="134">
        <f t="shared" si="82"/>
        <v>0</v>
      </c>
    </row>
    <row r="78" spans="1:64" ht="12.9" x14ac:dyDescent="0.35">
      <c r="A78" s="283" t="s">
        <v>33</v>
      </c>
      <c r="B78" s="233" t="s">
        <v>45</v>
      </c>
      <c r="C78" s="27" t="s">
        <v>233</v>
      </c>
      <c r="D78" s="25" t="s">
        <v>125</v>
      </c>
      <c r="E78" s="78">
        <f t="shared" si="69"/>
        <v>0.5</v>
      </c>
      <c r="F78" s="79">
        <v>0.5</v>
      </c>
      <c r="G78" s="80"/>
      <c r="H78" s="81"/>
      <c r="I78" s="78">
        <f t="shared" si="70"/>
        <v>0</v>
      </c>
      <c r="J78" s="79"/>
      <c r="K78" s="80"/>
      <c r="L78" s="81"/>
      <c r="M78" s="70">
        <f t="shared" si="10"/>
        <v>0.5</v>
      </c>
      <c r="N78" s="71">
        <f t="shared" si="11"/>
        <v>0.5</v>
      </c>
      <c r="O78" s="72">
        <f t="shared" si="12"/>
        <v>0</v>
      </c>
      <c r="P78" s="134">
        <f t="shared" si="13"/>
        <v>0</v>
      </c>
      <c r="Q78" s="78">
        <f t="shared" si="71"/>
        <v>0</v>
      </c>
      <c r="R78" s="79"/>
      <c r="S78" s="80"/>
      <c r="T78" s="81"/>
      <c r="U78" s="70">
        <f t="shared" si="15"/>
        <v>0.5</v>
      </c>
      <c r="V78" s="71">
        <f t="shared" si="16"/>
        <v>0.5</v>
      </c>
      <c r="W78" s="72">
        <f t="shared" si="17"/>
        <v>0</v>
      </c>
      <c r="X78" s="134">
        <f t="shared" si="18"/>
        <v>0</v>
      </c>
      <c r="Y78" s="78">
        <f t="shared" si="72"/>
        <v>0</v>
      </c>
      <c r="Z78" s="79"/>
      <c r="AA78" s="80"/>
      <c r="AB78" s="81"/>
      <c r="AC78" s="70">
        <f t="shared" si="20"/>
        <v>0.5</v>
      </c>
      <c r="AD78" s="71">
        <f t="shared" si="77"/>
        <v>0.5</v>
      </c>
      <c r="AE78" s="72">
        <f t="shared" si="22"/>
        <v>0</v>
      </c>
      <c r="AF78" s="134">
        <f t="shared" si="23"/>
        <v>0</v>
      </c>
      <c r="AG78" s="78">
        <f t="shared" si="73"/>
        <v>0</v>
      </c>
      <c r="AH78" s="79"/>
      <c r="AI78" s="80"/>
      <c r="AJ78" s="81"/>
      <c r="AK78" s="70">
        <f t="shared" si="25"/>
        <v>0.5</v>
      </c>
      <c r="AL78" s="71">
        <f t="shared" si="78"/>
        <v>0.5</v>
      </c>
      <c r="AM78" s="72">
        <f t="shared" si="52"/>
        <v>0</v>
      </c>
      <c r="AN78" s="134">
        <f t="shared" si="28"/>
        <v>0</v>
      </c>
      <c r="AO78" s="78">
        <f t="shared" si="74"/>
        <v>0</v>
      </c>
      <c r="AP78" s="79"/>
      <c r="AQ78" s="80"/>
      <c r="AR78" s="81"/>
      <c r="AS78" s="70">
        <f t="shared" si="30"/>
        <v>0.5</v>
      </c>
      <c r="AT78" s="71">
        <f t="shared" si="79"/>
        <v>0.5</v>
      </c>
      <c r="AU78" s="72">
        <f t="shared" si="53"/>
        <v>0</v>
      </c>
      <c r="AV78" s="134">
        <f t="shared" si="33"/>
        <v>0</v>
      </c>
      <c r="AW78" s="78">
        <f t="shared" si="75"/>
        <v>0</v>
      </c>
      <c r="AX78" s="79"/>
      <c r="AY78" s="80"/>
      <c r="AZ78" s="81"/>
      <c r="BA78" s="70">
        <f t="shared" si="35"/>
        <v>0.5</v>
      </c>
      <c r="BB78" s="71">
        <f t="shared" si="80"/>
        <v>0.5</v>
      </c>
      <c r="BC78" s="72">
        <f t="shared" si="54"/>
        <v>0</v>
      </c>
      <c r="BD78" s="134">
        <f t="shared" si="38"/>
        <v>0</v>
      </c>
      <c r="BE78" s="78">
        <f t="shared" si="76"/>
        <v>0</v>
      </c>
      <c r="BF78" s="79"/>
      <c r="BG78" s="80"/>
      <c r="BH78" s="81"/>
      <c r="BI78" s="70">
        <f t="shared" si="40"/>
        <v>0.5</v>
      </c>
      <c r="BJ78" s="71">
        <f t="shared" si="81"/>
        <v>0.5</v>
      </c>
      <c r="BK78" s="72">
        <f t="shared" si="67"/>
        <v>0</v>
      </c>
      <c r="BL78" s="134">
        <f t="shared" si="82"/>
        <v>0</v>
      </c>
    </row>
    <row r="79" spans="1:64" ht="12.9" x14ac:dyDescent="0.35">
      <c r="A79" s="284"/>
      <c r="B79" s="234"/>
      <c r="C79" s="27" t="s">
        <v>237</v>
      </c>
      <c r="D79" s="25" t="s">
        <v>137</v>
      </c>
      <c r="E79" s="78">
        <f t="shared" si="69"/>
        <v>0</v>
      </c>
      <c r="F79" s="79"/>
      <c r="G79" s="80"/>
      <c r="H79" s="81"/>
      <c r="I79" s="78">
        <f t="shared" si="70"/>
        <v>0</v>
      </c>
      <c r="J79" s="79"/>
      <c r="K79" s="80"/>
      <c r="L79" s="81"/>
      <c r="M79" s="70">
        <f t="shared" si="10"/>
        <v>0</v>
      </c>
      <c r="N79" s="71">
        <f t="shared" si="11"/>
        <v>0</v>
      </c>
      <c r="O79" s="72">
        <f t="shared" si="12"/>
        <v>0</v>
      </c>
      <c r="P79" s="134">
        <f t="shared" si="13"/>
        <v>0</v>
      </c>
      <c r="Q79" s="78">
        <f t="shared" si="71"/>
        <v>0</v>
      </c>
      <c r="R79" s="79"/>
      <c r="S79" s="80"/>
      <c r="T79" s="81"/>
      <c r="U79" s="70">
        <f t="shared" si="15"/>
        <v>0</v>
      </c>
      <c r="V79" s="71">
        <f t="shared" si="16"/>
        <v>0</v>
      </c>
      <c r="W79" s="72">
        <f t="shared" si="17"/>
        <v>0</v>
      </c>
      <c r="X79" s="134">
        <f t="shared" si="18"/>
        <v>0</v>
      </c>
      <c r="Y79" s="78">
        <f t="shared" si="72"/>
        <v>0</v>
      </c>
      <c r="Z79" s="79"/>
      <c r="AA79" s="80"/>
      <c r="AB79" s="81"/>
      <c r="AC79" s="70">
        <f t="shared" si="20"/>
        <v>0</v>
      </c>
      <c r="AD79" s="71">
        <f t="shared" si="77"/>
        <v>0</v>
      </c>
      <c r="AE79" s="72">
        <f t="shared" si="22"/>
        <v>0</v>
      </c>
      <c r="AF79" s="134">
        <f t="shared" si="23"/>
        <v>0</v>
      </c>
      <c r="AG79" s="78">
        <f t="shared" si="73"/>
        <v>0</v>
      </c>
      <c r="AH79" s="79"/>
      <c r="AI79" s="80"/>
      <c r="AJ79" s="81"/>
      <c r="AK79" s="70">
        <f t="shared" si="25"/>
        <v>0</v>
      </c>
      <c r="AL79" s="71">
        <f t="shared" si="78"/>
        <v>0</v>
      </c>
      <c r="AM79" s="72">
        <f t="shared" si="52"/>
        <v>0</v>
      </c>
      <c r="AN79" s="134">
        <f t="shared" si="28"/>
        <v>0</v>
      </c>
      <c r="AO79" s="78">
        <f t="shared" si="74"/>
        <v>0</v>
      </c>
      <c r="AP79" s="79"/>
      <c r="AQ79" s="80"/>
      <c r="AR79" s="81"/>
      <c r="AS79" s="70">
        <f t="shared" si="30"/>
        <v>0</v>
      </c>
      <c r="AT79" s="71">
        <f t="shared" si="79"/>
        <v>0</v>
      </c>
      <c r="AU79" s="72">
        <f t="shared" si="53"/>
        <v>0</v>
      </c>
      <c r="AV79" s="134">
        <f t="shared" si="33"/>
        <v>0</v>
      </c>
      <c r="AW79" s="78">
        <f t="shared" si="75"/>
        <v>0.48499999999999999</v>
      </c>
      <c r="AX79" s="79">
        <v>0.48499999999999999</v>
      </c>
      <c r="AY79" s="80"/>
      <c r="AZ79" s="81"/>
      <c r="BA79" s="70">
        <f t="shared" si="35"/>
        <v>0.48499999999999999</v>
      </c>
      <c r="BB79" s="71">
        <f t="shared" si="80"/>
        <v>0.48499999999999999</v>
      </c>
      <c r="BC79" s="72">
        <f t="shared" si="54"/>
        <v>0</v>
      </c>
      <c r="BD79" s="134">
        <f t="shared" si="38"/>
        <v>0</v>
      </c>
      <c r="BE79" s="78">
        <f t="shared" si="76"/>
        <v>0</v>
      </c>
      <c r="BF79" s="79"/>
      <c r="BG79" s="80"/>
      <c r="BH79" s="81"/>
      <c r="BI79" s="70">
        <f t="shared" si="40"/>
        <v>0.48499999999999999</v>
      </c>
      <c r="BJ79" s="71">
        <f t="shared" si="81"/>
        <v>0.48499999999999999</v>
      </c>
      <c r="BK79" s="72">
        <f t="shared" si="67"/>
        <v>0</v>
      </c>
      <c r="BL79" s="134">
        <f t="shared" si="82"/>
        <v>0</v>
      </c>
    </row>
    <row r="80" spans="1:64" ht="12.9" x14ac:dyDescent="0.35">
      <c r="A80" s="45" t="s">
        <v>32</v>
      </c>
      <c r="B80" s="46" t="s">
        <v>46</v>
      </c>
      <c r="C80" s="27" t="s">
        <v>257</v>
      </c>
      <c r="D80" s="25" t="s">
        <v>125</v>
      </c>
      <c r="E80" s="78">
        <f t="shared" si="69"/>
        <v>1.5</v>
      </c>
      <c r="F80" s="79">
        <v>1.5</v>
      </c>
      <c r="G80" s="80"/>
      <c r="H80" s="81"/>
      <c r="I80" s="78">
        <f t="shared" si="70"/>
        <v>0</v>
      </c>
      <c r="J80" s="79"/>
      <c r="K80" s="80"/>
      <c r="L80" s="81"/>
      <c r="M80" s="70">
        <f t="shared" si="10"/>
        <v>1.5</v>
      </c>
      <c r="N80" s="71">
        <f t="shared" si="11"/>
        <v>1.5</v>
      </c>
      <c r="O80" s="72">
        <f t="shared" si="12"/>
        <v>0</v>
      </c>
      <c r="P80" s="134">
        <f t="shared" si="13"/>
        <v>0</v>
      </c>
      <c r="Q80" s="78">
        <f t="shared" si="71"/>
        <v>0</v>
      </c>
      <c r="R80" s="79"/>
      <c r="S80" s="80"/>
      <c r="T80" s="81"/>
      <c r="U80" s="70">
        <f t="shared" si="15"/>
        <v>1.5</v>
      </c>
      <c r="V80" s="71">
        <f t="shared" si="16"/>
        <v>1.5</v>
      </c>
      <c r="W80" s="72">
        <f t="shared" si="17"/>
        <v>0</v>
      </c>
      <c r="X80" s="134">
        <f t="shared" si="18"/>
        <v>0</v>
      </c>
      <c r="Y80" s="78">
        <f t="shared" si="72"/>
        <v>0</v>
      </c>
      <c r="Z80" s="79"/>
      <c r="AA80" s="80"/>
      <c r="AB80" s="81"/>
      <c r="AC80" s="70">
        <f t="shared" si="20"/>
        <v>1.5</v>
      </c>
      <c r="AD80" s="71">
        <f t="shared" si="77"/>
        <v>1.5</v>
      </c>
      <c r="AE80" s="72">
        <f t="shared" si="22"/>
        <v>0</v>
      </c>
      <c r="AF80" s="134">
        <f t="shared" si="23"/>
        <v>0</v>
      </c>
      <c r="AG80" s="78">
        <f t="shared" si="73"/>
        <v>0</v>
      </c>
      <c r="AH80" s="79"/>
      <c r="AI80" s="80"/>
      <c r="AJ80" s="81"/>
      <c r="AK80" s="70">
        <f t="shared" si="25"/>
        <v>1.5</v>
      </c>
      <c r="AL80" s="71">
        <f t="shared" si="78"/>
        <v>1.5</v>
      </c>
      <c r="AM80" s="72">
        <f t="shared" si="52"/>
        <v>0</v>
      </c>
      <c r="AN80" s="134">
        <f t="shared" si="28"/>
        <v>0</v>
      </c>
      <c r="AO80" s="78">
        <f t="shared" si="74"/>
        <v>0</v>
      </c>
      <c r="AP80" s="79"/>
      <c r="AQ80" s="80"/>
      <c r="AR80" s="81"/>
      <c r="AS80" s="70">
        <f t="shared" si="30"/>
        <v>1.5</v>
      </c>
      <c r="AT80" s="71">
        <f t="shared" si="79"/>
        <v>1.5</v>
      </c>
      <c r="AU80" s="72">
        <f t="shared" si="53"/>
        <v>0</v>
      </c>
      <c r="AV80" s="134">
        <f t="shared" si="33"/>
        <v>0</v>
      </c>
      <c r="AW80" s="78">
        <f t="shared" si="75"/>
        <v>0.28000000000000003</v>
      </c>
      <c r="AX80" s="79">
        <v>0.28000000000000003</v>
      </c>
      <c r="AY80" s="80"/>
      <c r="AZ80" s="81"/>
      <c r="BA80" s="70">
        <f t="shared" si="35"/>
        <v>1.78</v>
      </c>
      <c r="BB80" s="71">
        <f t="shared" si="80"/>
        <v>1.78</v>
      </c>
      <c r="BC80" s="72">
        <f t="shared" si="54"/>
        <v>0</v>
      </c>
      <c r="BD80" s="134">
        <f t="shared" si="38"/>
        <v>0</v>
      </c>
      <c r="BE80" s="78">
        <f t="shared" si="76"/>
        <v>0</v>
      </c>
      <c r="BF80" s="79"/>
      <c r="BG80" s="80"/>
      <c r="BH80" s="81"/>
      <c r="BI80" s="70">
        <f t="shared" si="40"/>
        <v>1.78</v>
      </c>
      <c r="BJ80" s="71">
        <f t="shared" si="81"/>
        <v>1.78</v>
      </c>
      <c r="BK80" s="72">
        <f t="shared" si="67"/>
        <v>0</v>
      </c>
      <c r="BL80" s="134">
        <f t="shared" si="82"/>
        <v>0</v>
      </c>
    </row>
    <row r="81" spans="1:64" ht="12.9" x14ac:dyDescent="0.35">
      <c r="A81" s="285" t="s">
        <v>7</v>
      </c>
      <c r="B81" s="237" t="s">
        <v>48</v>
      </c>
      <c r="C81" s="27" t="s">
        <v>284</v>
      </c>
      <c r="D81" s="25" t="s">
        <v>125</v>
      </c>
      <c r="E81" s="78"/>
      <c r="F81" s="79"/>
      <c r="G81" s="80"/>
      <c r="H81" s="81"/>
      <c r="I81" s="78"/>
      <c r="J81" s="79"/>
      <c r="K81" s="80"/>
      <c r="L81" s="81"/>
      <c r="M81" s="70"/>
      <c r="N81" s="71"/>
      <c r="O81" s="72"/>
      <c r="P81" s="134"/>
      <c r="Q81" s="78"/>
      <c r="R81" s="79"/>
      <c r="S81" s="80"/>
      <c r="T81" s="81"/>
      <c r="U81" s="70"/>
      <c r="V81" s="71"/>
      <c r="W81" s="72"/>
      <c r="X81" s="134"/>
      <c r="Y81" s="78"/>
      <c r="Z81" s="79"/>
      <c r="AA81" s="80"/>
      <c r="AB81" s="81"/>
      <c r="AC81" s="70"/>
      <c r="AD81" s="71"/>
      <c r="AE81" s="72"/>
      <c r="AF81" s="134"/>
      <c r="AG81" s="78"/>
      <c r="AH81" s="79"/>
      <c r="AI81" s="80"/>
      <c r="AJ81" s="81"/>
      <c r="AK81" s="70"/>
      <c r="AL81" s="71"/>
      <c r="AM81" s="72"/>
      <c r="AN81" s="134"/>
      <c r="AO81" s="78"/>
      <c r="AP81" s="79"/>
      <c r="AQ81" s="80"/>
      <c r="AR81" s="81"/>
      <c r="AS81" s="70"/>
      <c r="AT81" s="71"/>
      <c r="AU81" s="72"/>
      <c r="AV81" s="134"/>
      <c r="AW81" s="78">
        <f t="shared" si="75"/>
        <v>9</v>
      </c>
      <c r="AX81" s="79"/>
      <c r="AY81" s="80"/>
      <c r="AZ81" s="81">
        <v>9</v>
      </c>
      <c r="BA81" s="70">
        <f t="shared" ref="BA81" si="83">SUM(BD81,BB81)</f>
        <v>9</v>
      </c>
      <c r="BB81" s="71">
        <f t="shared" ref="BB81" si="84">AT81+AX81</f>
        <v>0</v>
      </c>
      <c r="BC81" s="72">
        <f t="shared" ref="BC81" si="85">AU81+AY81</f>
        <v>0</v>
      </c>
      <c r="BD81" s="134">
        <f t="shared" ref="BD81" si="86">AV81+AZ81</f>
        <v>9</v>
      </c>
      <c r="BE81" s="78">
        <f t="shared" si="76"/>
        <v>9.9949999999999992</v>
      </c>
      <c r="BF81" s="79"/>
      <c r="BG81" s="80"/>
      <c r="BH81" s="81">
        <v>9.9949999999999992</v>
      </c>
      <c r="BI81" s="70">
        <f t="shared" si="40"/>
        <v>18.994999999999997</v>
      </c>
      <c r="BJ81" s="71">
        <f t="shared" si="81"/>
        <v>0</v>
      </c>
      <c r="BK81" s="72">
        <f t="shared" si="67"/>
        <v>0</v>
      </c>
      <c r="BL81" s="134">
        <f t="shared" si="82"/>
        <v>18.994999999999997</v>
      </c>
    </row>
    <row r="82" spans="1:64" ht="12.9" x14ac:dyDescent="0.35">
      <c r="A82" s="286"/>
      <c r="B82" s="238"/>
      <c r="C82" s="27" t="s">
        <v>297</v>
      </c>
      <c r="D82" s="25" t="s">
        <v>137</v>
      </c>
      <c r="E82" s="78">
        <f t="shared" si="69"/>
        <v>0</v>
      </c>
      <c r="F82" s="79"/>
      <c r="G82" s="80"/>
      <c r="H82" s="81"/>
      <c r="I82" s="78">
        <f t="shared" si="70"/>
        <v>0</v>
      </c>
      <c r="J82" s="79"/>
      <c r="K82" s="80"/>
      <c r="L82" s="81"/>
      <c r="M82" s="70">
        <f t="shared" si="10"/>
        <v>0</v>
      </c>
      <c r="N82" s="71">
        <f t="shared" si="11"/>
        <v>0</v>
      </c>
      <c r="O82" s="72">
        <f t="shared" si="12"/>
        <v>0</v>
      </c>
      <c r="P82" s="134">
        <f t="shared" si="13"/>
        <v>0</v>
      </c>
      <c r="Q82" s="78">
        <f t="shared" si="71"/>
        <v>11.2</v>
      </c>
      <c r="R82" s="79">
        <v>10</v>
      </c>
      <c r="S82" s="80"/>
      <c r="T82" s="81">
        <v>1.2</v>
      </c>
      <c r="U82" s="70">
        <f t="shared" si="15"/>
        <v>11.2</v>
      </c>
      <c r="V82" s="71">
        <f t="shared" si="16"/>
        <v>10</v>
      </c>
      <c r="W82" s="72">
        <f t="shared" si="17"/>
        <v>0</v>
      </c>
      <c r="X82" s="134">
        <f t="shared" si="18"/>
        <v>1.2</v>
      </c>
      <c r="Y82" s="78">
        <f t="shared" si="72"/>
        <v>0</v>
      </c>
      <c r="Z82" s="79"/>
      <c r="AA82" s="80"/>
      <c r="AB82" s="81"/>
      <c r="AC82" s="70">
        <f t="shared" si="20"/>
        <v>11.2</v>
      </c>
      <c r="AD82" s="71">
        <f t="shared" si="77"/>
        <v>10</v>
      </c>
      <c r="AE82" s="72">
        <f t="shared" si="22"/>
        <v>0</v>
      </c>
      <c r="AF82" s="134">
        <f t="shared" si="23"/>
        <v>1.2</v>
      </c>
      <c r="AG82" s="78">
        <f t="shared" si="73"/>
        <v>5.98</v>
      </c>
      <c r="AH82" s="79">
        <v>5.98</v>
      </c>
      <c r="AI82" s="80"/>
      <c r="AJ82" s="81"/>
      <c r="AK82" s="70">
        <f t="shared" si="25"/>
        <v>17.18</v>
      </c>
      <c r="AL82" s="71">
        <f t="shared" si="78"/>
        <v>15.98</v>
      </c>
      <c r="AM82" s="72">
        <f t="shared" si="52"/>
        <v>0</v>
      </c>
      <c r="AN82" s="134">
        <f t="shared" si="28"/>
        <v>1.2</v>
      </c>
      <c r="AO82" s="78">
        <f t="shared" si="74"/>
        <v>0</v>
      </c>
      <c r="AP82" s="79"/>
      <c r="AQ82" s="80"/>
      <c r="AR82" s="81"/>
      <c r="AS82" s="70">
        <f t="shared" si="30"/>
        <v>17.18</v>
      </c>
      <c r="AT82" s="71">
        <f t="shared" si="79"/>
        <v>15.98</v>
      </c>
      <c r="AU82" s="72">
        <f t="shared" si="53"/>
        <v>0</v>
      </c>
      <c r="AV82" s="134">
        <f t="shared" si="33"/>
        <v>1.2</v>
      </c>
      <c r="AW82" s="78">
        <f t="shared" si="75"/>
        <v>0</v>
      </c>
      <c r="AX82" s="79"/>
      <c r="AY82" s="80"/>
      <c r="AZ82" s="81"/>
      <c r="BA82" s="70">
        <f t="shared" si="35"/>
        <v>17.18</v>
      </c>
      <c r="BB82" s="71">
        <f t="shared" si="80"/>
        <v>15.98</v>
      </c>
      <c r="BC82" s="72">
        <f t="shared" si="54"/>
        <v>0</v>
      </c>
      <c r="BD82" s="134">
        <f t="shared" si="38"/>
        <v>1.2</v>
      </c>
      <c r="BE82" s="78">
        <f t="shared" si="76"/>
        <v>0</v>
      </c>
      <c r="BF82" s="79"/>
      <c r="BG82" s="80"/>
      <c r="BH82" s="81"/>
      <c r="BI82" s="70">
        <f t="shared" si="40"/>
        <v>17.18</v>
      </c>
      <c r="BJ82" s="71">
        <f t="shared" si="81"/>
        <v>15.98</v>
      </c>
      <c r="BK82" s="72">
        <f t="shared" si="67"/>
        <v>0</v>
      </c>
      <c r="BL82" s="134">
        <f t="shared" si="82"/>
        <v>1.2</v>
      </c>
    </row>
    <row r="83" spans="1:64" s="138" customFormat="1" ht="12.45" x14ac:dyDescent="0.3">
      <c r="A83" s="135"/>
      <c r="B83" s="136" t="s">
        <v>142</v>
      </c>
      <c r="C83" s="42" t="s">
        <v>177</v>
      </c>
      <c r="D83" s="137"/>
      <c r="E83" s="73">
        <f t="shared" si="69"/>
        <v>1552.6149999999998</v>
      </c>
      <c r="F83" s="74">
        <f>SUM(F85:F92)</f>
        <v>1546.8149999999998</v>
      </c>
      <c r="G83" s="75">
        <f>SUM(G85:G92)</f>
        <v>1297.915</v>
      </c>
      <c r="H83" s="133">
        <f>SUM(H85:H92)</f>
        <v>5.8</v>
      </c>
      <c r="I83" s="73">
        <f t="shared" si="70"/>
        <v>3</v>
      </c>
      <c r="J83" s="74">
        <f>SUM(J85:J93)</f>
        <v>3</v>
      </c>
      <c r="K83" s="75">
        <f>SUM(K85:K92)</f>
        <v>0</v>
      </c>
      <c r="L83" s="133">
        <f>SUM(L85:L92)</f>
        <v>0</v>
      </c>
      <c r="M83" s="73">
        <f>SUM(P83,N83)</f>
        <v>1555.6149999999998</v>
      </c>
      <c r="N83" s="74">
        <f>F83+J83</f>
        <v>1549.8149999999998</v>
      </c>
      <c r="O83" s="75">
        <f t="shared" si="12"/>
        <v>1297.915</v>
      </c>
      <c r="P83" s="133">
        <f t="shared" si="13"/>
        <v>5.8</v>
      </c>
      <c r="Q83" s="73">
        <f t="shared" si="71"/>
        <v>2.246</v>
      </c>
      <c r="R83" s="74">
        <f>SUM(R85:R93)</f>
        <v>2.246</v>
      </c>
      <c r="S83" s="75">
        <f>SUM(S85:S92)</f>
        <v>-1.9950000000000001</v>
      </c>
      <c r="T83" s="133">
        <f>SUM(T85:T92)</f>
        <v>0</v>
      </c>
      <c r="U83" s="73">
        <f>SUM(X83,V83)</f>
        <v>1557.8609999999999</v>
      </c>
      <c r="V83" s="74">
        <f>N83+R83</f>
        <v>1552.0609999999999</v>
      </c>
      <c r="W83" s="75">
        <f t="shared" si="17"/>
        <v>1295.92</v>
      </c>
      <c r="X83" s="133">
        <f t="shared" si="18"/>
        <v>5.8</v>
      </c>
      <c r="Y83" s="73">
        <f t="shared" si="72"/>
        <v>5.600000000000005E-2</v>
      </c>
      <c r="Z83" s="74">
        <f>SUM(Z85:Z93)</f>
        <v>5.600000000000005E-2</v>
      </c>
      <c r="AA83" s="75">
        <f>SUM(AA85:AA92)</f>
        <v>2.5999999999999801E-2</v>
      </c>
      <c r="AB83" s="133">
        <f>SUM(AB85:AB92)</f>
        <v>0</v>
      </c>
      <c r="AC83" s="73">
        <f>SUM(AF83,AD83)</f>
        <v>1557.9169999999999</v>
      </c>
      <c r="AD83" s="74">
        <f>V83+Z83</f>
        <v>1552.117</v>
      </c>
      <c r="AE83" s="75">
        <f t="shared" si="22"/>
        <v>1295.9460000000001</v>
      </c>
      <c r="AF83" s="133">
        <f t="shared" si="23"/>
        <v>5.8</v>
      </c>
      <c r="AG83" s="73">
        <f t="shared" si="73"/>
        <v>0.48599999999999999</v>
      </c>
      <c r="AH83" s="74">
        <f>SUM(AH85:AH93)</f>
        <v>0.48599999999999999</v>
      </c>
      <c r="AI83" s="75">
        <f>SUM(AI85:AI92)</f>
        <v>0.48</v>
      </c>
      <c r="AJ83" s="133">
        <f>SUM(AJ85:AJ92)</f>
        <v>0</v>
      </c>
      <c r="AK83" s="73">
        <f>SUM(AN83,AL83)</f>
        <v>1558.403</v>
      </c>
      <c r="AL83" s="74">
        <f>AD83+AH83</f>
        <v>1552.6030000000001</v>
      </c>
      <c r="AM83" s="75">
        <f t="shared" si="52"/>
        <v>1296.4260000000002</v>
      </c>
      <c r="AN83" s="133">
        <f t="shared" si="28"/>
        <v>5.8</v>
      </c>
      <c r="AO83" s="73">
        <f t="shared" si="74"/>
        <v>0</v>
      </c>
      <c r="AP83" s="74">
        <f>SUM(AP85:AP93)</f>
        <v>0</v>
      </c>
      <c r="AQ83" s="75">
        <f>SUM(AQ85:AQ92)</f>
        <v>-0.2</v>
      </c>
      <c r="AR83" s="133">
        <f>SUM(AR85:AR92)</f>
        <v>0</v>
      </c>
      <c r="AS83" s="73">
        <f>SUM(AV83,AT83)</f>
        <v>1558.403</v>
      </c>
      <c r="AT83" s="74">
        <f>AL83+AP83</f>
        <v>1552.6030000000001</v>
      </c>
      <c r="AU83" s="75">
        <f t="shared" si="53"/>
        <v>1296.2260000000001</v>
      </c>
      <c r="AV83" s="133">
        <f t="shared" si="33"/>
        <v>5.8</v>
      </c>
      <c r="AW83" s="73">
        <f t="shared" si="75"/>
        <v>-9.5610000000000035</v>
      </c>
      <c r="AX83" s="74">
        <f>SUM(AX85:AX93)</f>
        <v>-9.5610000000000035</v>
      </c>
      <c r="AY83" s="75">
        <f>SUM(AY85:AY92)</f>
        <v>2.75</v>
      </c>
      <c r="AZ83" s="133">
        <f>SUM(AZ85:AZ92)</f>
        <v>0</v>
      </c>
      <c r="BA83" s="73">
        <f>SUM(BD83,BB83)</f>
        <v>1548.8420000000001</v>
      </c>
      <c r="BB83" s="74">
        <f>AT83+AX83</f>
        <v>1543.0420000000001</v>
      </c>
      <c r="BC83" s="75">
        <f t="shared" si="54"/>
        <v>1298.9760000000001</v>
      </c>
      <c r="BD83" s="133">
        <f t="shared" si="38"/>
        <v>5.8</v>
      </c>
      <c r="BE83" s="73">
        <f t="shared" si="76"/>
        <v>3.6</v>
      </c>
      <c r="BF83" s="74">
        <f>SUM(BF85:BF93)</f>
        <v>1.27</v>
      </c>
      <c r="BG83" s="75">
        <f>SUM(BG85:BG92)</f>
        <v>0</v>
      </c>
      <c r="BH83" s="133">
        <f>SUM(BH85:BH92)</f>
        <v>2.33</v>
      </c>
      <c r="BI83" s="73">
        <f>SUM(BL83,BJ83)</f>
        <v>1552.4420000000002</v>
      </c>
      <c r="BJ83" s="74">
        <f>BB83+BF83</f>
        <v>1544.3120000000001</v>
      </c>
      <c r="BK83" s="75">
        <f t="shared" si="67"/>
        <v>1298.9760000000001</v>
      </c>
      <c r="BL83" s="133">
        <f t="shared" si="82"/>
        <v>8.129999999999999</v>
      </c>
    </row>
    <row r="84" spans="1:64" ht="12.9" x14ac:dyDescent="0.35">
      <c r="A84" s="43"/>
      <c r="B84" s="4" t="s">
        <v>2</v>
      </c>
      <c r="C84" s="44"/>
      <c r="D84" s="28"/>
      <c r="E84" s="78">
        <f t="shared" si="69"/>
        <v>0</v>
      </c>
      <c r="F84" s="79">
        <v>0</v>
      </c>
      <c r="G84" s="80">
        <v>0</v>
      </c>
      <c r="H84" s="81">
        <v>0</v>
      </c>
      <c r="I84" s="78">
        <f t="shared" si="70"/>
        <v>0</v>
      </c>
      <c r="J84" s="79">
        <v>0</v>
      </c>
      <c r="K84" s="80">
        <v>0</v>
      </c>
      <c r="L84" s="81">
        <v>0</v>
      </c>
      <c r="M84" s="70">
        <f t="shared" si="10"/>
        <v>0</v>
      </c>
      <c r="N84" s="71">
        <f t="shared" si="11"/>
        <v>0</v>
      </c>
      <c r="O84" s="72">
        <f t="shared" si="12"/>
        <v>0</v>
      </c>
      <c r="P84" s="134">
        <f t="shared" si="13"/>
        <v>0</v>
      </c>
      <c r="Q84" s="78">
        <f t="shared" si="71"/>
        <v>0</v>
      </c>
      <c r="R84" s="79">
        <v>0</v>
      </c>
      <c r="S84" s="80">
        <v>0</v>
      </c>
      <c r="T84" s="81">
        <v>0</v>
      </c>
      <c r="U84" s="70">
        <f t="shared" ref="U84:U150" si="87">SUM(X84,V84)</f>
        <v>0</v>
      </c>
      <c r="V84" s="71">
        <f t="shared" ref="V84:V150" si="88">N84+R84</f>
        <v>0</v>
      </c>
      <c r="W84" s="72">
        <f t="shared" si="17"/>
        <v>0</v>
      </c>
      <c r="X84" s="134">
        <f t="shared" si="18"/>
        <v>0</v>
      </c>
      <c r="Y84" s="78">
        <f t="shared" si="72"/>
        <v>0</v>
      </c>
      <c r="Z84" s="79">
        <v>0</v>
      </c>
      <c r="AA84" s="80">
        <v>0</v>
      </c>
      <c r="AB84" s="81">
        <v>0</v>
      </c>
      <c r="AC84" s="70">
        <f t="shared" ref="AC84:AC150" si="89">SUM(AF84,AD84)</f>
        <v>0</v>
      </c>
      <c r="AD84" s="71">
        <f t="shared" ref="AD84:AD150" si="90">V84+Z84</f>
        <v>0</v>
      </c>
      <c r="AE84" s="72">
        <f t="shared" si="22"/>
        <v>0</v>
      </c>
      <c r="AF84" s="134">
        <f t="shared" si="23"/>
        <v>0</v>
      </c>
      <c r="AG84" s="78">
        <f t="shared" si="73"/>
        <v>0</v>
      </c>
      <c r="AH84" s="79">
        <v>0</v>
      </c>
      <c r="AI84" s="80">
        <v>0</v>
      </c>
      <c r="AJ84" s="81">
        <v>0</v>
      </c>
      <c r="AK84" s="70">
        <f t="shared" ref="AK84:AK150" si="91">SUM(AN84,AL84)</f>
        <v>0</v>
      </c>
      <c r="AL84" s="71">
        <f t="shared" ref="AL84:AL150" si="92">AD84+AH84</f>
        <v>0</v>
      </c>
      <c r="AM84" s="72">
        <f t="shared" si="52"/>
        <v>0</v>
      </c>
      <c r="AN84" s="134">
        <f t="shared" si="28"/>
        <v>0</v>
      </c>
      <c r="AO84" s="78">
        <f t="shared" si="74"/>
        <v>0</v>
      </c>
      <c r="AP84" s="79">
        <v>0</v>
      </c>
      <c r="AQ84" s="80">
        <v>0</v>
      </c>
      <c r="AR84" s="81">
        <v>0</v>
      </c>
      <c r="AS84" s="70">
        <f t="shared" ref="AS84:AS150" si="93">SUM(AV84,AT84)</f>
        <v>0</v>
      </c>
      <c r="AT84" s="71">
        <f t="shared" ref="AT84:AT107" si="94">AL84+AP84</f>
        <v>0</v>
      </c>
      <c r="AU84" s="72">
        <f t="shared" si="53"/>
        <v>0</v>
      </c>
      <c r="AV84" s="134">
        <f t="shared" si="33"/>
        <v>0</v>
      </c>
      <c r="AW84" s="78">
        <f t="shared" si="75"/>
        <v>0</v>
      </c>
      <c r="AX84" s="79">
        <v>0</v>
      </c>
      <c r="AY84" s="80">
        <v>0</v>
      </c>
      <c r="AZ84" s="81">
        <v>0</v>
      </c>
      <c r="BA84" s="70">
        <f t="shared" ref="BA84:BA150" si="95">SUM(BD84,BB84)</f>
        <v>0</v>
      </c>
      <c r="BB84" s="71">
        <f t="shared" ref="BB84:BB107" si="96">AT84+AX84</f>
        <v>0</v>
      </c>
      <c r="BC84" s="72">
        <f t="shared" si="54"/>
        <v>0</v>
      </c>
      <c r="BD84" s="134">
        <f t="shared" si="38"/>
        <v>0</v>
      </c>
      <c r="BE84" s="78">
        <f t="shared" si="76"/>
        <v>0</v>
      </c>
      <c r="BF84" s="79">
        <v>0</v>
      </c>
      <c r="BG84" s="80">
        <v>0</v>
      </c>
      <c r="BH84" s="81">
        <v>0</v>
      </c>
      <c r="BI84" s="70">
        <f t="shared" ref="BI84:BI150" si="97">SUM(BL84,BJ84)</f>
        <v>0</v>
      </c>
      <c r="BJ84" s="71">
        <f t="shared" ref="BJ84:BJ107" si="98">BB84+BF84</f>
        <v>0</v>
      </c>
      <c r="BK84" s="72">
        <f t="shared" si="67"/>
        <v>0</v>
      </c>
      <c r="BL84" s="134">
        <f t="shared" si="82"/>
        <v>0</v>
      </c>
    </row>
    <row r="85" spans="1:64" ht="12.9" x14ac:dyDescent="0.35">
      <c r="A85" s="25" t="s">
        <v>22</v>
      </c>
      <c r="B85" s="26" t="s">
        <v>34</v>
      </c>
      <c r="C85" s="27" t="s">
        <v>29</v>
      </c>
      <c r="D85" s="40" t="s">
        <v>125</v>
      </c>
      <c r="E85" s="78">
        <f t="shared" si="69"/>
        <v>0.4</v>
      </c>
      <c r="F85" s="79">
        <v>0.4</v>
      </c>
      <c r="G85" s="80"/>
      <c r="H85" s="81"/>
      <c r="I85" s="78">
        <f t="shared" si="70"/>
        <v>0</v>
      </c>
      <c r="J85" s="79"/>
      <c r="K85" s="80"/>
      <c r="L85" s="81"/>
      <c r="M85" s="70">
        <f t="shared" ref="M85:M151" si="99">SUM(P85,N85)</f>
        <v>0.4</v>
      </c>
      <c r="N85" s="71">
        <f t="shared" ref="N85:N151" si="100">F85+J85</f>
        <v>0.4</v>
      </c>
      <c r="O85" s="72">
        <f t="shared" ref="O85:O151" si="101">G85+K85</f>
        <v>0</v>
      </c>
      <c r="P85" s="134">
        <f t="shared" ref="P85:P151" si="102">H85+L85</f>
        <v>0</v>
      </c>
      <c r="Q85" s="78">
        <f t="shared" si="71"/>
        <v>0</v>
      </c>
      <c r="R85" s="79"/>
      <c r="S85" s="80"/>
      <c r="T85" s="81"/>
      <c r="U85" s="70">
        <f t="shared" si="87"/>
        <v>0.4</v>
      </c>
      <c r="V85" s="71">
        <f t="shared" si="88"/>
        <v>0.4</v>
      </c>
      <c r="W85" s="72">
        <f t="shared" ref="W85:W151" si="103">O85+S85</f>
        <v>0</v>
      </c>
      <c r="X85" s="134">
        <f t="shared" ref="X85:X151" si="104">P85+T85</f>
        <v>0</v>
      </c>
      <c r="Y85" s="78">
        <f t="shared" si="72"/>
        <v>0</v>
      </c>
      <c r="Z85" s="79"/>
      <c r="AA85" s="80"/>
      <c r="AB85" s="81"/>
      <c r="AC85" s="70">
        <f t="shared" si="89"/>
        <v>0.4</v>
      </c>
      <c r="AD85" s="71">
        <f t="shared" si="90"/>
        <v>0.4</v>
      </c>
      <c r="AE85" s="72">
        <f t="shared" ref="AE85:AE151" si="105">W85+AA85</f>
        <v>0</v>
      </c>
      <c r="AF85" s="134">
        <f t="shared" ref="AF85:AF151" si="106">X85+AB85</f>
        <v>0</v>
      </c>
      <c r="AG85" s="78">
        <f t="shared" si="73"/>
        <v>0</v>
      </c>
      <c r="AH85" s="79"/>
      <c r="AI85" s="80"/>
      <c r="AJ85" s="81"/>
      <c r="AK85" s="70">
        <f t="shared" si="91"/>
        <v>0.4</v>
      </c>
      <c r="AL85" s="71">
        <f t="shared" si="92"/>
        <v>0.4</v>
      </c>
      <c r="AM85" s="72">
        <f t="shared" si="52"/>
        <v>0</v>
      </c>
      <c r="AN85" s="134">
        <f t="shared" ref="AN85:AN126" si="107">AF85+AJ85</f>
        <v>0</v>
      </c>
      <c r="AO85" s="78">
        <f t="shared" si="74"/>
        <v>0</v>
      </c>
      <c r="AP85" s="79"/>
      <c r="AQ85" s="80"/>
      <c r="AR85" s="81"/>
      <c r="AS85" s="70">
        <f t="shared" si="93"/>
        <v>0.4</v>
      </c>
      <c r="AT85" s="71">
        <f t="shared" si="94"/>
        <v>0.4</v>
      </c>
      <c r="AU85" s="72">
        <f t="shared" si="53"/>
        <v>0</v>
      </c>
      <c r="AV85" s="134">
        <f t="shared" ref="AV85:AV119" si="108">AN85+AR85</f>
        <v>0</v>
      </c>
      <c r="AW85" s="78">
        <f t="shared" si="75"/>
        <v>0.5</v>
      </c>
      <c r="AX85" s="79">
        <v>0.5</v>
      </c>
      <c r="AY85" s="80"/>
      <c r="AZ85" s="81"/>
      <c r="BA85" s="70">
        <f t="shared" si="95"/>
        <v>0.9</v>
      </c>
      <c r="BB85" s="71">
        <f t="shared" si="96"/>
        <v>0.9</v>
      </c>
      <c r="BC85" s="72">
        <f t="shared" si="54"/>
        <v>0</v>
      </c>
      <c r="BD85" s="134">
        <f t="shared" ref="BD85:BD119" si="109">AV85+AZ85</f>
        <v>0</v>
      </c>
      <c r="BE85" s="78">
        <f t="shared" si="76"/>
        <v>0</v>
      </c>
      <c r="BF85" s="79"/>
      <c r="BG85" s="80"/>
      <c r="BH85" s="81"/>
      <c r="BI85" s="70">
        <f t="shared" si="97"/>
        <v>0.9</v>
      </c>
      <c r="BJ85" s="71">
        <f t="shared" si="98"/>
        <v>0.9</v>
      </c>
      <c r="BK85" s="72">
        <f t="shared" si="67"/>
        <v>0</v>
      </c>
      <c r="BL85" s="134">
        <f t="shared" si="82"/>
        <v>0</v>
      </c>
    </row>
    <row r="86" spans="1:64" ht="12.9" x14ac:dyDescent="0.35">
      <c r="A86" s="231" t="s">
        <v>25</v>
      </c>
      <c r="B86" s="233" t="s">
        <v>41</v>
      </c>
      <c r="C86" s="27" t="s">
        <v>55</v>
      </c>
      <c r="D86" s="25" t="s">
        <v>125</v>
      </c>
      <c r="E86" s="78">
        <f t="shared" si="69"/>
        <v>415.73100000000005</v>
      </c>
      <c r="F86" s="79">
        <f>386.22+28.911</f>
        <v>415.13100000000003</v>
      </c>
      <c r="G86" s="80">
        <f>298.61-1.2</f>
        <v>297.41000000000003</v>
      </c>
      <c r="H86" s="81">
        <v>0.6</v>
      </c>
      <c r="I86" s="78">
        <f t="shared" si="70"/>
        <v>0</v>
      </c>
      <c r="J86" s="79"/>
      <c r="K86" s="80"/>
      <c r="L86" s="81"/>
      <c r="M86" s="70">
        <f t="shared" si="99"/>
        <v>415.73100000000005</v>
      </c>
      <c r="N86" s="71">
        <f t="shared" si="100"/>
        <v>415.13100000000003</v>
      </c>
      <c r="O86" s="72">
        <f t="shared" si="101"/>
        <v>297.41000000000003</v>
      </c>
      <c r="P86" s="134">
        <f t="shared" si="102"/>
        <v>0.6</v>
      </c>
      <c r="Q86" s="78">
        <f t="shared" si="71"/>
        <v>0</v>
      </c>
      <c r="R86" s="79"/>
      <c r="S86" s="80"/>
      <c r="T86" s="81"/>
      <c r="U86" s="70">
        <f t="shared" si="87"/>
        <v>415.73100000000005</v>
      </c>
      <c r="V86" s="71">
        <f t="shared" si="88"/>
        <v>415.13100000000003</v>
      </c>
      <c r="W86" s="72">
        <f t="shared" si="103"/>
        <v>297.41000000000003</v>
      </c>
      <c r="X86" s="134">
        <f t="shared" si="104"/>
        <v>0.6</v>
      </c>
      <c r="Y86" s="78">
        <f t="shared" si="72"/>
        <v>0</v>
      </c>
      <c r="Z86" s="79"/>
      <c r="AA86" s="80"/>
      <c r="AB86" s="81"/>
      <c r="AC86" s="70">
        <f t="shared" si="89"/>
        <v>415.73100000000005</v>
      </c>
      <c r="AD86" s="71">
        <f t="shared" si="90"/>
        <v>415.13100000000003</v>
      </c>
      <c r="AE86" s="72">
        <f t="shared" si="105"/>
        <v>297.41000000000003</v>
      </c>
      <c r="AF86" s="134">
        <f t="shared" si="106"/>
        <v>0.6</v>
      </c>
      <c r="AG86" s="78">
        <f t="shared" si="73"/>
        <v>0</v>
      </c>
      <c r="AH86" s="79"/>
      <c r="AI86" s="80"/>
      <c r="AJ86" s="81"/>
      <c r="AK86" s="70">
        <f t="shared" si="91"/>
        <v>415.73100000000005</v>
      </c>
      <c r="AL86" s="71">
        <f t="shared" si="92"/>
        <v>415.13100000000003</v>
      </c>
      <c r="AM86" s="72">
        <f t="shared" si="52"/>
        <v>297.41000000000003</v>
      </c>
      <c r="AN86" s="134">
        <f t="shared" si="107"/>
        <v>0.6</v>
      </c>
      <c r="AO86" s="78">
        <f t="shared" si="74"/>
        <v>0</v>
      </c>
      <c r="AP86" s="79"/>
      <c r="AQ86" s="80"/>
      <c r="AR86" s="81"/>
      <c r="AS86" s="70">
        <f t="shared" si="93"/>
        <v>415.73100000000005</v>
      </c>
      <c r="AT86" s="71">
        <f t="shared" si="94"/>
        <v>415.13100000000003</v>
      </c>
      <c r="AU86" s="72">
        <f t="shared" si="53"/>
        <v>297.41000000000003</v>
      </c>
      <c r="AV86" s="134">
        <f t="shared" si="108"/>
        <v>0.6</v>
      </c>
      <c r="AW86" s="78">
        <f t="shared" si="75"/>
        <v>-13.59</v>
      </c>
      <c r="AX86" s="79">
        <f>-0.67-12.92</f>
        <v>-13.59</v>
      </c>
      <c r="AY86" s="80">
        <v>-1.1950000000000001</v>
      </c>
      <c r="AZ86" s="81"/>
      <c r="BA86" s="70">
        <f t="shared" si="95"/>
        <v>402.14100000000008</v>
      </c>
      <c r="BB86" s="71">
        <f t="shared" si="96"/>
        <v>401.54100000000005</v>
      </c>
      <c r="BC86" s="72">
        <f t="shared" si="54"/>
        <v>296.21500000000003</v>
      </c>
      <c r="BD86" s="134">
        <f t="shared" si="109"/>
        <v>0.6</v>
      </c>
      <c r="BE86" s="78">
        <f t="shared" si="76"/>
        <v>3.6</v>
      </c>
      <c r="BF86" s="79">
        <v>3.6</v>
      </c>
      <c r="BG86" s="80"/>
      <c r="BH86" s="81"/>
      <c r="BI86" s="70">
        <f t="shared" si="97"/>
        <v>405.7410000000001</v>
      </c>
      <c r="BJ86" s="71">
        <f t="shared" si="98"/>
        <v>405.14100000000008</v>
      </c>
      <c r="BK86" s="72">
        <f t="shared" si="67"/>
        <v>296.21500000000003</v>
      </c>
      <c r="BL86" s="134">
        <f t="shared" si="82"/>
        <v>0.6</v>
      </c>
    </row>
    <row r="87" spans="1:64" ht="12.9" x14ac:dyDescent="0.35">
      <c r="A87" s="241"/>
      <c r="B87" s="242"/>
      <c r="C87" s="27" t="s">
        <v>56</v>
      </c>
      <c r="D87" s="25" t="s">
        <v>49</v>
      </c>
      <c r="E87" s="78">
        <f t="shared" si="69"/>
        <v>1038.56</v>
      </c>
      <c r="F87" s="79">
        <v>1038.56</v>
      </c>
      <c r="G87" s="80">
        <f>1002.31-3.8</f>
        <v>998.51</v>
      </c>
      <c r="H87" s="81"/>
      <c r="I87" s="78">
        <f t="shared" si="70"/>
        <v>0</v>
      </c>
      <c r="J87" s="79"/>
      <c r="K87" s="80"/>
      <c r="L87" s="81"/>
      <c r="M87" s="70">
        <f t="shared" si="99"/>
        <v>1038.56</v>
      </c>
      <c r="N87" s="71">
        <f t="shared" si="100"/>
        <v>1038.56</v>
      </c>
      <c r="O87" s="72">
        <f t="shared" si="101"/>
        <v>998.51</v>
      </c>
      <c r="P87" s="134">
        <f t="shared" si="102"/>
        <v>0</v>
      </c>
      <c r="Q87" s="78">
        <f t="shared" si="71"/>
        <v>0</v>
      </c>
      <c r="R87" s="79"/>
      <c r="S87" s="80"/>
      <c r="T87" s="81"/>
      <c r="U87" s="70">
        <f t="shared" si="87"/>
        <v>1038.56</v>
      </c>
      <c r="V87" s="71">
        <f t="shared" si="88"/>
        <v>1038.56</v>
      </c>
      <c r="W87" s="72">
        <f t="shared" si="103"/>
        <v>998.51</v>
      </c>
      <c r="X87" s="134">
        <f t="shared" si="104"/>
        <v>0</v>
      </c>
      <c r="Y87" s="78">
        <f t="shared" si="72"/>
        <v>-4.181</v>
      </c>
      <c r="Z87" s="79">
        <v>-4.181</v>
      </c>
      <c r="AA87" s="80">
        <v>-4.1210000000000004</v>
      </c>
      <c r="AB87" s="81"/>
      <c r="AC87" s="70">
        <f t="shared" si="89"/>
        <v>1034.3789999999999</v>
      </c>
      <c r="AD87" s="71">
        <f t="shared" si="90"/>
        <v>1034.3789999999999</v>
      </c>
      <c r="AE87" s="72">
        <f t="shared" si="105"/>
        <v>994.38900000000001</v>
      </c>
      <c r="AF87" s="134">
        <f t="shared" si="106"/>
        <v>0</v>
      </c>
      <c r="AG87" s="78">
        <f t="shared" si="73"/>
        <v>0.48599999999999999</v>
      </c>
      <c r="AH87" s="79">
        <v>0.48599999999999999</v>
      </c>
      <c r="AI87" s="80">
        <v>0.48</v>
      </c>
      <c r="AJ87" s="81"/>
      <c r="AK87" s="70">
        <f t="shared" si="91"/>
        <v>1034.865</v>
      </c>
      <c r="AL87" s="71">
        <f t="shared" si="92"/>
        <v>1034.865</v>
      </c>
      <c r="AM87" s="72">
        <f t="shared" si="52"/>
        <v>994.86900000000003</v>
      </c>
      <c r="AN87" s="134">
        <f t="shared" si="107"/>
        <v>0</v>
      </c>
      <c r="AO87" s="78">
        <f t="shared" si="74"/>
        <v>0</v>
      </c>
      <c r="AP87" s="79"/>
      <c r="AQ87" s="80">
        <v>-0.2</v>
      </c>
      <c r="AR87" s="81"/>
      <c r="AS87" s="70">
        <f t="shared" si="93"/>
        <v>1034.865</v>
      </c>
      <c r="AT87" s="71">
        <f t="shared" si="94"/>
        <v>1034.865</v>
      </c>
      <c r="AU87" s="72">
        <f t="shared" si="53"/>
        <v>994.66899999999998</v>
      </c>
      <c r="AV87" s="134">
        <f t="shared" si="108"/>
        <v>0</v>
      </c>
      <c r="AW87" s="78">
        <f t="shared" si="75"/>
        <v>-3.5649999999999999</v>
      </c>
      <c r="AX87" s="79">
        <v>-3.5649999999999999</v>
      </c>
      <c r="AY87" s="80">
        <v>-3.3</v>
      </c>
      <c r="AZ87" s="81"/>
      <c r="BA87" s="70">
        <f t="shared" si="95"/>
        <v>1031.3</v>
      </c>
      <c r="BB87" s="71">
        <f t="shared" si="96"/>
        <v>1031.3</v>
      </c>
      <c r="BC87" s="72">
        <f t="shared" si="54"/>
        <v>991.36900000000003</v>
      </c>
      <c r="BD87" s="134">
        <f t="shared" si="109"/>
        <v>0</v>
      </c>
      <c r="BE87" s="78">
        <f t="shared" si="76"/>
        <v>0</v>
      </c>
      <c r="BF87" s="79">
        <v>-2.33</v>
      </c>
      <c r="BG87" s="80"/>
      <c r="BH87" s="81">
        <v>2.33</v>
      </c>
      <c r="BI87" s="70">
        <f t="shared" si="97"/>
        <v>1031.3</v>
      </c>
      <c r="BJ87" s="71">
        <f t="shared" si="98"/>
        <v>1028.97</v>
      </c>
      <c r="BK87" s="72">
        <f t="shared" si="67"/>
        <v>991.36900000000003</v>
      </c>
      <c r="BL87" s="134">
        <f t="shared" si="82"/>
        <v>2.33</v>
      </c>
    </row>
    <row r="88" spans="1:64" ht="12.9" x14ac:dyDescent="0.35">
      <c r="A88" s="232"/>
      <c r="B88" s="234"/>
      <c r="C88" s="27" t="s">
        <v>57</v>
      </c>
      <c r="D88" s="25" t="s">
        <v>137</v>
      </c>
      <c r="E88" s="78">
        <f t="shared" si="69"/>
        <v>17.224</v>
      </c>
      <c r="F88" s="79">
        <f>10+2.024</f>
        <v>12.024000000000001</v>
      </c>
      <c r="G88" s="80">
        <v>1.9950000000000001</v>
      </c>
      <c r="H88" s="81">
        <v>5.2</v>
      </c>
      <c r="I88" s="78">
        <f t="shared" si="70"/>
        <v>0</v>
      </c>
      <c r="J88" s="79"/>
      <c r="K88" s="80"/>
      <c r="L88" s="81"/>
      <c r="M88" s="70">
        <f t="shared" si="99"/>
        <v>17.224</v>
      </c>
      <c r="N88" s="71">
        <f t="shared" si="100"/>
        <v>12.024000000000001</v>
      </c>
      <c r="O88" s="72">
        <f t="shared" si="101"/>
        <v>1.9950000000000001</v>
      </c>
      <c r="P88" s="134">
        <f t="shared" si="102"/>
        <v>5.2</v>
      </c>
      <c r="Q88" s="78">
        <f t="shared" si="71"/>
        <v>1.976</v>
      </c>
      <c r="R88" s="79">
        <f>4-2.024</f>
        <v>1.976</v>
      </c>
      <c r="S88" s="80">
        <v>-1.9950000000000001</v>
      </c>
      <c r="T88" s="81"/>
      <c r="U88" s="70">
        <f t="shared" si="87"/>
        <v>19.2</v>
      </c>
      <c r="V88" s="71">
        <f t="shared" si="88"/>
        <v>14</v>
      </c>
      <c r="W88" s="72">
        <f t="shared" si="103"/>
        <v>0</v>
      </c>
      <c r="X88" s="134">
        <f t="shared" si="104"/>
        <v>5.2</v>
      </c>
      <c r="Y88" s="78">
        <f t="shared" si="72"/>
        <v>4.2370000000000001</v>
      </c>
      <c r="Z88" s="79">
        <v>4.2370000000000001</v>
      </c>
      <c r="AA88" s="80">
        <v>4.1470000000000002</v>
      </c>
      <c r="AB88" s="81"/>
      <c r="AC88" s="70">
        <f t="shared" si="89"/>
        <v>23.437000000000001</v>
      </c>
      <c r="AD88" s="71">
        <f t="shared" si="90"/>
        <v>18.237000000000002</v>
      </c>
      <c r="AE88" s="72">
        <f t="shared" si="105"/>
        <v>4.1470000000000002</v>
      </c>
      <c r="AF88" s="134">
        <f t="shared" si="106"/>
        <v>5.2</v>
      </c>
      <c r="AG88" s="78">
        <f t="shared" si="73"/>
        <v>0</v>
      </c>
      <c r="AH88" s="79"/>
      <c r="AI88" s="80"/>
      <c r="AJ88" s="81"/>
      <c r="AK88" s="70">
        <f t="shared" si="91"/>
        <v>23.437000000000001</v>
      </c>
      <c r="AL88" s="71">
        <f t="shared" si="92"/>
        <v>18.237000000000002</v>
      </c>
      <c r="AM88" s="72">
        <f t="shared" si="52"/>
        <v>4.1470000000000002</v>
      </c>
      <c r="AN88" s="134">
        <f t="shared" si="107"/>
        <v>5.2</v>
      </c>
      <c r="AO88" s="78">
        <f t="shared" si="74"/>
        <v>0</v>
      </c>
      <c r="AP88" s="79"/>
      <c r="AQ88" s="80"/>
      <c r="AR88" s="81"/>
      <c r="AS88" s="70">
        <f t="shared" si="93"/>
        <v>23.437000000000001</v>
      </c>
      <c r="AT88" s="71">
        <f t="shared" si="94"/>
        <v>18.237000000000002</v>
      </c>
      <c r="AU88" s="72">
        <f t="shared" si="53"/>
        <v>4.1470000000000002</v>
      </c>
      <c r="AV88" s="134">
        <f t="shared" si="108"/>
        <v>5.2</v>
      </c>
      <c r="AW88" s="78">
        <f t="shared" si="75"/>
        <v>7.18</v>
      </c>
      <c r="AX88" s="79">
        <f>7.35-0.17</f>
        <v>7.18</v>
      </c>
      <c r="AY88" s="80">
        <v>7.2450000000000001</v>
      </c>
      <c r="AZ88" s="81"/>
      <c r="BA88" s="70">
        <f t="shared" si="95"/>
        <v>30.617000000000001</v>
      </c>
      <c r="BB88" s="71">
        <f t="shared" si="96"/>
        <v>25.417000000000002</v>
      </c>
      <c r="BC88" s="72">
        <f t="shared" si="54"/>
        <v>11.391999999999999</v>
      </c>
      <c r="BD88" s="134">
        <f t="shared" si="109"/>
        <v>5.2</v>
      </c>
      <c r="BE88" s="78">
        <f t="shared" si="76"/>
        <v>0</v>
      </c>
      <c r="BF88" s="79"/>
      <c r="BG88" s="80"/>
      <c r="BH88" s="81"/>
      <c r="BI88" s="70">
        <f t="shared" si="97"/>
        <v>30.617000000000001</v>
      </c>
      <c r="BJ88" s="71">
        <f t="shared" si="98"/>
        <v>25.417000000000002</v>
      </c>
      <c r="BK88" s="72">
        <f t="shared" si="67"/>
        <v>11.391999999999999</v>
      </c>
      <c r="BL88" s="134">
        <f t="shared" si="82"/>
        <v>5.2</v>
      </c>
    </row>
    <row r="89" spans="1:64" ht="12.9" x14ac:dyDescent="0.35">
      <c r="A89" s="45" t="s">
        <v>23</v>
      </c>
      <c r="B89" s="46" t="s">
        <v>44</v>
      </c>
      <c r="C89" s="27" t="s">
        <v>160</v>
      </c>
      <c r="D89" s="25" t="s">
        <v>38</v>
      </c>
      <c r="E89" s="78">
        <f t="shared" si="69"/>
        <v>78.7</v>
      </c>
      <c r="F89" s="79">
        <v>78.7</v>
      </c>
      <c r="G89" s="80"/>
      <c r="H89" s="81"/>
      <c r="I89" s="78">
        <f t="shared" si="70"/>
        <v>0</v>
      </c>
      <c r="J89" s="79"/>
      <c r="K89" s="80"/>
      <c r="L89" s="81"/>
      <c r="M89" s="70">
        <f t="shared" si="99"/>
        <v>78.7</v>
      </c>
      <c r="N89" s="71">
        <f t="shared" si="100"/>
        <v>78.7</v>
      </c>
      <c r="O89" s="72">
        <f t="shared" si="101"/>
        <v>0</v>
      </c>
      <c r="P89" s="134">
        <f t="shared" si="102"/>
        <v>0</v>
      </c>
      <c r="Q89" s="78">
        <f t="shared" si="71"/>
        <v>0</v>
      </c>
      <c r="R89" s="79"/>
      <c r="S89" s="80"/>
      <c r="T89" s="81"/>
      <c r="U89" s="70">
        <f t="shared" si="87"/>
        <v>78.7</v>
      </c>
      <c r="V89" s="71">
        <f t="shared" si="88"/>
        <v>78.7</v>
      </c>
      <c r="W89" s="72">
        <f t="shared" si="103"/>
        <v>0</v>
      </c>
      <c r="X89" s="134">
        <f t="shared" si="104"/>
        <v>0</v>
      </c>
      <c r="Y89" s="78">
        <f t="shared" si="72"/>
        <v>0</v>
      </c>
      <c r="Z89" s="79"/>
      <c r="AA89" s="80"/>
      <c r="AB89" s="81"/>
      <c r="AC89" s="70">
        <f t="shared" si="89"/>
        <v>78.7</v>
      </c>
      <c r="AD89" s="71">
        <f t="shared" si="90"/>
        <v>78.7</v>
      </c>
      <c r="AE89" s="72">
        <f t="shared" si="105"/>
        <v>0</v>
      </c>
      <c r="AF89" s="134">
        <f t="shared" si="106"/>
        <v>0</v>
      </c>
      <c r="AG89" s="78">
        <f t="shared" si="73"/>
        <v>0</v>
      </c>
      <c r="AH89" s="79"/>
      <c r="AI89" s="80"/>
      <c r="AJ89" s="81"/>
      <c r="AK89" s="70">
        <f t="shared" si="91"/>
        <v>78.7</v>
      </c>
      <c r="AL89" s="71">
        <f t="shared" si="92"/>
        <v>78.7</v>
      </c>
      <c r="AM89" s="72">
        <f t="shared" si="52"/>
        <v>0</v>
      </c>
      <c r="AN89" s="134">
        <f t="shared" si="107"/>
        <v>0</v>
      </c>
      <c r="AO89" s="78">
        <f t="shared" si="74"/>
        <v>0</v>
      </c>
      <c r="AP89" s="79"/>
      <c r="AQ89" s="80"/>
      <c r="AR89" s="81"/>
      <c r="AS89" s="70">
        <f t="shared" si="93"/>
        <v>78.7</v>
      </c>
      <c r="AT89" s="71">
        <f t="shared" si="94"/>
        <v>78.7</v>
      </c>
      <c r="AU89" s="72">
        <f t="shared" si="53"/>
        <v>0</v>
      </c>
      <c r="AV89" s="134">
        <f t="shared" si="108"/>
        <v>0</v>
      </c>
      <c r="AW89" s="78">
        <f t="shared" si="75"/>
        <v>-1.1200000000000001</v>
      </c>
      <c r="AX89" s="79">
        <v>-1.1200000000000001</v>
      </c>
      <c r="AY89" s="80"/>
      <c r="AZ89" s="81"/>
      <c r="BA89" s="70">
        <f t="shared" si="95"/>
        <v>77.58</v>
      </c>
      <c r="BB89" s="71">
        <f t="shared" si="96"/>
        <v>77.58</v>
      </c>
      <c r="BC89" s="72">
        <f t="shared" si="54"/>
        <v>0</v>
      </c>
      <c r="BD89" s="134">
        <f t="shared" si="109"/>
        <v>0</v>
      </c>
      <c r="BE89" s="78">
        <f t="shared" si="76"/>
        <v>0</v>
      </c>
      <c r="BF89" s="79"/>
      <c r="BG89" s="80"/>
      <c r="BH89" s="81"/>
      <c r="BI89" s="70">
        <f t="shared" si="97"/>
        <v>77.58</v>
      </c>
      <c r="BJ89" s="71">
        <f t="shared" si="98"/>
        <v>77.58</v>
      </c>
      <c r="BK89" s="72">
        <f t="shared" si="67"/>
        <v>0</v>
      </c>
      <c r="BL89" s="134">
        <f t="shared" si="82"/>
        <v>0</v>
      </c>
    </row>
    <row r="90" spans="1:64" ht="12.9" x14ac:dyDescent="0.35">
      <c r="A90" s="283" t="s">
        <v>33</v>
      </c>
      <c r="B90" s="233" t="s">
        <v>45</v>
      </c>
      <c r="C90" s="27" t="s">
        <v>232</v>
      </c>
      <c r="D90" s="25" t="s">
        <v>125</v>
      </c>
      <c r="E90" s="78">
        <f t="shared" si="69"/>
        <v>0.5</v>
      </c>
      <c r="F90" s="79">
        <v>0.5</v>
      </c>
      <c r="G90" s="80"/>
      <c r="H90" s="81"/>
      <c r="I90" s="78">
        <f t="shared" si="70"/>
        <v>0</v>
      </c>
      <c r="J90" s="79"/>
      <c r="K90" s="80"/>
      <c r="L90" s="81"/>
      <c r="M90" s="70">
        <f t="shared" si="99"/>
        <v>0.5</v>
      </c>
      <c r="N90" s="71">
        <f t="shared" si="100"/>
        <v>0.5</v>
      </c>
      <c r="O90" s="72">
        <f t="shared" si="101"/>
        <v>0</v>
      </c>
      <c r="P90" s="134">
        <f t="shared" si="102"/>
        <v>0</v>
      </c>
      <c r="Q90" s="78">
        <f t="shared" si="71"/>
        <v>0</v>
      </c>
      <c r="R90" s="79"/>
      <c r="S90" s="80"/>
      <c r="T90" s="81"/>
      <c r="U90" s="70">
        <f t="shared" si="87"/>
        <v>0.5</v>
      </c>
      <c r="V90" s="71">
        <f t="shared" si="88"/>
        <v>0.5</v>
      </c>
      <c r="W90" s="72">
        <f t="shared" si="103"/>
        <v>0</v>
      </c>
      <c r="X90" s="134">
        <f t="shared" si="104"/>
        <v>0</v>
      </c>
      <c r="Y90" s="78">
        <f t="shared" si="72"/>
        <v>0</v>
      </c>
      <c r="Z90" s="79"/>
      <c r="AA90" s="80"/>
      <c r="AB90" s="81"/>
      <c r="AC90" s="70">
        <f t="shared" si="89"/>
        <v>0.5</v>
      </c>
      <c r="AD90" s="71">
        <f t="shared" si="90"/>
        <v>0.5</v>
      </c>
      <c r="AE90" s="72">
        <f t="shared" si="105"/>
        <v>0</v>
      </c>
      <c r="AF90" s="134">
        <f t="shared" si="106"/>
        <v>0</v>
      </c>
      <c r="AG90" s="78">
        <f t="shared" si="73"/>
        <v>0</v>
      </c>
      <c r="AH90" s="79"/>
      <c r="AI90" s="80"/>
      <c r="AJ90" s="81"/>
      <c r="AK90" s="70">
        <f t="shared" si="91"/>
        <v>0.5</v>
      </c>
      <c r="AL90" s="71">
        <f t="shared" si="92"/>
        <v>0.5</v>
      </c>
      <c r="AM90" s="72">
        <f t="shared" ref="AM90:AM145" si="110">AE90+AI90</f>
        <v>0</v>
      </c>
      <c r="AN90" s="134">
        <f t="shared" si="107"/>
        <v>0</v>
      </c>
      <c r="AO90" s="78">
        <f t="shared" si="74"/>
        <v>0</v>
      </c>
      <c r="AP90" s="79"/>
      <c r="AQ90" s="80"/>
      <c r="AR90" s="81"/>
      <c r="AS90" s="70">
        <f t="shared" si="93"/>
        <v>0.5</v>
      </c>
      <c r="AT90" s="71">
        <f t="shared" si="94"/>
        <v>0.5</v>
      </c>
      <c r="AU90" s="72">
        <f t="shared" ref="AU90:AU119" si="111">AM90+AQ90</f>
        <v>0</v>
      </c>
      <c r="AV90" s="134">
        <f t="shared" si="108"/>
        <v>0</v>
      </c>
      <c r="AW90" s="78">
        <f t="shared" si="75"/>
        <v>0</v>
      </c>
      <c r="AX90" s="79"/>
      <c r="AY90" s="80"/>
      <c r="AZ90" s="81"/>
      <c r="BA90" s="70">
        <f t="shared" si="95"/>
        <v>0.5</v>
      </c>
      <c r="BB90" s="71">
        <f t="shared" si="96"/>
        <v>0.5</v>
      </c>
      <c r="BC90" s="72">
        <f t="shared" ref="BC90:BC119" si="112">AU90+AY90</f>
        <v>0</v>
      </c>
      <c r="BD90" s="134">
        <f t="shared" si="109"/>
        <v>0</v>
      </c>
      <c r="BE90" s="78">
        <f t="shared" si="76"/>
        <v>0</v>
      </c>
      <c r="BF90" s="79"/>
      <c r="BG90" s="80"/>
      <c r="BH90" s="81"/>
      <c r="BI90" s="70">
        <f t="shared" si="97"/>
        <v>0.5</v>
      </c>
      <c r="BJ90" s="71">
        <f t="shared" si="98"/>
        <v>0.5</v>
      </c>
      <c r="BK90" s="72">
        <f t="shared" si="67"/>
        <v>0</v>
      </c>
      <c r="BL90" s="134">
        <f t="shared" si="82"/>
        <v>0</v>
      </c>
    </row>
    <row r="91" spans="1:64" ht="12.9" x14ac:dyDescent="0.35">
      <c r="A91" s="284"/>
      <c r="B91" s="234"/>
      <c r="C91" s="27" t="s">
        <v>238</v>
      </c>
      <c r="D91" s="25" t="s">
        <v>137</v>
      </c>
      <c r="E91" s="78">
        <f t="shared" si="69"/>
        <v>0</v>
      </c>
      <c r="F91" s="79"/>
      <c r="G91" s="80"/>
      <c r="H91" s="81"/>
      <c r="I91" s="78">
        <f t="shared" si="70"/>
        <v>0</v>
      </c>
      <c r="J91" s="79"/>
      <c r="K91" s="80"/>
      <c r="L91" s="81"/>
      <c r="M91" s="70">
        <f t="shared" si="99"/>
        <v>0</v>
      </c>
      <c r="N91" s="71">
        <f t="shared" si="100"/>
        <v>0</v>
      </c>
      <c r="O91" s="72">
        <f t="shared" si="101"/>
        <v>0</v>
      </c>
      <c r="P91" s="134">
        <f t="shared" si="102"/>
        <v>0</v>
      </c>
      <c r="Q91" s="78">
        <f t="shared" si="71"/>
        <v>0.27</v>
      </c>
      <c r="R91" s="79">
        <v>0.27</v>
      </c>
      <c r="S91" s="80"/>
      <c r="T91" s="81"/>
      <c r="U91" s="70">
        <f t="shared" si="87"/>
        <v>0.27</v>
      </c>
      <c r="V91" s="71">
        <f t="shared" si="88"/>
        <v>0.27</v>
      </c>
      <c r="W91" s="72">
        <f t="shared" si="103"/>
        <v>0</v>
      </c>
      <c r="X91" s="134">
        <f t="shared" si="104"/>
        <v>0</v>
      </c>
      <c r="Y91" s="78">
        <f t="shared" si="72"/>
        <v>0</v>
      </c>
      <c r="Z91" s="79"/>
      <c r="AA91" s="80"/>
      <c r="AB91" s="81"/>
      <c r="AC91" s="70">
        <f t="shared" si="89"/>
        <v>0.27</v>
      </c>
      <c r="AD91" s="71">
        <f t="shared" si="90"/>
        <v>0.27</v>
      </c>
      <c r="AE91" s="72">
        <f t="shared" si="105"/>
        <v>0</v>
      </c>
      <c r="AF91" s="134">
        <f t="shared" si="106"/>
        <v>0</v>
      </c>
      <c r="AG91" s="78">
        <f t="shared" si="73"/>
        <v>0</v>
      </c>
      <c r="AH91" s="79"/>
      <c r="AI91" s="80"/>
      <c r="AJ91" s="81"/>
      <c r="AK91" s="70">
        <f t="shared" si="91"/>
        <v>0.27</v>
      </c>
      <c r="AL91" s="71">
        <f t="shared" si="92"/>
        <v>0.27</v>
      </c>
      <c r="AM91" s="72">
        <f t="shared" si="110"/>
        <v>0</v>
      </c>
      <c r="AN91" s="134">
        <f t="shared" si="107"/>
        <v>0</v>
      </c>
      <c r="AO91" s="78">
        <f t="shared" si="74"/>
        <v>0</v>
      </c>
      <c r="AP91" s="79"/>
      <c r="AQ91" s="80"/>
      <c r="AR91" s="81"/>
      <c r="AS91" s="70">
        <f t="shared" si="93"/>
        <v>0.27</v>
      </c>
      <c r="AT91" s="71">
        <f t="shared" si="94"/>
        <v>0.27</v>
      </c>
      <c r="AU91" s="72">
        <f t="shared" si="111"/>
        <v>0</v>
      </c>
      <c r="AV91" s="134">
        <f t="shared" si="108"/>
        <v>0</v>
      </c>
      <c r="AW91" s="78">
        <f t="shared" si="75"/>
        <v>0.58399999999999996</v>
      </c>
      <c r="AX91" s="79">
        <v>0.58399999999999996</v>
      </c>
      <c r="AY91" s="80"/>
      <c r="AZ91" s="81"/>
      <c r="BA91" s="70">
        <f t="shared" si="95"/>
        <v>0.85399999999999998</v>
      </c>
      <c r="BB91" s="71">
        <f t="shared" si="96"/>
        <v>0.85399999999999998</v>
      </c>
      <c r="BC91" s="72">
        <f t="shared" si="112"/>
        <v>0</v>
      </c>
      <c r="BD91" s="134">
        <f t="shared" si="109"/>
        <v>0</v>
      </c>
      <c r="BE91" s="78">
        <f t="shared" si="76"/>
        <v>0</v>
      </c>
      <c r="BF91" s="79"/>
      <c r="BG91" s="80"/>
      <c r="BH91" s="81"/>
      <c r="BI91" s="70">
        <f t="shared" si="97"/>
        <v>0.85399999999999998</v>
      </c>
      <c r="BJ91" s="71">
        <f t="shared" si="98"/>
        <v>0.85399999999999998</v>
      </c>
      <c r="BK91" s="72">
        <f t="shared" si="67"/>
        <v>0</v>
      </c>
      <c r="BL91" s="134">
        <f t="shared" si="82"/>
        <v>0</v>
      </c>
    </row>
    <row r="92" spans="1:64" ht="12.9" x14ac:dyDescent="0.35">
      <c r="A92" s="45" t="s">
        <v>32</v>
      </c>
      <c r="B92" s="46" t="s">
        <v>46</v>
      </c>
      <c r="C92" s="27" t="s">
        <v>244</v>
      </c>
      <c r="D92" s="25" t="s">
        <v>125</v>
      </c>
      <c r="E92" s="78">
        <f t="shared" si="69"/>
        <v>1.5</v>
      </c>
      <c r="F92" s="79">
        <v>1.5</v>
      </c>
      <c r="G92" s="80"/>
      <c r="H92" s="81"/>
      <c r="I92" s="78">
        <f t="shared" si="70"/>
        <v>0</v>
      </c>
      <c r="J92" s="79"/>
      <c r="K92" s="80"/>
      <c r="L92" s="81"/>
      <c r="M92" s="70">
        <f t="shared" si="99"/>
        <v>1.5</v>
      </c>
      <c r="N92" s="71">
        <f t="shared" si="100"/>
        <v>1.5</v>
      </c>
      <c r="O92" s="72">
        <f t="shared" si="101"/>
        <v>0</v>
      </c>
      <c r="P92" s="134">
        <f t="shared" si="102"/>
        <v>0</v>
      </c>
      <c r="Q92" s="78">
        <f t="shared" si="71"/>
        <v>0</v>
      </c>
      <c r="R92" s="79"/>
      <c r="S92" s="80"/>
      <c r="T92" s="81"/>
      <c r="U92" s="70">
        <f t="shared" si="87"/>
        <v>1.5</v>
      </c>
      <c r="V92" s="71">
        <f t="shared" si="88"/>
        <v>1.5</v>
      </c>
      <c r="W92" s="72">
        <f t="shared" si="103"/>
        <v>0</v>
      </c>
      <c r="X92" s="134">
        <f t="shared" si="104"/>
        <v>0</v>
      </c>
      <c r="Y92" s="78">
        <f t="shared" si="72"/>
        <v>0</v>
      </c>
      <c r="Z92" s="79"/>
      <c r="AA92" s="80"/>
      <c r="AB92" s="81"/>
      <c r="AC92" s="70">
        <f t="shared" si="89"/>
        <v>1.5</v>
      </c>
      <c r="AD92" s="71">
        <f t="shared" si="90"/>
        <v>1.5</v>
      </c>
      <c r="AE92" s="72">
        <f t="shared" si="105"/>
        <v>0</v>
      </c>
      <c r="AF92" s="134">
        <f t="shared" si="106"/>
        <v>0</v>
      </c>
      <c r="AG92" s="78">
        <f t="shared" si="73"/>
        <v>0</v>
      </c>
      <c r="AH92" s="79"/>
      <c r="AI92" s="80"/>
      <c r="AJ92" s="81"/>
      <c r="AK92" s="70">
        <f t="shared" si="91"/>
        <v>1.5</v>
      </c>
      <c r="AL92" s="71">
        <f t="shared" si="92"/>
        <v>1.5</v>
      </c>
      <c r="AM92" s="72">
        <f t="shared" si="110"/>
        <v>0</v>
      </c>
      <c r="AN92" s="134">
        <f t="shared" si="107"/>
        <v>0</v>
      </c>
      <c r="AO92" s="78">
        <f t="shared" si="74"/>
        <v>0</v>
      </c>
      <c r="AP92" s="79"/>
      <c r="AQ92" s="80"/>
      <c r="AR92" s="81"/>
      <c r="AS92" s="70">
        <f t="shared" si="93"/>
        <v>1.5</v>
      </c>
      <c r="AT92" s="71">
        <f t="shared" si="94"/>
        <v>1.5</v>
      </c>
      <c r="AU92" s="72">
        <f t="shared" si="111"/>
        <v>0</v>
      </c>
      <c r="AV92" s="134">
        <f t="shared" si="108"/>
        <v>0</v>
      </c>
      <c r="AW92" s="78">
        <f t="shared" si="75"/>
        <v>0.45</v>
      </c>
      <c r="AX92" s="79">
        <v>0.45</v>
      </c>
      <c r="AY92" s="80"/>
      <c r="AZ92" s="81"/>
      <c r="BA92" s="70">
        <f t="shared" si="95"/>
        <v>1.95</v>
      </c>
      <c r="BB92" s="71">
        <f t="shared" si="96"/>
        <v>1.95</v>
      </c>
      <c r="BC92" s="72">
        <f t="shared" si="112"/>
        <v>0</v>
      </c>
      <c r="BD92" s="134">
        <f t="shared" si="109"/>
        <v>0</v>
      </c>
      <c r="BE92" s="78">
        <f t="shared" si="76"/>
        <v>0</v>
      </c>
      <c r="BF92" s="79"/>
      <c r="BG92" s="80"/>
      <c r="BH92" s="81"/>
      <c r="BI92" s="70">
        <f t="shared" si="97"/>
        <v>1.95</v>
      </c>
      <c r="BJ92" s="71">
        <f t="shared" si="98"/>
        <v>1.95</v>
      </c>
      <c r="BK92" s="72">
        <f t="shared" si="67"/>
        <v>0</v>
      </c>
      <c r="BL92" s="134">
        <f t="shared" si="82"/>
        <v>0</v>
      </c>
    </row>
    <row r="93" spans="1:64" ht="12.9" x14ac:dyDescent="0.35">
      <c r="A93" s="118" t="s">
        <v>7</v>
      </c>
      <c r="B93" s="23" t="s">
        <v>48</v>
      </c>
      <c r="C93" s="27" t="s">
        <v>264</v>
      </c>
      <c r="D93" s="25" t="s">
        <v>125</v>
      </c>
      <c r="E93" s="78">
        <f t="shared" si="69"/>
        <v>0</v>
      </c>
      <c r="F93" s="79">
        <v>0</v>
      </c>
      <c r="G93" s="80">
        <v>0</v>
      </c>
      <c r="H93" s="81">
        <v>0</v>
      </c>
      <c r="I93" s="78">
        <f t="shared" si="70"/>
        <v>3</v>
      </c>
      <c r="J93" s="79">
        <v>3</v>
      </c>
      <c r="K93" s="80">
        <v>0</v>
      </c>
      <c r="L93" s="81">
        <v>0</v>
      </c>
      <c r="M93" s="70">
        <f t="shared" si="99"/>
        <v>3</v>
      </c>
      <c r="N93" s="71">
        <f t="shared" si="100"/>
        <v>3</v>
      </c>
      <c r="O93" s="72">
        <f t="shared" si="101"/>
        <v>0</v>
      </c>
      <c r="P93" s="134">
        <f t="shared" si="102"/>
        <v>0</v>
      </c>
      <c r="Q93" s="78">
        <f t="shared" si="71"/>
        <v>0</v>
      </c>
      <c r="R93" s="79"/>
      <c r="S93" s="80">
        <v>0</v>
      </c>
      <c r="T93" s="81">
        <v>0</v>
      </c>
      <c r="U93" s="70">
        <f t="shared" si="87"/>
        <v>3</v>
      </c>
      <c r="V93" s="71">
        <f t="shared" si="88"/>
        <v>3</v>
      </c>
      <c r="W93" s="72">
        <f t="shared" si="103"/>
        <v>0</v>
      </c>
      <c r="X93" s="134">
        <f t="shared" si="104"/>
        <v>0</v>
      </c>
      <c r="Y93" s="78">
        <f t="shared" si="72"/>
        <v>0</v>
      </c>
      <c r="Z93" s="79"/>
      <c r="AA93" s="80">
        <v>0</v>
      </c>
      <c r="AB93" s="81">
        <v>0</v>
      </c>
      <c r="AC93" s="70">
        <f t="shared" si="89"/>
        <v>3</v>
      </c>
      <c r="AD93" s="71">
        <f t="shared" si="90"/>
        <v>3</v>
      </c>
      <c r="AE93" s="72">
        <f t="shared" si="105"/>
        <v>0</v>
      </c>
      <c r="AF93" s="134">
        <f t="shared" si="106"/>
        <v>0</v>
      </c>
      <c r="AG93" s="78">
        <f t="shared" si="73"/>
        <v>0</v>
      </c>
      <c r="AH93" s="79"/>
      <c r="AI93" s="80">
        <v>0</v>
      </c>
      <c r="AJ93" s="81">
        <v>0</v>
      </c>
      <c r="AK93" s="70">
        <f t="shared" si="91"/>
        <v>3</v>
      </c>
      <c r="AL93" s="71">
        <f t="shared" si="92"/>
        <v>3</v>
      </c>
      <c r="AM93" s="72">
        <f t="shared" si="110"/>
        <v>0</v>
      </c>
      <c r="AN93" s="134">
        <f t="shared" si="107"/>
        <v>0</v>
      </c>
      <c r="AO93" s="78">
        <f t="shared" si="74"/>
        <v>0</v>
      </c>
      <c r="AP93" s="79"/>
      <c r="AQ93" s="80">
        <v>0</v>
      </c>
      <c r="AR93" s="81">
        <v>0</v>
      </c>
      <c r="AS93" s="70">
        <f t="shared" si="93"/>
        <v>3</v>
      </c>
      <c r="AT93" s="71">
        <f t="shared" si="94"/>
        <v>3</v>
      </c>
      <c r="AU93" s="72">
        <f t="shared" si="111"/>
        <v>0</v>
      </c>
      <c r="AV93" s="134">
        <f t="shared" si="108"/>
        <v>0</v>
      </c>
      <c r="AW93" s="78">
        <f t="shared" si="75"/>
        <v>0</v>
      </c>
      <c r="AX93" s="79"/>
      <c r="AY93" s="80">
        <v>0</v>
      </c>
      <c r="AZ93" s="81">
        <v>0</v>
      </c>
      <c r="BA93" s="70">
        <f t="shared" si="95"/>
        <v>3</v>
      </c>
      <c r="BB93" s="71">
        <f t="shared" si="96"/>
        <v>3</v>
      </c>
      <c r="BC93" s="72">
        <f t="shared" si="112"/>
        <v>0</v>
      </c>
      <c r="BD93" s="134">
        <f t="shared" si="109"/>
        <v>0</v>
      </c>
      <c r="BE93" s="78">
        <f t="shared" si="76"/>
        <v>0</v>
      </c>
      <c r="BF93" s="79"/>
      <c r="BG93" s="80">
        <v>0</v>
      </c>
      <c r="BH93" s="81">
        <v>0</v>
      </c>
      <c r="BI93" s="70">
        <f t="shared" si="97"/>
        <v>3</v>
      </c>
      <c r="BJ93" s="71">
        <f t="shared" si="98"/>
        <v>3</v>
      </c>
      <c r="BK93" s="72">
        <f t="shared" si="67"/>
        <v>0</v>
      </c>
      <c r="BL93" s="134">
        <f t="shared" si="82"/>
        <v>0</v>
      </c>
    </row>
    <row r="94" spans="1:64" s="138" customFormat="1" ht="12.45" x14ac:dyDescent="0.3">
      <c r="A94" s="135"/>
      <c r="B94" s="136" t="s">
        <v>14</v>
      </c>
      <c r="C94" s="42" t="s">
        <v>178</v>
      </c>
      <c r="D94" s="137"/>
      <c r="E94" s="73">
        <f t="shared" si="69"/>
        <v>1712.8989999999999</v>
      </c>
      <c r="F94" s="74">
        <f>SUM(F96:F107)</f>
        <v>1710.6089999999999</v>
      </c>
      <c r="G94" s="75">
        <f>SUM(G96:G107)</f>
        <v>1451.9930000000002</v>
      </c>
      <c r="H94" s="133">
        <f>SUM(H96:H107)</f>
        <v>2.29</v>
      </c>
      <c r="I94" s="73">
        <f t="shared" si="70"/>
        <v>0</v>
      </c>
      <c r="J94" s="74">
        <f>SUM(J96:J107)</f>
        <v>0</v>
      </c>
      <c r="K94" s="75">
        <f>SUM(K96:K107)</f>
        <v>0</v>
      </c>
      <c r="L94" s="133">
        <f>SUM(L96:L107)</f>
        <v>0</v>
      </c>
      <c r="M94" s="73">
        <f t="shared" si="99"/>
        <v>1712.8989999999999</v>
      </c>
      <c r="N94" s="74">
        <f t="shared" si="100"/>
        <v>1710.6089999999999</v>
      </c>
      <c r="O94" s="75">
        <f t="shared" si="101"/>
        <v>1451.9930000000002</v>
      </c>
      <c r="P94" s="133">
        <f t="shared" si="102"/>
        <v>2.29</v>
      </c>
      <c r="Q94" s="73">
        <f t="shared" si="71"/>
        <v>35.581000000000003</v>
      </c>
      <c r="R94" s="74">
        <f>SUM(R96:R107)</f>
        <v>15.581</v>
      </c>
      <c r="S94" s="75">
        <f>SUM(S96:S107)</f>
        <v>0.57200000000000006</v>
      </c>
      <c r="T94" s="133">
        <f>SUM(T96:T107)</f>
        <v>20</v>
      </c>
      <c r="U94" s="73">
        <f t="shared" si="87"/>
        <v>1748.4799999999998</v>
      </c>
      <c r="V94" s="74">
        <f t="shared" si="88"/>
        <v>1726.1899999999998</v>
      </c>
      <c r="W94" s="75">
        <f t="shared" si="103"/>
        <v>1452.5650000000001</v>
      </c>
      <c r="X94" s="133">
        <f t="shared" si="104"/>
        <v>22.29</v>
      </c>
      <c r="Y94" s="73">
        <f t="shared" si="72"/>
        <v>2.7160000000000002</v>
      </c>
      <c r="Z94" s="74">
        <f>SUM(Z96:Z107)</f>
        <v>2.7160000000000002</v>
      </c>
      <c r="AA94" s="75">
        <f>SUM(AA96:AA107)</f>
        <v>1.3609999999999998</v>
      </c>
      <c r="AB94" s="133">
        <f>SUM(AB96:AB107)</f>
        <v>0</v>
      </c>
      <c r="AC94" s="73">
        <f t="shared" si="89"/>
        <v>1751.1959999999997</v>
      </c>
      <c r="AD94" s="74">
        <f t="shared" si="90"/>
        <v>1728.9059999999997</v>
      </c>
      <c r="AE94" s="75">
        <f t="shared" si="105"/>
        <v>1453.9260000000002</v>
      </c>
      <c r="AF94" s="133">
        <f t="shared" si="106"/>
        <v>22.29</v>
      </c>
      <c r="AG94" s="73">
        <f t="shared" si="73"/>
        <v>1.76</v>
      </c>
      <c r="AH94" s="74">
        <f>SUM(AH96:AH107)</f>
        <v>1.76</v>
      </c>
      <c r="AI94" s="75">
        <f>SUM(AI96:AI107)</f>
        <v>1.073</v>
      </c>
      <c r="AJ94" s="133">
        <f>SUM(AJ96:AJ107)</f>
        <v>0</v>
      </c>
      <c r="AK94" s="73">
        <f t="shared" si="91"/>
        <v>1752.9559999999997</v>
      </c>
      <c r="AL94" s="74">
        <f t="shared" si="92"/>
        <v>1730.6659999999997</v>
      </c>
      <c r="AM94" s="75">
        <f t="shared" si="110"/>
        <v>1454.9990000000003</v>
      </c>
      <c r="AN94" s="133">
        <f t="shared" si="107"/>
        <v>22.29</v>
      </c>
      <c r="AO94" s="73">
        <f t="shared" si="74"/>
        <v>8.6029999999999998</v>
      </c>
      <c r="AP94" s="74">
        <f>SUM(AP96:AP107)</f>
        <v>8.6029999999999998</v>
      </c>
      <c r="AQ94" s="75">
        <f>SUM(AQ96:AQ107)</f>
        <v>3.7099999999999995</v>
      </c>
      <c r="AR94" s="133">
        <f>SUM(AR96:AR107)</f>
        <v>0</v>
      </c>
      <c r="AS94" s="73">
        <f t="shared" si="93"/>
        <v>1761.5589999999997</v>
      </c>
      <c r="AT94" s="74">
        <f t="shared" si="94"/>
        <v>1739.2689999999998</v>
      </c>
      <c r="AU94" s="75">
        <f t="shared" si="111"/>
        <v>1458.7090000000003</v>
      </c>
      <c r="AV94" s="133">
        <f t="shared" si="108"/>
        <v>22.29</v>
      </c>
      <c r="AW94" s="73">
        <f t="shared" si="75"/>
        <v>80.915999999999997</v>
      </c>
      <c r="AX94" s="74">
        <f>SUM(AX96:AX107)</f>
        <v>55.066000000000003</v>
      </c>
      <c r="AY94" s="75">
        <f>SUM(AY96:AY107)</f>
        <v>55.602999999999994</v>
      </c>
      <c r="AZ94" s="133">
        <f>SUM(AZ96:AZ107)</f>
        <v>25.85</v>
      </c>
      <c r="BA94" s="73">
        <f t="shared" si="95"/>
        <v>1842.4749999999999</v>
      </c>
      <c r="BB94" s="74">
        <f t="shared" si="96"/>
        <v>1794.3349999999998</v>
      </c>
      <c r="BC94" s="75">
        <f t="shared" si="112"/>
        <v>1514.3120000000004</v>
      </c>
      <c r="BD94" s="133">
        <f t="shared" si="109"/>
        <v>48.14</v>
      </c>
      <c r="BE94" s="73">
        <f t="shared" si="76"/>
        <v>5.4580000000000055</v>
      </c>
      <c r="BF94" s="74">
        <f>SUM(BF96:BF107)</f>
        <v>-37.301999999999992</v>
      </c>
      <c r="BG94" s="75">
        <f>SUM(BG96:BG107)</f>
        <v>-48.517000000000003</v>
      </c>
      <c r="BH94" s="133">
        <f>SUM(BH96:BH107)</f>
        <v>42.76</v>
      </c>
      <c r="BI94" s="73">
        <f t="shared" si="97"/>
        <v>1847.933</v>
      </c>
      <c r="BJ94" s="74">
        <f t="shared" si="98"/>
        <v>1757.0329999999999</v>
      </c>
      <c r="BK94" s="75">
        <f t="shared" si="67"/>
        <v>1465.7950000000003</v>
      </c>
      <c r="BL94" s="133">
        <f t="shared" si="82"/>
        <v>90.9</v>
      </c>
    </row>
    <row r="95" spans="1:64" ht="12.9" x14ac:dyDescent="0.35">
      <c r="A95" s="41"/>
      <c r="B95" s="4" t="s">
        <v>2</v>
      </c>
      <c r="C95" s="44"/>
      <c r="D95" s="28"/>
      <c r="E95" s="78">
        <f t="shared" si="69"/>
        <v>0</v>
      </c>
      <c r="F95" s="79">
        <v>0</v>
      </c>
      <c r="G95" s="80">
        <v>0</v>
      </c>
      <c r="H95" s="81">
        <v>0</v>
      </c>
      <c r="I95" s="78">
        <f t="shared" si="70"/>
        <v>0</v>
      </c>
      <c r="J95" s="79">
        <v>0</v>
      </c>
      <c r="K95" s="80">
        <v>0</v>
      </c>
      <c r="L95" s="81">
        <v>0</v>
      </c>
      <c r="M95" s="70">
        <f t="shared" si="99"/>
        <v>0</v>
      </c>
      <c r="N95" s="71">
        <f t="shared" si="100"/>
        <v>0</v>
      </c>
      <c r="O95" s="72">
        <f t="shared" si="101"/>
        <v>0</v>
      </c>
      <c r="P95" s="134">
        <f t="shared" si="102"/>
        <v>0</v>
      </c>
      <c r="Q95" s="78">
        <f t="shared" si="71"/>
        <v>0</v>
      </c>
      <c r="R95" s="79">
        <v>0</v>
      </c>
      <c r="S95" s="80">
        <v>0</v>
      </c>
      <c r="T95" s="81">
        <v>0</v>
      </c>
      <c r="U95" s="70">
        <f t="shared" si="87"/>
        <v>0</v>
      </c>
      <c r="V95" s="71">
        <f t="shared" si="88"/>
        <v>0</v>
      </c>
      <c r="W95" s="72">
        <f t="shared" si="103"/>
        <v>0</v>
      </c>
      <c r="X95" s="134">
        <f t="shared" si="104"/>
        <v>0</v>
      </c>
      <c r="Y95" s="78">
        <f t="shared" si="72"/>
        <v>0</v>
      </c>
      <c r="Z95" s="79">
        <v>0</v>
      </c>
      <c r="AA95" s="80">
        <v>0</v>
      </c>
      <c r="AB95" s="81">
        <v>0</v>
      </c>
      <c r="AC95" s="70">
        <f t="shared" si="89"/>
        <v>0</v>
      </c>
      <c r="AD95" s="71">
        <f t="shared" si="90"/>
        <v>0</v>
      </c>
      <c r="AE95" s="72">
        <f t="shared" si="105"/>
        <v>0</v>
      </c>
      <c r="AF95" s="134">
        <f t="shared" si="106"/>
        <v>0</v>
      </c>
      <c r="AG95" s="78">
        <f t="shared" si="73"/>
        <v>0</v>
      </c>
      <c r="AH95" s="79">
        <v>0</v>
      </c>
      <c r="AI95" s="80">
        <v>0</v>
      </c>
      <c r="AJ95" s="81">
        <v>0</v>
      </c>
      <c r="AK95" s="70">
        <f t="shared" si="91"/>
        <v>0</v>
      </c>
      <c r="AL95" s="71">
        <f t="shared" si="92"/>
        <v>0</v>
      </c>
      <c r="AM95" s="72">
        <f t="shared" si="110"/>
        <v>0</v>
      </c>
      <c r="AN95" s="134">
        <f t="shared" si="107"/>
        <v>0</v>
      </c>
      <c r="AO95" s="78">
        <f t="shared" si="74"/>
        <v>0</v>
      </c>
      <c r="AP95" s="79">
        <v>0</v>
      </c>
      <c r="AQ95" s="80">
        <v>0</v>
      </c>
      <c r="AR95" s="81">
        <v>0</v>
      </c>
      <c r="AS95" s="70">
        <f t="shared" si="93"/>
        <v>0</v>
      </c>
      <c r="AT95" s="71">
        <f t="shared" si="94"/>
        <v>0</v>
      </c>
      <c r="AU95" s="72">
        <f t="shared" si="111"/>
        <v>0</v>
      </c>
      <c r="AV95" s="134">
        <f t="shared" si="108"/>
        <v>0</v>
      </c>
      <c r="AW95" s="78">
        <f t="shared" si="75"/>
        <v>0</v>
      </c>
      <c r="AX95" s="79">
        <v>0</v>
      </c>
      <c r="AY95" s="80">
        <v>0</v>
      </c>
      <c r="AZ95" s="81">
        <v>0</v>
      </c>
      <c r="BA95" s="70">
        <f t="shared" si="95"/>
        <v>0</v>
      </c>
      <c r="BB95" s="71">
        <f t="shared" si="96"/>
        <v>0</v>
      </c>
      <c r="BC95" s="72">
        <f t="shared" si="112"/>
        <v>0</v>
      </c>
      <c r="BD95" s="134">
        <f t="shared" si="109"/>
        <v>0</v>
      </c>
      <c r="BE95" s="78">
        <f t="shared" si="76"/>
        <v>0</v>
      </c>
      <c r="BF95" s="79">
        <v>0</v>
      </c>
      <c r="BG95" s="80">
        <v>0</v>
      </c>
      <c r="BH95" s="81">
        <v>0</v>
      </c>
      <c r="BI95" s="70">
        <f t="shared" si="97"/>
        <v>0</v>
      </c>
      <c r="BJ95" s="71">
        <f t="shared" si="98"/>
        <v>0</v>
      </c>
      <c r="BK95" s="72">
        <f t="shared" si="67"/>
        <v>0</v>
      </c>
      <c r="BL95" s="134">
        <f t="shared" si="82"/>
        <v>0</v>
      </c>
    </row>
    <row r="96" spans="1:64" ht="12.9" x14ac:dyDescent="0.35">
      <c r="A96" s="25" t="s">
        <v>22</v>
      </c>
      <c r="B96" s="26" t="s">
        <v>34</v>
      </c>
      <c r="C96" s="27" t="s">
        <v>58</v>
      </c>
      <c r="D96" s="25" t="s">
        <v>125</v>
      </c>
      <c r="E96" s="78">
        <f t="shared" si="69"/>
        <v>1.7450000000000001</v>
      </c>
      <c r="F96" s="79">
        <f>0.4+1.345</f>
        <v>1.7450000000000001</v>
      </c>
      <c r="G96" s="80"/>
      <c r="H96" s="81"/>
      <c r="I96" s="78">
        <f t="shared" si="70"/>
        <v>0</v>
      </c>
      <c r="J96" s="79"/>
      <c r="K96" s="80"/>
      <c r="L96" s="81"/>
      <c r="M96" s="70">
        <f t="shared" si="99"/>
        <v>1.7450000000000001</v>
      </c>
      <c r="N96" s="71">
        <f t="shared" si="100"/>
        <v>1.7450000000000001</v>
      </c>
      <c r="O96" s="72">
        <f t="shared" si="101"/>
        <v>0</v>
      </c>
      <c r="P96" s="134">
        <f t="shared" si="102"/>
        <v>0</v>
      </c>
      <c r="Q96" s="78">
        <f t="shared" si="71"/>
        <v>0</v>
      </c>
      <c r="R96" s="79"/>
      <c r="S96" s="80"/>
      <c r="T96" s="81"/>
      <c r="U96" s="70">
        <f t="shared" si="87"/>
        <v>1.7450000000000001</v>
      </c>
      <c r="V96" s="71">
        <f t="shared" si="88"/>
        <v>1.7450000000000001</v>
      </c>
      <c r="W96" s="72">
        <f t="shared" si="103"/>
        <v>0</v>
      </c>
      <c r="X96" s="134">
        <f t="shared" si="104"/>
        <v>0</v>
      </c>
      <c r="Y96" s="78">
        <f t="shared" si="72"/>
        <v>0</v>
      </c>
      <c r="Z96" s="79"/>
      <c r="AA96" s="80"/>
      <c r="AB96" s="81"/>
      <c r="AC96" s="70">
        <f t="shared" si="89"/>
        <v>1.7450000000000001</v>
      </c>
      <c r="AD96" s="71">
        <f t="shared" si="90"/>
        <v>1.7450000000000001</v>
      </c>
      <c r="AE96" s="72">
        <f t="shared" si="105"/>
        <v>0</v>
      </c>
      <c r="AF96" s="134">
        <f t="shared" si="106"/>
        <v>0</v>
      </c>
      <c r="AG96" s="78">
        <f t="shared" si="73"/>
        <v>0</v>
      </c>
      <c r="AH96" s="79"/>
      <c r="AI96" s="80"/>
      <c r="AJ96" s="81"/>
      <c r="AK96" s="70">
        <f t="shared" si="91"/>
        <v>1.7450000000000001</v>
      </c>
      <c r="AL96" s="71">
        <f t="shared" si="92"/>
        <v>1.7450000000000001</v>
      </c>
      <c r="AM96" s="72">
        <f t="shared" si="110"/>
        <v>0</v>
      </c>
      <c r="AN96" s="134">
        <f t="shared" si="107"/>
        <v>0</v>
      </c>
      <c r="AO96" s="78">
        <f t="shared" si="74"/>
        <v>0</v>
      </c>
      <c r="AP96" s="79"/>
      <c r="AQ96" s="80"/>
      <c r="AR96" s="81"/>
      <c r="AS96" s="70">
        <f t="shared" si="93"/>
        <v>1.7450000000000001</v>
      </c>
      <c r="AT96" s="71">
        <f t="shared" si="94"/>
        <v>1.7450000000000001</v>
      </c>
      <c r="AU96" s="72">
        <f t="shared" si="111"/>
        <v>0</v>
      </c>
      <c r="AV96" s="134">
        <f t="shared" si="108"/>
        <v>0</v>
      </c>
      <c r="AW96" s="78">
        <f t="shared" si="75"/>
        <v>0.5</v>
      </c>
      <c r="AX96" s="79">
        <v>0.5</v>
      </c>
      <c r="AY96" s="80"/>
      <c r="AZ96" s="81"/>
      <c r="BA96" s="70">
        <f t="shared" si="95"/>
        <v>2.2450000000000001</v>
      </c>
      <c r="BB96" s="71">
        <f t="shared" si="96"/>
        <v>2.2450000000000001</v>
      </c>
      <c r="BC96" s="72">
        <f t="shared" si="112"/>
        <v>0</v>
      </c>
      <c r="BD96" s="134">
        <f t="shared" si="109"/>
        <v>0</v>
      </c>
      <c r="BE96" s="78">
        <f t="shared" si="76"/>
        <v>0</v>
      </c>
      <c r="BF96" s="79"/>
      <c r="BG96" s="80"/>
      <c r="BH96" s="81"/>
      <c r="BI96" s="70">
        <f t="shared" si="97"/>
        <v>2.2450000000000001</v>
      </c>
      <c r="BJ96" s="71">
        <f t="shared" si="98"/>
        <v>2.2450000000000001</v>
      </c>
      <c r="BK96" s="72">
        <f t="shared" si="67"/>
        <v>0</v>
      </c>
      <c r="BL96" s="134">
        <f t="shared" si="82"/>
        <v>0</v>
      </c>
    </row>
    <row r="97" spans="1:64" ht="12.9" x14ac:dyDescent="0.35">
      <c r="A97" s="231" t="s">
        <v>25</v>
      </c>
      <c r="B97" s="233" t="s">
        <v>41</v>
      </c>
      <c r="C97" s="27" t="s">
        <v>59</v>
      </c>
      <c r="D97" s="25" t="s">
        <v>125</v>
      </c>
      <c r="E97" s="78">
        <f t="shared" si="69"/>
        <v>496.5</v>
      </c>
      <c r="F97" s="79">
        <f>463.192+32.708</f>
        <v>495.9</v>
      </c>
      <c r="G97" s="80">
        <f>369.265-1</f>
        <v>368.26499999999999</v>
      </c>
      <c r="H97" s="81">
        <v>0.6</v>
      </c>
      <c r="I97" s="78">
        <f t="shared" si="70"/>
        <v>0</v>
      </c>
      <c r="J97" s="79"/>
      <c r="K97" s="80"/>
      <c r="L97" s="81"/>
      <c r="M97" s="70">
        <f t="shared" si="99"/>
        <v>496.5</v>
      </c>
      <c r="N97" s="71">
        <f t="shared" si="100"/>
        <v>495.9</v>
      </c>
      <c r="O97" s="72">
        <f t="shared" si="101"/>
        <v>368.26499999999999</v>
      </c>
      <c r="P97" s="134">
        <f t="shared" si="102"/>
        <v>0.6</v>
      </c>
      <c r="Q97" s="78">
        <f t="shared" si="71"/>
        <v>0</v>
      </c>
      <c r="R97" s="79"/>
      <c r="S97" s="80"/>
      <c r="T97" s="81"/>
      <c r="U97" s="70">
        <f t="shared" si="87"/>
        <v>496.5</v>
      </c>
      <c r="V97" s="71">
        <f t="shared" si="88"/>
        <v>495.9</v>
      </c>
      <c r="W97" s="72">
        <f t="shared" si="103"/>
        <v>368.26499999999999</v>
      </c>
      <c r="X97" s="134">
        <f t="shared" si="104"/>
        <v>0.6</v>
      </c>
      <c r="Y97" s="78">
        <f t="shared" si="72"/>
        <v>1.3049999999999999</v>
      </c>
      <c r="Z97" s="79">
        <v>1.3049999999999999</v>
      </c>
      <c r="AA97" s="80"/>
      <c r="AB97" s="81"/>
      <c r="AC97" s="70">
        <f t="shared" si="89"/>
        <v>497.80500000000001</v>
      </c>
      <c r="AD97" s="71">
        <f t="shared" si="90"/>
        <v>497.20499999999998</v>
      </c>
      <c r="AE97" s="72">
        <f t="shared" si="105"/>
        <v>368.26499999999999</v>
      </c>
      <c r="AF97" s="134">
        <f t="shared" si="106"/>
        <v>0.6</v>
      </c>
      <c r="AG97" s="78">
        <f t="shared" si="73"/>
        <v>0</v>
      </c>
      <c r="AH97" s="79"/>
      <c r="AI97" s="80"/>
      <c r="AJ97" s="81"/>
      <c r="AK97" s="70">
        <f t="shared" si="91"/>
        <v>497.80500000000001</v>
      </c>
      <c r="AL97" s="71">
        <f t="shared" si="92"/>
        <v>497.20499999999998</v>
      </c>
      <c r="AM97" s="72">
        <f t="shared" si="110"/>
        <v>368.26499999999999</v>
      </c>
      <c r="AN97" s="134">
        <f t="shared" si="107"/>
        <v>0.6</v>
      </c>
      <c r="AO97" s="78">
        <f t="shared" si="74"/>
        <v>0</v>
      </c>
      <c r="AP97" s="79"/>
      <c r="AQ97" s="80"/>
      <c r="AR97" s="81"/>
      <c r="AS97" s="70">
        <f t="shared" si="93"/>
        <v>497.80500000000001</v>
      </c>
      <c r="AT97" s="71">
        <f t="shared" si="94"/>
        <v>497.20499999999998</v>
      </c>
      <c r="AU97" s="72">
        <f t="shared" si="111"/>
        <v>368.26499999999999</v>
      </c>
      <c r="AV97" s="134">
        <f t="shared" si="108"/>
        <v>0.6</v>
      </c>
      <c r="AW97" s="78">
        <f t="shared" si="75"/>
        <v>-10.719999999999999</v>
      </c>
      <c r="AX97" s="79">
        <f>-7.22-7</f>
        <v>-14.219999999999999</v>
      </c>
      <c r="AY97" s="80">
        <v>-3.83</v>
      </c>
      <c r="AZ97" s="81">
        <v>3.5</v>
      </c>
      <c r="BA97" s="70">
        <f t="shared" si="95"/>
        <v>487.08500000000004</v>
      </c>
      <c r="BB97" s="71">
        <f t="shared" si="96"/>
        <v>482.98500000000001</v>
      </c>
      <c r="BC97" s="72">
        <f t="shared" si="112"/>
        <v>364.435</v>
      </c>
      <c r="BD97" s="134">
        <f t="shared" si="109"/>
        <v>4.0999999999999996</v>
      </c>
      <c r="BE97" s="78">
        <f t="shared" si="76"/>
        <v>3.2</v>
      </c>
      <c r="BF97" s="79">
        <v>3.2</v>
      </c>
      <c r="BG97" s="80"/>
      <c r="BH97" s="81"/>
      <c r="BI97" s="70">
        <f t="shared" si="97"/>
        <v>490.28500000000003</v>
      </c>
      <c r="BJ97" s="71">
        <f t="shared" si="98"/>
        <v>486.185</v>
      </c>
      <c r="BK97" s="72">
        <f t="shared" si="67"/>
        <v>364.435</v>
      </c>
      <c r="BL97" s="134">
        <f t="shared" si="82"/>
        <v>4.0999999999999996</v>
      </c>
    </row>
    <row r="98" spans="1:64" ht="12.9" x14ac:dyDescent="0.35">
      <c r="A98" s="241"/>
      <c r="B98" s="242"/>
      <c r="C98" s="27" t="s">
        <v>60</v>
      </c>
      <c r="D98" s="25" t="s">
        <v>49</v>
      </c>
      <c r="E98" s="78">
        <f t="shared" si="69"/>
        <v>1119.53</v>
      </c>
      <c r="F98" s="79">
        <v>1119.53</v>
      </c>
      <c r="G98" s="80">
        <f>1084.23-2.3</f>
        <v>1081.93</v>
      </c>
      <c r="H98" s="81"/>
      <c r="I98" s="78">
        <f t="shared" si="70"/>
        <v>0</v>
      </c>
      <c r="J98" s="79"/>
      <c r="K98" s="80"/>
      <c r="L98" s="81"/>
      <c r="M98" s="70">
        <f t="shared" si="99"/>
        <v>1119.53</v>
      </c>
      <c r="N98" s="71">
        <f t="shared" si="100"/>
        <v>1119.53</v>
      </c>
      <c r="O98" s="72">
        <f t="shared" si="101"/>
        <v>1081.93</v>
      </c>
      <c r="P98" s="134">
        <f t="shared" si="102"/>
        <v>0</v>
      </c>
      <c r="Q98" s="78">
        <f t="shared" si="71"/>
        <v>0</v>
      </c>
      <c r="R98" s="79"/>
      <c r="S98" s="80"/>
      <c r="T98" s="81"/>
      <c r="U98" s="70">
        <f t="shared" si="87"/>
        <v>1119.53</v>
      </c>
      <c r="V98" s="71">
        <f t="shared" si="88"/>
        <v>1119.53</v>
      </c>
      <c r="W98" s="72">
        <f t="shared" si="103"/>
        <v>1081.93</v>
      </c>
      <c r="X98" s="134">
        <f t="shared" si="104"/>
        <v>0</v>
      </c>
      <c r="Y98" s="78">
        <f t="shared" si="72"/>
        <v>-2.9060000000000001</v>
      </c>
      <c r="Z98" s="79">
        <v>-2.9060000000000001</v>
      </c>
      <c r="AA98" s="80">
        <v>-2.8639999999999999</v>
      </c>
      <c r="AB98" s="81"/>
      <c r="AC98" s="70">
        <f t="shared" si="89"/>
        <v>1116.624</v>
      </c>
      <c r="AD98" s="71">
        <f t="shared" si="90"/>
        <v>1116.624</v>
      </c>
      <c r="AE98" s="72">
        <f t="shared" si="105"/>
        <v>1079.066</v>
      </c>
      <c r="AF98" s="134">
        <f t="shared" si="106"/>
        <v>0</v>
      </c>
      <c r="AG98" s="78">
        <f t="shared" si="73"/>
        <v>1.089</v>
      </c>
      <c r="AH98" s="79">
        <v>1.089</v>
      </c>
      <c r="AI98" s="80">
        <v>1.073</v>
      </c>
      <c r="AJ98" s="81"/>
      <c r="AK98" s="70">
        <f t="shared" si="91"/>
        <v>1117.713</v>
      </c>
      <c r="AL98" s="71">
        <f t="shared" si="92"/>
        <v>1117.713</v>
      </c>
      <c r="AM98" s="72">
        <f t="shared" si="110"/>
        <v>1080.1390000000001</v>
      </c>
      <c r="AN98" s="134">
        <f t="shared" si="107"/>
        <v>0</v>
      </c>
      <c r="AO98" s="78">
        <f t="shared" si="74"/>
        <v>0</v>
      </c>
      <c r="AP98" s="79"/>
      <c r="AQ98" s="80">
        <v>-0.6</v>
      </c>
      <c r="AR98" s="81"/>
      <c r="AS98" s="70">
        <f t="shared" si="93"/>
        <v>1117.713</v>
      </c>
      <c r="AT98" s="71">
        <f t="shared" si="94"/>
        <v>1117.713</v>
      </c>
      <c r="AU98" s="72">
        <f t="shared" si="111"/>
        <v>1079.5390000000002</v>
      </c>
      <c r="AV98" s="134">
        <f t="shared" si="108"/>
        <v>0</v>
      </c>
      <c r="AW98" s="78">
        <f t="shared" si="75"/>
        <v>40.909999999999997</v>
      </c>
      <c r="AX98" s="79">
        <v>40.909999999999997</v>
      </c>
      <c r="AY98" s="80">
        <v>39.229999999999997</v>
      </c>
      <c r="AZ98" s="81"/>
      <c r="BA98" s="70">
        <f t="shared" si="95"/>
        <v>1158.623</v>
      </c>
      <c r="BB98" s="71">
        <f t="shared" si="96"/>
        <v>1158.623</v>
      </c>
      <c r="BC98" s="72">
        <f t="shared" si="112"/>
        <v>1118.7690000000002</v>
      </c>
      <c r="BD98" s="134">
        <f t="shared" si="109"/>
        <v>0</v>
      </c>
      <c r="BE98" s="78">
        <f t="shared" si="76"/>
        <v>0.55100000000000193</v>
      </c>
      <c r="BF98" s="79">
        <f>0.551-42.76</f>
        <v>-42.208999999999996</v>
      </c>
      <c r="BG98" s="80">
        <f>0.543-49.06</f>
        <v>-48.517000000000003</v>
      </c>
      <c r="BH98" s="81">
        <v>42.76</v>
      </c>
      <c r="BI98" s="70">
        <f t="shared" si="97"/>
        <v>1159.174</v>
      </c>
      <c r="BJ98" s="71">
        <f t="shared" si="98"/>
        <v>1116.414</v>
      </c>
      <c r="BK98" s="72">
        <f t="shared" si="67"/>
        <v>1070.2520000000002</v>
      </c>
      <c r="BL98" s="134">
        <f t="shared" si="82"/>
        <v>42.76</v>
      </c>
    </row>
    <row r="99" spans="1:64" ht="12.9" x14ac:dyDescent="0.35">
      <c r="A99" s="241"/>
      <c r="B99" s="242"/>
      <c r="C99" s="27" t="s">
        <v>61</v>
      </c>
      <c r="D99" s="25" t="s">
        <v>137</v>
      </c>
      <c r="E99" s="78">
        <f t="shared" si="69"/>
        <v>43.123999999999995</v>
      </c>
      <c r="F99" s="79">
        <f>39.61+1.824</f>
        <v>41.433999999999997</v>
      </c>
      <c r="G99" s="80">
        <v>1.798</v>
      </c>
      <c r="H99" s="81">
        <v>1.69</v>
      </c>
      <c r="I99" s="78">
        <f t="shared" si="70"/>
        <v>0</v>
      </c>
      <c r="J99" s="79"/>
      <c r="K99" s="80"/>
      <c r="L99" s="81"/>
      <c r="M99" s="70">
        <f t="shared" si="99"/>
        <v>43.123999999999995</v>
      </c>
      <c r="N99" s="71">
        <f t="shared" si="100"/>
        <v>41.433999999999997</v>
      </c>
      <c r="O99" s="72">
        <f t="shared" si="101"/>
        <v>1.798</v>
      </c>
      <c r="P99" s="134">
        <f t="shared" si="102"/>
        <v>1.69</v>
      </c>
      <c r="Q99" s="78">
        <f t="shared" si="71"/>
        <v>0.58099999999999996</v>
      </c>
      <c r="R99" s="79">
        <f>0.295+0.286</f>
        <v>0.58099999999999996</v>
      </c>
      <c r="S99" s="80">
        <f>0.291+0.281</f>
        <v>0.57200000000000006</v>
      </c>
      <c r="T99" s="81"/>
      <c r="U99" s="70">
        <f t="shared" si="87"/>
        <v>43.704999999999998</v>
      </c>
      <c r="V99" s="71">
        <f t="shared" si="88"/>
        <v>42.015000000000001</v>
      </c>
      <c r="W99" s="72">
        <f t="shared" si="103"/>
        <v>2.37</v>
      </c>
      <c r="X99" s="134">
        <f t="shared" si="104"/>
        <v>1.69</v>
      </c>
      <c r="Y99" s="78">
        <f t="shared" si="72"/>
        <v>4.3170000000000002</v>
      </c>
      <c r="Z99" s="79">
        <v>4.3170000000000002</v>
      </c>
      <c r="AA99" s="80">
        <v>4.2249999999999996</v>
      </c>
      <c r="AB99" s="81"/>
      <c r="AC99" s="70">
        <f t="shared" si="89"/>
        <v>48.021999999999998</v>
      </c>
      <c r="AD99" s="71">
        <f t="shared" si="90"/>
        <v>46.332000000000001</v>
      </c>
      <c r="AE99" s="72">
        <f t="shared" si="105"/>
        <v>6.5949999999999998</v>
      </c>
      <c r="AF99" s="134">
        <f t="shared" si="106"/>
        <v>1.69</v>
      </c>
      <c r="AG99" s="78">
        <f t="shared" si="73"/>
        <v>0.67100000000000004</v>
      </c>
      <c r="AH99" s="79">
        <v>0.67100000000000004</v>
      </c>
      <c r="AI99" s="80"/>
      <c r="AJ99" s="81"/>
      <c r="AK99" s="70">
        <f t="shared" si="91"/>
        <v>48.692999999999998</v>
      </c>
      <c r="AL99" s="71">
        <f t="shared" si="92"/>
        <v>47.003</v>
      </c>
      <c r="AM99" s="72">
        <f t="shared" si="110"/>
        <v>6.5949999999999998</v>
      </c>
      <c r="AN99" s="134">
        <f t="shared" si="107"/>
        <v>1.69</v>
      </c>
      <c r="AO99" s="78">
        <f t="shared" si="74"/>
        <v>0</v>
      </c>
      <c r="AP99" s="79"/>
      <c r="AQ99" s="80"/>
      <c r="AR99" s="81"/>
      <c r="AS99" s="70">
        <f t="shared" si="93"/>
        <v>48.692999999999998</v>
      </c>
      <c r="AT99" s="71">
        <f t="shared" si="94"/>
        <v>47.003</v>
      </c>
      <c r="AU99" s="72">
        <f t="shared" si="111"/>
        <v>6.5949999999999998</v>
      </c>
      <c r="AV99" s="134">
        <f t="shared" si="108"/>
        <v>1.69</v>
      </c>
      <c r="AW99" s="78">
        <f t="shared" si="75"/>
        <v>7.3550000000000004</v>
      </c>
      <c r="AX99" s="79">
        <f>0.2+7.155</f>
        <v>7.3550000000000004</v>
      </c>
      <c r="AY99" s="80">
        <v>7.0529999999999999</v>
      </c>
      <c r="AZ99" s="81"/>
      <c r="BA99" s="70">
        <f t="shared" si="95"/>
        <v>56.048000000000002</v>
      </c>
      <c r="BB99" s="71">
        <f t="shared" si="96"/>
        <v>54.358000000000004</v>
      </c>
      <c r="BC99" s="72">
        <f t="shared" si="112"/>
        <v>13.648</v>
      </c>
      <c r="BD99" s="134">
        <f t="shared" si="109"/>
        <v>1.69</v>
      </c>
      <c r="BE99" s="78">
        <f t="shared" si="76"/>
        <v>-0.67100000000000004</v>
      </c>
      <c r="BF99" s="79">
        <v>-0.67100000000000004</v>
      </c>
      <c r="BG99" s="80"/>
      <c r="BH99" s="81"/>
      <c r="BI99" s="70">
        <f t="shared" si="97"/>
        <v>55.377000000000002</v>
      </c>
      <c r="BJ99" s="71">
        <f t="shared" si="98"/>
        <v>53.687000000000005</v>
      </c>
      <c r="BK99" s="72">
        <f t="shared" si="67"/>
        <v>13.648</v>
      </c>
      <c r="BL99" s="134">
        <f t="shared" si="82"/>
        <v>1.69</v>
      </c>
    </row>
    <row r="100" spans="1:64" ht="12.9" x14ac:dyDescent="0.35">
      <c r="A100" s="232"/>
      <c r="B100" s="234"/>
      <c r="C100" s="27" t="s">
        <v>100</v>
      </c>
      <c r="D100" s="25" t="s">
        <v>187</v>
      </c>
      <c r="E100" s="78">
        <f t="shared" si="69"/>
        <v>0</v>
      </c>
      <c r="F100" s="79"/>
      <c r="G100" s="80"/>
      <c r="H100" s="81"/>
      <c r="I100" s="78">
        <f t="shared" si="70"/>
        <v>0</v>
      </c>
      <c r="J100" s="79"/>
      <c r="K100" s="80"/>
      <c r="L100" s="81"/>
      <c r="M100" s="70">
        <f t="shared" si="99"/>
        <v>0</v>
      </c>
      <c r="N100" s="71">
        <f t="shared" si="100"/>
        <v>0</v>
      </c>
      <c r="O100" s="72">
        <f t="shared" si="101"/>
        <v>0</v>
      </c>
      <c r="P100" s="134">
        <f t="shared" si="102"/>
        <v>0</v>
      </c>
      <c r="Q100" s="78">
        <f t="shared" si="71"/>
        <v>0</v>
      </c>
      <c r="R100" s="79"/>
      <c r="S100" s="80"/>
      <c r="T100" s="81"/>
      <c r="U100" s="70">
        <f t="shared" si="87"/>
        <v>0</v>
      </c>
      <c r="V100" s="71">
        <f t="shared" si="88"/>
        <v>0</v>
      </c>
      <c r="W100" s="72">
        <f t="shared" si="103"/>
        <v>0</v>
      </c>
      <c r="X100" s="134">
        <f t="shared" si="104"/>
        <v>0</v>
      </c>
      <c r="Y100" s="78">
        <f t="shared" si="72"/>
        <v>0</v>
      </c>
      <c r="Z100" s="79"/>
      <c r="AA100" s="80"/>
      <c r="AB100" s="81"/>
      <c r="AC100" s="70">
        <f t="shared" si="89"/>
        <v>0</v>
      </c>
      <c r="AD100" s="71">
        <f t="shared" si="90"/>
        <v>0</v>
      </c>
      <c r="AE100" s="72">
        <f t="shared" si="105"/>
        <v>0</v>
      </c>
      <c r="AF100" s="134">
        <f t="shared" si="106"/>
        <v>0</v>
      </c>
      <c r="AG100" s="78">
        <f t="shared" si="73"/>
        <v>0</v>
      </c>
      <c r="AH100" s="79"/>
      <c r="AI100" s="80"/>
      <c r="AJ100" s="81"/>
      <c r="AK100" s="70">
        <f t="shared" si="91"/>
        <v>0</v>
      </c>
      <c r="AL100" s="71">
        <f t="shared" si="92"/>
        <v>0</v>
      </c>
      <c r="AM100" s="72">
        <f t="shared" si="110"/>
        <v>0</v>
      </c>
      <c r="AN100" s="134">
        <f t="shared" si="107"/>
        <v>0</v>
      </c>
      <c r="AO100" s="78">
        <f t="shared" si="74"/>
        <v>8.6029999999999998</v>
      </c>
      <c r="AP100" s="79">
        <v>8.6029999999999998</v>
      </c>
      <c r="AQ100" s="80">
        <v>4.3099999999999996</v>
      </c>
      <c r="AR100" s="81"/>
      <c r="AS100" s="70">
        <f t="shared" si="93"/>
        <v>8.6029999999999998</v>
      </c>
      <c r="AT100" s="71">
        <f t="shared" si="94"/>
        <v>8.6029999999999998</v>
      </c>
      <c r="AU100" s="72">
        <f t="shared" si="111"/>
        <v>4.3099999999999996</v>
      </c>
      <c r="AV100" s="134">
        <f t="shared" si="108"/>
        <v>0</v>
      </c>
      <c r="AW100" s="78">
        <f t="shared" si="75"/>
        <v>19.783000000000001</v>
      </c>
      <c r="AX100" s="79">
        <v>19.783000000000001</v>
      </c>
      <c r="AY100" s="80">
        <v>13.15</v>
      </c>
      <c r="AZ100" s="81"/>
      <c r="BA100" s="70">
        <f t="shared" si="95"/>
        <v>28.386000000000003</v>
      </c>
      <c r="BB100" s="71">
        <f t="shared" si="96"/>
        <v>28.386000000000003</v>
      </c>
      <c r="BC100" s="72">
        <f t="shared" si="112"/>
        <v>17.46</v>
      </c>
      <c r="BD100" s="134">
        <f t="shared" si="109"/>
        <v>0</v>
      </c>
      <c r="BE100" s="78">
        <f t="shared" si="76"/>
        <v>3.048</v>
      </c>
      <c r="BF100" s="79">
        <v>3.048</v>
      </c>
      <c r="BG100" s="80"/>
      <c r="BH100" s="81"/>
      <c r="BI100" s="70">
        <f t="shared" si="97"/>
        <v>31.434000000000005</v>
      </c>
      <c r="BJ100" s="71">
        <f t="shared" si="98"/>
        <v>31.434000000000005</v>
      </c>
      <c r="BK100" s="72">
        <f t="shared" si="67"/>
        <v>17.46</v>
      </c>
      <c r="BL100" s="134">
        <f t="shared" si="82"/>
        <v>0</v>
      </c>
    </row>
    <row r="101" spans="1:64" ht="12.9" x14ac:dyDescent="0.35">
      <c r="A101" s="45" t="s">
        <v>23</v>
      </c>
      <c r="B101" s="46" t="s">
        <v>44</v>
      </c>
      <c r="C101" s="27" t="s">
        <v>101</v>
      </c>
      <c r="D101" s="25" t="s">
        <v>38</v>
      </c>
      <c r="E101" s="78">
        <f t="shared" si="69"/>
        <v>50.6</v>
      </c>
      <c r="F101" s="79">
        <v>50.6</v>
      </c>
      <c r="G101" s="80"/>
      <c r="H101" s="81"/>
      <c r="I101" s="78">
        <f t="shared" si="70"/>
        <v>0</v>
      </c>
      <c r="J101" s="79"/>
      <c r="K101" s="80"/>
      <c r="L101" s="81"/>
      <c r="M101" s="70">
        <f t="shared" si="99"/>
        <v>50.6</v>
      </c>
      <c r="N101" s="71">
        <f t="shared" si="100"/>
        <v>50.6</v>
      </c>
      <c r="O101" s="72">
        <f t="shared" si="101"/>
        <v>0</v>
      </c>
      <c r="P101" s="134">
        <f t="shared" si="102"/>
        <v>0</v>
      </c>
      <c r="Q101" s="78">
        <f t="shared" si="71"/>
        <v>0</v>
      </c>
      <c r="R101" s="79"/>
      <c r="S101" s="80"/>
      <c r="T101" s="81"/>
      <c r="U101" s="70">
        <f t="shared" si="87"/>
        <v>50.6</v>
      </c>
      <c r="V101" s="71">
        <f t="shared" si="88"/>
        <v>50.6</v>
      </c>
      <c r="W101" s="72">
        <f t="shared" si="103"/>
        <v>0</v>
      </c>
      <c r="X101" s="134">
        <f t="shared" si="104"/>
        <v>0</v>
      </c>
      <c r="Y101" s="78">
        <f t="shared" si="72"/>
        <v>0</v>
      </c>
      <c r="Z101" s="79"/>
      <c r="AA101" s="80"/>
      <c r="AB101" s="81"/>
      <c r="AC101" s="70">
        <f t="shared" si="89"/>
        <v>50.6</v>
      </c>
      <c r="AD101" s="71">
        <f t="shared" si="90"/>
        <v>50.6</v>
      </c>
      <c r="AE101" s="72">
        <f t="shared" si="105"/>
        <v>0</v>
      </c>
      <c r="AF101" s="134">
        <f t="shared" si="106"/>
        <v>0</v>
      </c>
      <c r="AG101" s="78">
        <f t="shared" si="73"/>
        <v>0</v>
      </c>
      <c r="AH101" s="79"/>
      <c r="AI101" s="80"/>
      <c r="AJ101" s="81"/>
      <c r="AK101" s="70">
        <f t="shared" si="91"/>
        <v>50.6</v>
      </c>
      <c r="AL101" s="71">
        <f t="shared" si="92"/>
        <v>50.6</v>
      </c>
      <c r="AM101" s="72">
        <f t="shared" si="110"/>
        <v>0</v>
      </c>
      <c r="AN101" s="134">
        <f t="shared" si="107"/>
        <v>0</v>
      </c>
      <c r="AO101" s="78">
        <f t="shared" si="74"/>
        <v>0</v>
      </c>
      <c r="AP101" s="79"/>
      <c r="AQ101" s="80"/>
      <c r="AR101" s="81"/>
      <c r="AS101" s="70">
        <f t="shared" si="93"/>
        <v>50.6</v>
      </c>
      <c r="AT101" s="71">
        <f t="shared" si="94"/>
        <v>50.6</v>
      </c>
      <c r="AU101" s="72">
        <f t="shared" si="111"/>
        <v>0</v>
      </c>
      <c r="AV101" s="134">
        <f t="shared" si="108"/>
        <v>0</v>
      </c>
      <c r="AW101" s="78">
        <f t="shared" si="75"/>
        <v>0.44</v>
      </c>
      <c r="AX101" s="79">
        <v>0.44</v>
      </c>
      <c r="AY101" s="80"/>
      <c r="AZ101" s="81"/>
      <c r="BA101" s="70">
        <f t="shared" si="95"/>
        <v>51.04</v>
      </c>
      <c r="BB101" s="71">
        <f t="shared" si="96"/>
        <v>51.04</v>
      </c>
      <c r="BC101" s="72">
        <f t="shared" si="112"/>
        <v>0</v>
      </c>
      <c r="BD101" s="134">
        <f t="shared" si="109"/>
        <v>0</v>
      </c>
      <c r="BE101" s="78">
        <f t="shared" si="76"/>
        <v>-0.67</v>
      </c>
      <c r="BF101" s="79">
        <v>-0.67</v>
      </c>
      <c r="BG101" s="80"/>
      <c r="BH101" s="81"/>
      <c r="BI101" s="70">
        <f t="shared" si="97"/>
        <v>50.37</v>
      </c>
      <c r="BJ101" s="71">
        <f t="shared" si="98"/>
        <v>50.37</v>
      </c>
      <c r="BK101" s="72">
        <f t="shared" si="67"/>
        <v>0</v>
      </c>
      <c r="BL101" s="134">
        <f t="shared" si="82"/>
        <v>0</v>
      </c>
    </row>
    <row r="102" spans="1:64" ht="12.9" x14ac:dyDescent="0.35">
      <c r="A102" s="283" t="s">
        <v>33</v>
      </c>
      <c r="B102" s="233" t="s">
        <v>45</v>
      </c>
      <c r="C102" s="27" t="s">
        <v>102</v>
      </c>
      <c r="D102" s="25" t="s">
        <v>125</v>
      </c>
      <c r="E102" s="78">
        <f t="shared" si="69"/>
        <v>0.5</v>
      </c>
      <c r="F102" s="79">
        <v>0.5</v>
      </c>
      <c r="G102" s="80"/>
      <c r="H102" s="81"/>
      <c r="I102" s="78">
        <f t="shared" si="70"/>
        <v>0</v>
      </c>
      <c r="J102" s="79"/>
      <c r="K102" s="80"/>
      <c r="L102" s="81"/>
      <c r="M102" s="70">
        <f t="shared" si="99"/>
        <v>0.5</v>
      </c>
      <c r="N102" s="71">
        <f t="shared" si="100"/>
        <v>0.5</v>
      </c>
      <c r="O102" s="72">
        <f t="shared" si="101"/>
        <v>0</v>
      </c>
      <c r="P102" s="134">
        <f t="shared" si="102"/>
        <v>0</v>
      </c>
      <c r="Q102" s="78">
        <f t="shared" si="71"/>
        <v>0</v>
      </c>
      <c r="R102" s="79"/>
      <c r="S102" s="80"/>
      <c r="T102" s="81"/>
      <c r="U102" s="70">
        <f t="shared" si="87"/>
        <v>0.5</v>
      </c>
      <c r="V102" s="71">
        <f t="shared" si="88"/>
        <v>0.5</v>
      </c>
      <c r="W102" s="72">
        <f t="shared" si="103"/>
        <v>0</v>
      </c>
      <c r="X102" s="134">
        <f t="shared" si="104"/>
        <v>0</v>
      </c>
      <c r="Y102" s="78">
        <f t="shared" si="72"/>
        <v>0</v>
      </c>
      <c r="Z102" s="79"/>
      <c r="AA102" s="80"/>
      <c r="AB102" s="81"/>
      <c r="AC102" s="70">
        <f t="shared" si="89"/>
        <v>0.5</v>
      </c>
      <c r="AD102" s="71">
        <f t="shared" si="90"/>
        <v>0.5</v>
      </c>
      <c r="AE102" s="72">
        <f t="shared" si="105"/>
        <v>0</v>
      </c>
      <c r="AF102" s="134">
        <f t="shared" si="106"/>
        <v>0</v>
      </c>
      <c r="AG102" s="78">
        <f t="shared" si="73"/>
        <v>0</v>
      </c>
      <c r="AH102" s="79"/>
      <c r="AI102" s="80"/>
      <c r="AJ102" s="81"/>
      <c r="AK102" s="70">
        <f t="shared" si="91"/>
        <v>0.5</v>
      </c>
      <c r="AL102" s="71">
        <f t="shared" si="92"/>
        <v>0.5</v>
      </c>
      <c r="AM102" s="72">
        <f t="shared" si="110"/>
        <v>0</v>
      </c>
      <c r="AN102" s="134">
        <f t="shared" si="107"/>
        <v>0</v>
      </c>
      <c r="AO102" s="78">
        <f t="shared" si="74"/>
        <v>0</v>
      </c>
      <c r="AP102" s="79"/>
      <c r="AQ102" s="80"/>
      <c r="AR102" s="81"/>
      <c r="AS102" s="70">
        <f t="shared" si="93"/>
        <v>0.5</v>
      </c>
      <c r="AT102" s="71">
        <f t="shared" si="94"/>
        <v>0.5</v>
      </c>
      <c r="AU102" s="72">
        <f t="shared" si="111"/>
        <v>0</v>
      </c>
      <c r="AV102" s="134">
        <f t="shared" si="108"/>
        <v>0</v>
      </c>
      <c r="AW102" s="78">
        <f t="shared" si="75"/>
        <v>0</v>
      </c>
      <c r="AX102" s="79"/>
      <c r="AY102" s="80"/>
      <c r="AZ102" s="81"/>
      <c r="BA102" s="70">
        <f t="shared" si="95"/>
        <v>0.5</v>
      </c>
      <c r="BB102" s="71">
        <f t="shared" si="96"/>
        <v>0.5</v>
      </c>
      <c r="BC102" s="72">
        <f t="shared" si="112"/>
        <v>0</v>
      </c>
      <c r="BD102" s="134">
        <f t="shared" si="109"/>
        <v>0</v>
      </c>
      <c r="BE102" s="78">
        <f t="shared" si="76"/>
        <v>0</v>
      </c>
      <c r="BF102" s="79"/>
      <c r="BG102" s="80"/>
      <c r="BH102" s="81"/>
      <c r="BI102" s="70">
        <f t="shared" si="97"/>
        <v>0.5</v>
      </c>
      <c r="BJ102" s="71">
        <f t="shared" si="98"/>
        <v>0.5</v>
      </c>
      <c r="BK102" s="72">
        <f t="shared" si="67"/>
        <v>0</v>
      </c>
      <c r="BL102" s="134">
        <f t="shared" si="82"/>
        <v>0</v>
      </c>
    </row>
    <row r="103" spans="1:64" ht="12.9" x14ac:dyDescent="0.35">
      <c r="A103" s="284"/>
      <c r="B103" s="234"/>
      <c r="C103" s="27" t="s">
        <v>258</v>
      </c>
      <c r="D103" s="25" t="s">
        <v>137</v>
      </c>
      <c r="E103" s="78">
        <f t="shared" si="69"/>
        <v>0</v>
      </c>
      <c r="F103" s="79"/>
      <c r="G103" s="80"/>
      <c r="H103" s="81"/>
      <c r="I103" s="78">
        <f t="shared" si="70"/>
        <v>0</v>
      </c>
      <c r="J103" s="79"/>
      <c r="K103" s="80"/>
      <c r="L103" s="81"/>
      <c r="M103" s="70">
        <f t="shared" si="99"/>
        <v>0</v>
      </c>
      <c r="N103" s="71">
        <f t="shared" si="100"/>
        <v>0</v>
      </c>
      <c r="O103" s="72">
        <f t="shared" si="101"/>
        <v>0</v>
      </c>
      <c r="P103" s="134">
        <f t="shared" si="102"/>
        <v>0</v>
      </c>
      <c r="Q103" s="78">
        <f t="shared" si="71"/>
        <v>0</v>
      </c>
      <c r="R103" s="79"/>
      <c r="S103" s="80"/>
      <c r="T103" s="81"/>
      <c r="U103" s="70">
        <f t="shared" si="87"/>
        <v>0</v>
      </c>
      <c r="V103" s="71">
        <f t="shared" si="88"/>
        <v>0</v>
      </c>
      <c r="W103" s="72">
        <f t="shared" si="103"/>
        <v>0</v>
      </c>
      <c r="X103" s="134">
        <f t="shared" si="104"/>
        <v>0</v>
      </c>
      <c r="Y103" s="78">
        <f t="shared" si="72"/>
        <v>0</v>
      </c>
      <c r="Z103" s="79"/>
      <c r="AA103" s="80"/>
      <c r="AB103" s="81"/>
      <c r="AC103" s="70">
        <f t="shared" si="89"/>
        <v>0</v>
      </c>
      <c r="AD103" s="71">
        <f t="shared" si="90"/>
        <v>0</v>
      </c>
      <c r="AE103" s="72">
        <f t="shared" si="105"/>
        <v>0</v>
      </c>
      <c r="AF103" s="134">
        <f t="shared" si="106"/>
        <v>0</v>
      </c>
      <c r="AG103" s="78">
        <f t="shared" si="73"/>
        <v>0</v>
      </c>
      <c r="AH103" s="79"/>
      <c r="AI103" s="80"/>
      <c r="AJ103" s="81"/>
      <c r="AK103" s="70">
        <f t="shared" si="91"/>
        <v>0</v>
      </c>
      <c r="AL103" s="71">
        <f t="shared" si="92"/>
        <v>0</v>
      </c>
      <c r="AM103" s="72">
        <f t="shared" si="110"/>
        <v>0</v>
      </c>
      <c r="AN103" s="134">
        <f t="shared" si="107"/>
        <v>0</v>
      </c>
      <c r="AO103" s="78">
        <f t="shared" si="74"/>
        <v>0</v>
      </c>
      <c r="AP103" s="79"/>
      <c r="AQ103" s="80"/>
      <c r="AR103" s="81"/>
      <c r="AS103" s="70">
        <f t="shared" si="93"/>
        <v>0</v>
      </c>
      <c r="AT103" s="71">
        <f t="shared" si="94"/>
        <v>0</v>
      </c>
      <c r="AU103" s="72">
        <f t="shared" si="111"/>
        <v>0</v>
      </c>
      <c r="AV103" s="134">
        <f t="shared" si="108"/>
        <v>0</v>
      </c>
      <c r="AW103" s="78">
        <f t="shared" si="75"/>
        <v>0.29799999999999999</v>
      </c>
      <c r="AX103" s="79">
        <v>0.29799999999999999</v>
      </c>
      <c r="AY103" s="80"/>
      <c r="AZ103" s="81"/>
      <c r="BA103" s="70">
        <f t="shared" si="95"/>
        <v>0.29799999999999999</v>
      </c>
      <c r="BB103" s="71">
        <f t="shared" si="96"/>
        <v>0.29799999999999999</v>
      </c>
      <c r="BC103" s="72">
        <f t="shared" si="112"/>
        <v>0</v>
      </c>
      <c r="BD103" s="134">
        <f t="shared" si="109"/>
        <v>0</v>
      </c>
      <c r="BE103" s="78">
        <f t="shared" si="76"/>
        <v>0</v>
      </c>
      <c r="BF103" s="79"/>
      <c r="BG103" s="80"/>
      <c r="BH103" s="81"/>
      <c r="BI103" s="70">
        <f t="shared" si="97"/>
        <v>0.29799999999999999</v>
      </c>
      <c r="BJ103" s="71">
        <f t="shared" si="98"/>
        <v>0.29799999999999999</v>
      </c>
      <c r="BK103" s="72">
        <f t="shared" si="67"/>
        <v>0</v>
      </c>
      <c r="BL103" s="134">
        <f t="shared" si="82"/>
        <v>0</v>
      </c>
    </row>
    <row r="104" spans="1:64" ht="12.9" x14ac:dyDescent="0.35">
      <c r="A104" s="45" t="s">
        <v>32</v>
      </c>
      <c r="B104" s="237" t="s">
        <v>46</v>
      </c>
      <c r="C104" s="27" t="s">
        <v>282</v>
      </c>
      <c r="D104" s="25" t="s">
        <v>125</v>
      </c>
      <c r="E104" s="78">
        <f t="shared" si="69"/>
        <v>0.9</v>
      </c>
      <c r="F104" s="79">
        <v>0.9</v>
      </c>
      <c r="G104" s="80"/>
      <c r="H104" s="81"/>
      <c r="I104" s="78">
        <f t="shared" si="70"/>
        <v>0</v>
      </c>
      <c r="J104" s="79"/>
      <c r="K104" s="80"/>
      <c r="L104" s="81"/>
      <c r="M104" s="70">
        <f t="shared" si="99"/>
        <v>0.9</v>
      </c>
      <c r="N104" s="71">
        <f t="shared" si="100"/>
        <v>0.9</v>
      </c>
      <c r="O104" s="72">
        <f t="shared" si="101"/>
        <v>0</v>
      </c>
      <c r="P104" s="134">
        <f t="shared" si="102"/>
        <v>0</v>
      </c>
      <c r="Q104" s="78">
        <f t="shared" si="71"/>
        <v>0</v>
      </c>
      <c r="R104" s="79"/>
      <c r="S104" s="80"/>
      <c r="T104" s="81"/>
      <c r="U104" s="70">
        <f t="shared" si="87"/>
        <v>0.9</v>
      </c>
      <c r="V104" s="71">
        <f t="shared" si="88"/>
        <v>0.9</v>
      </c>
      <c r="W104" s="72">
        <f t="shared" si="103"/>
        <v>0</v>
      </c>
      <c r="X104" s="134">
        <f t="shared" si="104"/>
        <v>0</v>
      </c>
      <c r="Y104" s="78">
        <f t="shared" si="72"/>
        <v>0</v>
      </c>
      <c r="Z104" s="79"/>
      <c r="AA104" s="80"/>
      <c r="AB104" s="81"/>
      <c r="AC104" s="70">
        <f t="shared" si="89"/>
        <v>0.9</v>
      </c>
      <c r="AD104" s="71">
        <f t="shared" si="90"/>
        <v>0.9</v>
      </c>
      <c r="AE104" s="72">
        <f t="shared" si="105"/>
        <v>0</v>
      </c>
      <c r="AF104" s="134">
        <f t="shared" si="106"/>
        <v>0</v>
      </c>
      <c r="AG104" s="78">
        <f t="shared" si="73"/>
        <v>0</v>
      </c>
      <c r="AH104" s="79"/>
      <c r="AI104" s="80"/>
      <c r="AJ104" s="81"/>
      <c r="AK104" s="70">
        <f t="shared" si="91"/>
        <v>0.9</v>
      </c>
      <c r="AL104" s="71">
        <f t="shared" si="92"/>
        <v>0.9</v>
      </c>
      <c r="AM104" s="72">
        <f t="shared" si="110"/>
        <v>0</v>
      </c>
      <c r="AN104" s="134">
        <f t="shared" si="107"/>
        <v>0</v>
      </c>
      <c r="AO104" s="78">
        <f t="shared" si="74"/>
        <v>0</v>
      </c>
      <c r="AP104" s="79"/>
      <c r="AQ104" s="80"/>
      <c r="AR104" s="81"/>
      <c r="AS104" s="70">
        <f t="shared" si="93"/>
        <v>0.9</v>
      </c>
      <c r="AT104" s="71">
        <f t="shared" si="94"/>
        <v>0.9</v>
      </c>
      <c r="AU104" s="72">
        <f t="shared" si="111"/>
        <v>0</v>
      </c>
      <c r="AV104" s="134">
        <f t="shared" si="108"/>
        <v>0</v>
      </c>
      <c r="AW104" s="78">
        <f t="shared" si="75"/>
        <v>0</v>
      </c>
      <c r="AX104" s="79"/>
      <c r="AY104" s="80"/>
      <c r="AZ104" s="81"/>
      <c r="BA104" s="70">
        <f t="shared" si="95"/>
        <v>0.9</v>
      </c>
      <c r="BB104" s="71">
        <f t="shared" si="96"/>
        <v>0.9</v>
      </c>
      <c r="BC104" s="72">
        <f t="shared" si="112"/>
        <v>0</v>
      </c>
      <c r="BD104" s="134">
        <f t="shared" si="109"/>
        <v>0</v>
      </c>
      <c r="BE104" s="78">
        <f t="shared" si="76"/>
        <v>0</v>
      </c>
      <c r="BF104" s="79"/>
      <c r="BG104" s="80"/>
      <c r="BH104" s="81"/>
      <c r="BI104" s="70">
        <f t="shared" si="97"/>
        <v>0.9</v>
      </c>
      <c r="BJ104" s="71">
        <f t="shared" si="98"/>
        <v>0.9</v>
      </c>
      <c r="BK104" s="72">
        <f t="shared" si="67"/>
        <v>0</v>
      </c>
      <c r="BL104" s="134">
        <f t="shared" si="82"/>
        <v>0</v>
      </c>
    </row>
    <row r="105" spans="1:64" ht="12.9" hidden="1" x14ac:dyDescent="0.35">
      <c r="A105" s="118"/>
      <c r="B105" s="238"/>
      <c r="C105" s="27" t="s">
        <v>282</v>
      </c>
      <c r="D105" s="25" t="s">
        <v>50</v>
      </c>
      <c r="E105" s="78">
        <f t="shared" si="69"/>
        <v>0</v>
      </c>
      <c r="F105" s="79"/>
      <c r="G105" s="80"/>
      <c r="H105" s="81"/>
      <c r="I105" s="78">
        <f t="shared" si="70"/>
        <v>0</v>
      </c>
      <c r="J105" s="79"/>
      <c r="K105" s="80"/>
      <c r="L105" s="81"/>
      <c r="M105" s="70">
        <f t="shared" si="99"/>
        <v>0</v>
      </c>
      <c r="N105" s="71">
        <f t="shared" si="100"/>
        <v>0</v>
      </c>
      <c r="O105" s="72">
        <f t="shared" si="101"/>
        <v>0</v>
      </c>
      <c r="P105" s="134">
        <f t="shared" si="102"/>
        <v>0</v>
      </c>
      <c r="Q105" s="78">
        <f t="shared" si="71"/>
        <v>0</v>
      </c>
      <c r="R105" s="79"/>
      <c r="S105" s="80"/>
      <c r="T105" s="81"/>
      <c r="U105" s="70">
        <f t="shared" si="87"/>
        <v>0</v>
      </c>
      <c r="V105" s="71">
        <f t="shared" si="88"/>
        <v>0</v>
      </c>
      <c r="W105" s="72">
        <f t="shared" si="103"/>
        <v>0</v>
      </c>
      <c r="X105" s="134">
        <f t="shared" si="104"/>
        <v>0</v>
      </c>
      <c r="Y105" s="78">
        <f t="shared" si="72"/>
        <v>0</v>
      </c>
      <c r="Z105" s="79"/>
      <c r="AA105" s="80"/>
      <c r="AB105" s="81"/>
      <c r="AC105" s="70">
        <f t="shared" si="89"/>
        <v>0</v>
      </c>
      <c r="AD105" s="71">
        <f t="shared" si="90"/>
        <v>0</v>
      </c>
      <c r="AE105" s="72">
        <f t="shared" si="105"/>
        <v>0</v>
      </c>
      <c r="AF105" s="134">
        <f t="shared" si="106"/>
        <v>0</v>
      </c>
      <c r="AG105" s="78">
        <f t="shared" si="73"/>
        <v>0</v>
      </c>
      <c r="AH105" s="79"/>
      <c r="AI105" s="80"/>
      <c r="AJ105" s="81"/>
      <c r="AK105" s="70">
        <f t="shared" si="91"/>
        <v>0</v>
      </c>
      <c r="AL105" s="71">
        <f t="shared" si="92"/>
        <v>0</v>
      </c>
      <c r="AM105" s="72">
        <f t="shared" si="110"/>
        <v>0</v>
      </c>
      <c r="AN105" s="134">
        <f t="shared" si="107"/>
        <v>0</v>
      </c>
      <c r="AO105" s="78">
        <f t="shared" si="74"/>
        <v>0</v>
      </c>
      <c r="AP105" s="79"/>
      <c r="AQ105" s="80"/>
      <c r="AR105" s="81"/>
      <c r="AS105" s="70">
        <f t="shared" si="93"/>
        <v>0</v>
      </c>
      <c r="AT105" s="71">
        <f t="shared" si="94"/>
        <v>0</v>
      </c>
      <c r="AU105" s="72">
        <f t="shared" si="111"/>
        <v>0</v>
      </c>
      <c r="AV105" s="134">
        <f t="shared" si="108"/>
        <v>0</v>
      </c>
      <c r="AW105" s="78">
        <f t="shared" si="75"/>
        <v>0</v>
      </c>
      <c r="AX105" s="79"/>
      <c r="AY105" s="80"/>
      <c r="AZ105" s="81"/>
      <c r="BA105" s="70">
        <f t="shared" ref="BA105:BA106" si="113">SUM(BD105,BB105)</f>
        <v>0</v>
      </c>
      <c r="BB105" s="71">
        <f t="shared" ref="BB105:BB106" si="114">AT105+AX105</f>
        <v>0</v>
      </c>
      <c r="BC105" s="72">
        <f t="shared" ref="BC105:BC106" si="115">AU105+AY105</f>
        <v>0</v>
      </c>
      <c r="BD105" s="134">
        <f t="shared" ref="BD105:BD106" si="116">AV105+AZ105</f>
        <v>0</v>
      </c>
      <c r="BE105" s="78">
        <f t="shared" si="76"/>
        <v>0</v>
      </c>
      <c r="BF105" s="79"/>
      <c r="BG105" s="80"/>
      <c r="BH105" s="81"/>
      <c r="BI105" s="70">
        <f t="shared" si="97"/>
        <v>0</v>
      </c>
      <c r="BJ105" s="71">
        <f t="shared" si="98"/>
        <v>0</v>
      </c>
      <c r="BK105" s="72">
        <f t="shared" ref="BK105:BK119" si="117">BC105+BG105</f>
        <v>0</v>
      </c>
      <c r="BL105" s="134">
        <f t="shared" si="82"/>
        <v>0</v>
      </c>
    </row>
    <row r="106" spans="1:64" ht="12.9" x14ac:dyDescent="0.35">
      <c r="A106" s="285" t="s">
        <v>7</v>
      </c>
      <c r="B106" s="237" t="s">
        <v>48</v>
      </c>
      <c r="C106" s="27" t="s">
        <v>286</v>
      </c>
      <c r="D106" s="25" t="s">
        <v>125</v>
      </c>
      <c r="E106" s="78"/>
      <c r="F106" s="79"/>
      <c r="G106" s="80"/>
      <c r="H106" s="81"/>
      <c r="I106" s="78"/>
      <c r="J106" s="79"/>
      <c r="K106" s="80"/>
      <c r="L106" s="81"/>
      <c r="M106" s="70"/>
      <c r="N106" s="71"/>
      <c r="O106" s="72"/>
      <c r="P106" s="134"/>
      <c r="Q106" s="78"/>
      <c r="R106" s="79"/>
      <c r="S106" s="80"/>
      <c r="T106" s="81"/>
      <c r="U106" s="70"/>
      <c r="V106" s="71"/>
      <c r="W106" s="72"/>
      <c r="X106" s="134"/>
      <c r="Y106" s="78"/>
      <c r="Z106" s="79"/>
      <c r="AA106" s="80"/>
      <c r="AB106" s="81"/>
      <c r="AC106" s="70"/>
      <c r="AD106" s="71"/>
      <c r="AE106" s="72"/>
      <c r="AF106" s="134"/>
      <c r="AG106" s="78"/>
      <c r="AH106" s="79"/>
      <c r="AI106" s="80"/>
      <c r="AJ106" s="81"/>
      <c r="AK106" s="70"/>
      <c r="AL106" s="71"/>
      <c r="AM106" s="72"/>
      <c r="AN106" s="134"/>
      <c r="AO106" s="78"/>
      <c r="AP106" s="79"/>
      <c r="AQ106" s="80"/>
      <c r="AR106" s="81"/>
      <c r="AS106" s="70"/>
      <c r="AT106" s="71"/>
      <c r="AU106" s="72"/>
      <c r="AV106" s="134"/>
      <c r="AW106" s="78">
        <f t="shared" si="75"/>
        <v>22.35</v>
      </c>
      <c r="AX106" s="79"/>
      <c r="AY106" s="80"/>
      <c r="AZ106" s="81">
        <v>22.35</v>
      </c>
      <c r="BA106" s="70">
        <f t="shared" si="113"/>
        <v>22.35</v>
      </c>
      <c r="BB106" s="71">
        <f t="shared" si="114"/>
        <v>0</v>
      </c>
      <c r="BC106" s="72">
        <f t="shared" si="115"/>
        <v>0</v>
      </c>
      <c r="BD106" s="134">
        <f t="shared" si="116"/>
        <v>22.35</v>
      </c>
      <c r="BE106" s="78">
        <f t="shared" si="76"/>
        <v>0</v>
      </c>
      <c r="BF106" s="79"/>
      <c r="BG106" s="80"/>
      <c r="BH106" s="81"/>
      <c r="BI106" s="70">
        <f t="shared" si="97"/>
        <v>22.35</v>
      </c>
      <c r="BJ106" s="71">
        <f t="shared" si="98"/>
        <v>0</v>
      </c>
      <c r="BK106" s="72">
        <f t="shared" si="117"/>
        <v>0</v>
      </c>
      <c r="BL106" s="134">
        <f t="shared" si="82"/>
        <v>22.35</v>
      </c>
    </row>
    <row r="107" spans="1:64" ht="12.9" x14ac:dyDescent="0.35">
      <c r="A107" s="286"/>
      <c r="B107" s="238"/>
      <c r="C107" s="27" t="s">
        <v>296</v>
      </c>
      <c r="D107" s="25" t="s">
        <v>137</v>
      </c>
      <c r="E107" s="78">
        <f t="shared" si="69"/>
        <v>0</v>
      </c>
      <c r="F107" s="79"/>
      <c r="G107" s="80"/>
      <c r="H107" s="81"/>
      <c r="I107" s="78">
        <f t="shared" si="70"/>
        <v>0</v>
      </c>
      <c r="J107" s="79"/>
      <c r="K107" s="80"/>
      <c r="L107" s="81"/>
      <c r="M107" s="70">
        <f t="shared" si="99"/>
        <v>0</v>
      </c>
      <c r="N107" s="71">
        <f t="shared" si="100"/>
        <v>0</v>
      </c>
      <c r="O107" s="72">
        <f t="shared" si="101"/>
        <v>0</v>
      </c>
      <c r="P107" s="134">
        <f t="shared" si="102"/>
        <v>0</v>
      </c>
      <c r="Q107" s="78">
        <f t="shared" si="71"/>
        <v>35</v>
      </c>
      <c r="R107" s="79">
        <v>15</v>
      </c>
      <c r="S107" s="80"/>
      <c r="T107" s="81">
        <v>20</v>
      </c>
      <c r="U107" s="70">
        <f t="shared" si="87"/>
        <v>35</v>
      </c>
      <c r="V107" s="71">
        <f t="shared" si="88"/>
        <v>15</v>
      </c>
      <c r="W107" s="72">
        <f t="shared" si="103"/>
        <v>0</v>
      </c>
      <c r="X107" s="134">
        <f t="shared" si="104"/>
        <v>20</v>
      </c>
      <c r="Y107" s="78">
        <f t="shared" si="72"/>
        <v>0</v>
      </c>
      <c r="Z107" s="79"/>
      <c r="AA107" s="80"/>
      <c r="AB107" s="81"/>
      <c r="AC107" s="70">
        <f t="shared" si="89"/>
        <v>35</v>
      </c>
      <c r="AD107" s="71">
        <f t="shared" si="90"/>
        <v>15</v>
      </c>
      <c r="AE107" s="72">
        <f t="shared" si="105"/>
        <v>0</v>
      </c>
      <c r="AF107" s="134">
        <f t="shared" si="106"/>
        <v>20</v>
      </c>
      <c r="AG107" s="78">
        <f t="shared" si="73"/>
        <v>0</v>
      </c>
      <c r="AH107" s="79"/>
      <c r="AI107" s="80"/>
      <c r="AJ107" s="81"/>
      <c r="AK107" s="70">
        <f t="shared" si="91"/>
        <v>35</v>
      </c>
      <c r="AL107" s="71">
        <f t="shared" si="92"/>
        <v>15</v>
      </c>
      <c r="AM107" s="72">
        <f t="shared" si="110"/>
        <v>0</v>
      </c>
      <c r="AN107" s="134">
        <f t="shared" si="107"/>
        <v>20</v>
      </c>
      <c r="AO107" s="78">
        <f t="shared" si="74"/>
        <v>0</v>
      </c>
      <c r="AP107" s="79"/>
      <c r="AQ107" s="80"/>
      <c r="AR107" s="81"/>
      <c r="AS107" s="70">
        <f t="shared" si="93"/>
        <v>35</v>
      </c>
      <c r="AT107" s="71">
        <f t="shared" si="94"/>
        <v>15</v>
      </c>
      <c r="AU107" s="72">
        <f t="shared" si="111"/>
        <v>0</v>
      </c>
      <c r="AV107" s="134">
        <f t="shared" si="108"/>
        <v>20</v>
      </c>
      <c r="AW107" s="78">
        <f t="shared" si="75"/>
        <v>0</v>
      </c>
      <c r="AX107" s="79"/>
      <c r="AY107" s="80"/>
      <c r="AZ107" s="81"/>
      <c r="BA107" s="70">
        <f t="shared" si="95"/>
        <v>35</v>
      </c>
      <c r="BB107" s="71">
        <f t="shared" si="96"/>
        <v>15</v>
      </c>
      <c r="BC107" s="72">
        <f t="shared" si="112"/>
        <v>0</v>
      </c>
      <c r="BD107" s="134">
        <f t="shared" si="109"/>
        <v>20</v>
      </c>
      <c r="BE107" s="78">
        <f t="shared" si="76"/>
        <v>0</v>
      </c>
      <c r="BF107" s="79"/>
      <c r="BG107" s="80"/>
      <c r="BH107" s="81"/>
      <c r="BI107" s="70">
        <f t="shared" si="97"/>
        <v>35</v>
      </c>
      <c r="BJ107" s="71">
        <f t="shared" si="98"/>
        <v>15</v>
      </c>
      <c r="BK107" s="72">
        <f t="shared" si="117"/>
        <v>0</v>
      </c>
      <c r="BL107" s="134">
        <f t="shared" si="82"/>
        <v>20</v>
      </c>
    </row>
    <row r="108" spans="1:64" s="138" customFormat="1" ht="12.45" x14ac:dyDescent="0.3">
      <c r="A108" s="135"/>
      <c r="B108" s="136" t="s">
        <v>15</v>
      </c>
      <c r="C108" s="42" t="s">
        <v>106</v>
      </c>
      <c r="D108" s="137"/>
      <c r="E108" s="73">
        <f t="shared" si="69"/>
        <v>811.40699999999993</v>
      </c>
      <c r="F108" s="74">
        <f>SUM(F110:F119)</f>
        <v>805.14699999999993</v>
      </c>
      <c r="G108" s="75">
        <f>SUM(G110:G119)</f>
        <v>691.44499999999994</v>
      </c>
      <c r="H108" s="133">
        <f>SUM(H110:H119)</f>
        <v>6.26</v>
      </c>
      <c r="I108" s="73">
        <f t="shared" si="70"/>
        <v>0</v>
      </c>
      <c r="J108" s="74">
        <f>SUM(J110:J119)</f>
        <v>0</v>
      </c>
      <c r="K108" s="75">
        <f>SUM(K110:K119)</f>
        <v>0</v>
      </c>
      <c r="L108" s="133">
        <f>SUM(L110:L119)</f>
        <v>0</v>
      </c>
      <c r="M108" s="73">
        <f t="shared" si="99"/>
        <v>811.40699999999993</v>
      </c>
      <c r="N108" s="74">
        <f t="shared" si="100"/>
        <v>805.14699999999993</v>
      </c>
      <c r="O108" s="75">
        <f t="shared" si="101"/>
        <v>691.44499999999994</v>
      </c>
      <c r="P108" s="133">
        <f t="shared" si="102"/>
        <v>6.26</v>
      </c>
      <c r="Q108" s="73">
        <f t="shared" si="71"/>
        <v>-1.04</v>
      </c>
      <c r="R108" s="74">
        <f>SUM(R110:R119)</f>
        <v>-1.04</v>
      </c>
      <c r="S108" s="75">
        <f>SUM(S110:S119)</f>
        <v>-1.0249999999999999</v>
      </c>
      <c r="T108" s="133">
        <f>SUM(T110:T119)</f>
        <v>0</v>
      </c>
      <c r="U108" s="73">
        <f t="shared" si="87"/>
        <v>810.36699999999996</v>
      </c>
      <c r="V108" s="74">
        <f t="shared" si="88"/>
        <v>804.10699999999997</v>
      </c>
      <c r="W108" s="75">
        <f t="shared" si="103"/>
        <v>690.42</v>
      </c>
      <c r="X108" s="133">
        <f t="shared" si="104"/>
        <v>6.26</v>
      </c>
      <c r="Y108" s="73">
        <f t="shared" si="72"/>
        <v>1.536</v>
      </c>
      <c r="Z108" s="74">
        <f>SUM(Z110:Z119)</f>
        <v>1.536</v>
      </c>
      <c r="AA108" s="75">
        <f>SUM(AA110:AA119)</f>
        <v>1.2490000000000001</v>
      </c>
      <c r="AB108" s="133">
        <f>SUM(AB110:AB119)</f>
        <v>0</v>
      </c>
      <c r="AC108" s="73">
        <f t="shared" si="89"/>
        <v>811.90299999999991</v>
      </c>
      <c r="AD108" s="74">
        <f t="shared" si="90"/>
        <v>805.64299999999992</v>
      </c>
      <c r="AE108" s="75">
        <f t="shared" si="105"/>
        <v>691.66899999999998</v>
      </c>
      <c r="AF108" s="133">
        <f t="shared" si="106"/>
        <v>6.26</v>
      </c>
      <c r="AG108" s="73">
        <f t="shared" si="73"/>
        <v>8.9310000000000009</v>
      </c>
      <c r="AH108" s="74">
        <f>SUM(AH110:AH120)</f>
        <v>8.9310000000000009</v>
      </c>
      <c r="AI108" s="75">
        <f>SUM(AI110:AI119)</f>
        <v>0.19600000000000001</v>
      </c>
      <c r="AJ108" s="133">
        <f>SUM(AJ110:AJ119)</f>
        <v>0</v>
      </c>
      <c r="AK108" s="73">
        <f t="shared" si="91"/>
        <v>820.83399999999995</v>
      </c>
      <c r="AL108" s="74">
        <f>AD108+AH108</f>
        <v>814.57399999999996</v>
      </c>
      <c r="AM108" s="75">
        <f t="shared" si="110"/>
        <v>691.86500000000001</v>
      </c>
      <c r="AN108" s="133">
        <f t="shared" si="107"/>
        <v>6.26</v>
      </c>
      <c r="AO108" s="73">
        <f t="shared" si="74"/>
        <v>0</v>
      </c>
      <c r="AP108" s="74">
        <f>SUM(AP110:AP120)</f>
        <v>0</v>
      </c>
      <c r="AQ108" s="75">
        <f>SUM(AQ110:AQ119)</f>
        <v>-4.4829999999999997</v>
      </c>
      <c r="AR108" s="133">
        <f>SUM(AR110:AR119)</f>
        <v>0</v>
      </c>
      <c r="AS108" s="73">
        <f t="shared" si="93"/>
        <v>820.83399999999995</v>
      </c>
      <c r="AT108" s="74">
        <f>AL108+AP108</f>
        <v>814.57399999999996</v>
      </c>
      <c r="AU108" s="75">
        <f t="shared" si="111"/>
        <v>687.38200000000006</v>
      </c>
      <c r="AV108" s="133">
        <f t="shared" si="108"/>
        <v>6.26</v>
      </c>
      <c r="AW108" s="73">
        <f t="shared" si="75"/>
        <v>28.318999999999999</v>
      </c>
      <c r="AX108" s="74">
        <f>SUM(AX110:AX120)</f>
        <v>28.318999999999999</v>
      </c>
      <c r="AY108" s="75">
        <f>SUM(AY110:AY119)</f>
        <v>25.045000000000002</v>
      </c>
      <c r="AZ108" s="133">
        <f>SUM(AZ110:AZ119)</f>
        <v>0</v>
      </c>
      <c r="BA108" s="73">
        <f t="shared" si="95"/>
        <v>849.15299999999991</v>
      </c>
      <c r="BB108" s="74">
        <f>AT108+AX108</f>
        <v>842.89299999999992</v>
      </c>
      <c r="BC108" s="75">
        <f t="shared" si="112"/>
        <v>712.42700000000002</v>
      </c>
      <c r="BD108" s="133">
        <f t="shared" si="109"/>
        <v>6.26</v>
      </c>
      <c r="BE108" s="73">
        <f t="shared" si="76"/>
        <v>0.24099999999999966</v>
      </c>
      <c r="BF108" s="74">
        <f>SUM(BF110:BF120)</f>
        <v>-4.13</v>
      </c>
      <c r="BG108" s="75">
        <f>SUM(BG110:BG119)</f>
        <v>-17.201999999999998</v>
      </c>
      <c r="BH108" s="133">
        <f>SUM(BH110:BH119)</f>
        <v>4.3709999999999996</v>
      </c>
      <c r="BI108" s="73">
        <f t="shared" si="97"/>
        <v>849.39399999999989</v>
      </c>
      <c r="BJ108" s="74">
        <f>BB108+BF108</f>
        <v>838.76299999999992</v>
      </c>
      <c r="BK108" s="75">
        <f t="shared" si="117"/>
        <v>695.22500000000002</v>
      </c>
      <c r="BL108" s="133">
        <f t="shared" si="82"/>
        <v>10.631</v>
      </c>
    </row>
    <row r="109" spans="1:64" ht="12.9" x14ac:dyDescent="0.35">
      <c r="A109" s="43"/>
      <c r="B109" s="4" t="s">
        <v>2</v>
      </c>
      <c r="C109" s="44"/>
      <c r="D109" s="28"/>
      <c r="E109" s="78">
        <f t="shared" si="69"/>
        <v>0</v>
      </c>
      <c r="F109" s="79">
        <v>0</v>
      </c>
      <c r="G109" s="80">
        <v>0</v>
      </c>
      <c r="H109" s="81">
        <v>0</v>
      </c>
      <c r="I109" s="78">
        <f t="shared" si="70"/>
        <v>0</v>
      </c>
      <c r="J109" s="79">
        <v>0</v>
      </c>
      <c r="K109" s="80">
        <v>0</v>
      </c>
      <c r="L109" s="81">
        <v>0</v>
      </c>
      <c r="M109" s="70">
        <f t="shared" si="99"/>
        <v>0</v>
      </c>
      <c r="N109" s="71">
        <f t="shared" si="100"/>
        <v>0</v>
      </c>
      <c r="O109" s="72">
        <f t="shared" si="101"/>
        <v>0</v>
      </c>
      <c r="P109" s="134">
        <f t="shared" si="102"/>
        <v>0</v>
      </c>
      <c r="Q109" s="78">
        <f t="shared" si="71"/>
        <v>0</v>
      </c>
      <c r="R109" s="79">
        <v>0</v>
      </c>
      <c r="S109" s="80">
        <v>0</v>
      </c>
      <c r="T109" s="81">
        <v>0</v>
      </c>
      <c r="U109" s="70">
        <f t="shared" si="87"/>
        <v>0</v>
      </c>
      <c r="V109" s="71">
        <f t="shared" si="88"/>
        <v>0</v>
      </c>
      <c r="W109" s="72">
        <f t="shared" si="103"/>
        <v>0</v>
      </c>
      <c r="X109" s="134">
        <f t="shared" si="104"/>
        <v>0</v>
      </c>
      <c r="Y109" s="78">
        <f t="shared" si="72"/>
        <v>0</v>
      </c>
      <c r="Z109" s="79">
        <v>0</v>
      </c>
      <c r="AA109" s="80">
        <v>0</v>
      </c>
      <c r="AB109" s="81">
        <v>0</v>
      </c>
      <c r="AC109" s="70">
        <f t="shared" si="89"/>
        <v>0</v>
      </c>
      <c r="AD109" s="71">
        <f t="shared" si="90"/>
        <v>0</v>
      </c>
      <c r="AE109" s="72">
        <f t="shared" si="105"/>
        <v>0</v>
      </c>
      <c r="AF109" s="134">
        <f t="shared" si="106"/>
        <v>0</v>
      </c>
      <c r="AG109" s="78">
        <f t="shared" si="73"/>
        <v>0</v>
      </c>
      <c r="AH109" s="79">
        <v>0</v>
      </c>
      <c r="AI109" s="80">
        <v>0</v>
      </c>
      <c r="AJ109" s="81">
        <v>0</v>
      </c>
      <c r="AK109" s="70">
        <f t="shared" si="91"/>
        <v>0</v>
      </c>
      <c r="AL109" s="71">
        <f t="shared" si="92"/>
        <v>0</v>
      </c>
      <c r="AM109" s="72">
        <f t="shared" si="110"/>
        <v>0</v>
      </c>
      <c r="AN109" s="134">
        <f t="shared" si="107"/>
        <v>0</v>
      </c>
      <c r="AO109" s="78">
        <f t="shared" si="74"/>
        <v>0</v>
      </c>
      <c r="AP109" s="79">
        <v>0</v>
      </c>
      <c r="AQ109" s="80">
        <v>0</v>
      </c>
      <c r="AR109" s="81">
        <v>0</v>
      </c>
      <c r="AS109" s="70">
        <f t="shared" si="93"/>
        <v>0</v>
      </c>
      <c r="AT109" s="71">
        <f t="shared" ref="AT109:AT115" si="118">AL109+AP109</f>
        <v>0</v>
      </c>
      <c r="AU109" s="72">
        <f t="shared" si="111"/>
        <v>0</v>
      </c>
      <c r="AV109" s="134">
        <f t="shared" si="108"/>
        <v>0</v>
      </c>
      <c r="AW109" s="78">
        <f t="shared" si="75"/>
        <v>0</v>
      </c>
      <c r="AX109" s="79">
        <v>0</v>
      </c>
      <c r="AY109" s="80">
        <v>0</v>
      </c>
      <c r="AZ109" s="81">
        <v>0</v>
      </c>
      <c r="BA109" s="70">
        <f t="shared" si="95"/>
        <v>0</v>
      </c>
      <c r="BB109" s="71">
        <f t="shared" ref="BB109:BB115" si="119">AT109+AX109</f>
        <v>0</v>
      </c>
      <c r="BC109" s="72">
        <f t="shared" si="112"/>
        <v>0</v>
      </c>
      <c r="BD109" s="134">
        <f t="shared" si="109"/>
        <v>0</v>
      </c>
      <c r="BE109" s="78">
        <f t="shared" si="76"/>
        <v>0</v>
      </c>
      <c r="BF109" s="79">
        <v>0</v>
      </c>
      <c r="BG109" s="80">
        <v>0</v>
      </c>
      <c r="BH109" s="81">
        <v>0</v>
      </c>
      <c r="BI109" s="70">
        <f t="shared" si="97"/>
        <v>0</v>
      </c>
      <c r="BJ109" s="71">
        <f t="shared" ref="BJ109:BJ115" si="120">BB109+BF109</f>
        <v>0</v>
      </c>
      <c r="BK109" s="72">
        <f t="shared" si="117"/>
        <v>0</v>
      </c>
      <c r="BL109" s="134">
        <f t="shared" si="82"/>
        <v>0</v>
      </c>
    </row>
    <row r="110" spans="1:64" ht="12.9" x14ac:dyDescent="0.35">
      <c r="A110" s="25" t="s">
        <v>22</v>
      </c>
      <c r="B110" s="26" t="s">
        <v>34</v>
      </c>
      <c r="C110" s="27" t="s">
        <v>62</v>
      </c>
      <c r="D110" s="40" t="s">
        <v>125</v>
      </c>
      <c r="E110" s="78">
        <f t="shared" si="69"/>
        <v>0.4</v>
      </c>
      <c r="F110" s="79">
        <v>0.4</v>
      </c>
      <c r="G110" s="80"/>
      <c r="H110" s="81"/>
      <c r="I110" s="78">
        <f t="shared" si="70"/>
        <v>0</v>
      </c>
      <c r="J110" s="79"/>
      <c r="K110" s="80"/>
      <c r="L110" s="81"/>
      <c r="M110" s="70">
        <f t="shared" si="99"/>
        <v>0.4</v>
      </c>
      <c r="N110" s="71">
        <f t="shared" si="100"/>
        <v>0.4</v>
      </c>
      <c r="O110" s="72">
        <f t="shared" si="101"/>
        <v>0</v>
      </c>
      <c r="P110" s="134">
        <f t="shared" si="102"/>
        <v>0</v>
      </c>
      <c r="Q110" s="78">
        <f t="shared" si="71"/>
        <v>0</v>
      </c>
      <c r="R110" s="79"/>
      <c r="S110" s="80"/>
      <c r="T110" s="81"/>
      <c r="U110" s="70">
        <f t="shared" si="87"/>
        <v>0.4</v>
      </c>
      <c r="V110" s="71">
        <f t="shared" si="88"/>
        <v>0.4</v>
      </c>
      <c r="W110" s="72">
        <f t="shared" si="103"/>
        <v>0</v>
      </c>
      <c r="X110" s="134">
        <f t="shared" si="104"/>
        <v>0</v>
      </c>
      <c r="Y110" s="78">
        <f t="shared" si="72"/>
        <v>0</v>
      </c>
      <c r="Z110" s="79"/>
      <c r="AA110" s="80"/>
      <c r="AB110" s="81"/>
      <c r="AC110" s="70">
        <f t="shared" si="89"/>
        <v>0.4</v>
      </c>
      <c r="AD110" s="71">
        <f t="shared" si="90"/>
        <v>0.4</v>
      </c>
      <c r="AE110" s="72">
        <f t="shared" si="105"/>
        <v>0</v>
      </c>
      <c r="AF110" s="134">
        <f t="shared" si="106"/>
        <v>0</v>
      </c>
      <c r="AG110" s="78">
        <f t="shared" si="73"/>
        <v>0</v>
      </c>
      <c r="AH110" s="79"/>
      <c r="AI110" s="80"/>
      <c r="AJ110" s="81"/>
      <c r="AK110" s="70">
        <f t="shared" si="91"/>
        <v>0.4</v>
      </c>
      <c r="AL110" s="71">
        <f t="shared" si="92"/>
        <v>0.4</v>
      </c>
      <c r="AM110" s="72">
        <f t="shared" si="110"/>
        <v>0</v>
      </c>
      <c r="AN110" s="134">
        <f t="shared" si="107"/>
        <v>0</v>
      </c>
      <c r="AO110" s="78">
        <f t="shared" si="74"/>
        <v>0</v>
      </c>
      <c r="AP110" s="79"/>
      <c r="AQ110" s="80"/>
      <c r="AR110" s="81"/>
      <c r="AS110" s="70">
        <f t="shared" si="93"/>
        <v>0.4</v>
      </c>
      <c r="AT110" s="71">
        <f t="shared" si="118"/>
        <v>0.4</v>
      </c>
      <c r="AU110" s="72">
        <f t="shared" si="111"/>
        <v>0</v>
      </c>
      <c r="AV110" s="134">
        <f t="shared" si="108"/>
        <v>0</v>
      </c>
      <c r="AW110" s="78">
        <f t="shared" si="75"/>
        <v>0.5</v>
      </c>
      <c r="AX110" s="79">
        <v>0.5</v>
      </c>
      <c r="AY110" s="80"/>
      <c r="AZ110" s="81"/>
      <c r="BA110" s="70">
        <f t="shared" si="95"/>
        <v>0.9</v>
      </c>
      <c r="BB110" s="71">
        <f t="shared" si="119"/>
        <v>0.9</v>
      </c>
      <c r="BC110" s="72">
        <f t="shared" si="112"/>
        <v>0</v>
      </c>
      <c r="BD110" s="134">
        <f t="shared" si="109"/>
        <v>0</v>
      </c>
      <c r="BE110" s="78">
        <f t="shared" si="76"/>
        <v>0</v>
      </c>
      <c r="BF110" s="79"/>
      <c r="BG110" s="80"/>
      <c r="BH110" s="81"/>
      <c r="BI110" s="70">
        <f t="shared" si="97"/>
        <v>0.9</v>
      </c>
      <c r="BJ110" s="71">
        <f t="shared" si="120"/>
        <v>0.9</v>
      </c>
      <c r="BK110" s="72">
        <f t="shared" si="117"/>
        <v>0</v>
      </c>
      <c r="BL110" s="134">
        <f t="shared" si="82"/>
        <v>0</v>
      </c>
    </row>
    <row r="111" spans="1:64" ht="12.9" x14ac:dyDescent="0.35">
      <c r="A111" s="231" t="s">
        <v>25</v>
      </c>
      <c r="B111" s="233" t="s">
        <v>41</v>
      </c>
      <c r="C111" s="27" t="s">
        <v>63</v>
      </c>
      <c r="D111" s="25" t="s">
        <v>125</v>
      </c>
      <c r="E111" s="78">
        <f t="shared" si="69"/>
        <v>241.38200000000001</v>
      </c>
      <c r="F111" s="79">
        <f>220.34+17.782</f>
        <v>238.12200000000001</v>
      </c>
      <c r="G111" s="80">
        <f>178.68-0.8</f>
        <v>177.88</v>
      </c>
      <c r="H111" s="81">
        <v>3.26</v>
      </c>
      <c r="I111" s="78">
        <f t="shared" si="70"/>
        <v>0</v>
      </c>
      <c r="J111" s="79"/>
      <c r="K111" s="80"/>
      <c r="L111" s="81"/>
      <c r="M111" s="70">
        <f t="shared" si="99"/>
        <v>241.38200000000001</v>
      </c>
      <c r="N111" s="71">
        <f t="shared" si="100"/>
        <v>238.12200000000001</v>
      </c>
      <c r="O111" s="72">
        <f t="shared" si="101"/>
        <v>177.88</v>
      </c>
      <c r="P111" s="134">
        <f t="shared" si="102"/>
        <v>3.26</v>
      </c>
      <c r="Q111" s="78">
        <f t="shared" si="71"/>
        <v>0</v>
      </c>
      <c r="R111" s="79"/>
      <c r="S111" s="80"/>
      <c r="T111" s="81"/>
      <c r="U111" s="70">
        <f t="shared" si="87"/>
        <v>241.38200000000001</v>
      </c>
      <c r="V111" s="71">
        <f t="shared" si="88"/>
        <v>238.12200000000001</v>
      </c>
      <c r="W111" s="72">
        <f t="shared" si="103"/>
        <v>177.88</v>
      </c>
      <c r="X111" s="134">
        <f t="shared" si="104"/>
        <v>3.26</v>
      </c>
      <c r="Y111" s="78">
        <f t="shared" si="72"/>
        <v>0</v>
      </c>
      <c r="Z111" s="79"/>
      <c r="AA111" s="80"/>
      <c r="AB111" s="81"/>
      <c r="AC111" s="70">
        <f t="shared" si="89"/>
        <v>241.38200000000001</v>
      </c>
      <c r="AD111" s="71">
        <f t="shared" si="90"/>
        <v>238.12200000000001</v>
      </c>
      <c r="AE111" s="72">
        <f t="shared" si="105"/>
        <v>177.88</v>
      </c>
      <c r="AF111" s="134">
        <f t="shared" si="106"/>
        <v>3.26</v>
      </c>
      <c r="AG111" s="78">
        <f t="shared" si="73"/>
        <v>0</v>
      </c>
      <c r="AH111" s="79"/>
      <c r="AI111" s="80"/>
      <c r="AJ111" s="81"/>
      <c r="AK111" s="70">
        <f t="shared" si="91"/>
        <v>241.38200000000001</v>
      </c>
      <c r="AL111" s="71">
        <f t="shared" si="92"/>
        <v>238.12200000000001</v>
      </c>
      <c r="AM111" s="72">
        <f t="shared" si="110"/>
        <v>177.88</v>
      </c>
      <c r="AN111" s="134">
        <f t="shared" si="107"/>
        <v>3.26</v>
      </c>
      <c r="AO111" s="78">
        <f t="shared" si="74"/>
        <v>0</v>
      </c>
      <c r="AP111" s="79"/>
      <c r="AQ111" s="80"/>
      <c r="AR111" s="81"/>
      <c r="AS111" s="70">
        <f t="shared" si="93"/>
        <v>241.38200000000001</v>
      </c>
      <c r="AT111" s="71">
        <f t="shared" si="118"/>
        <v>238.12200000000001</v>
      </c>
      <c r="AU111" s="72">
        <f t="shared" si="111"/>
        <v>177.88</v>
      </c>
      <c r="AV111" s="134">
        <f t="shared" si="108"/>
        <v>3.26</v>
      </c>
      <c r="AW111" s="78">
        <f t="shared" si="75"/>
        <v>-2.4299999999999997</v>
      </c>
      <c r="AX111" s="79">
        <f>1.37-3.8</f>
        <v>-2.4299999999999997</v>
      </c>
      <c r="AY111" s="80">
        <v>-1.03</v>
      </c>
      <c r="AZ111" s="81"/>
      <c r="BA111" s="70">
        <f t="shared" si="95"/>
        <v>238.952</v>
      </c>
      <c r="BB111" s="71">
        <f t="shared" si="119"/>
        <v>235.69200000000001</v>
      </c>
      <c r="BC111" s="72">
        <f t="shared" si="112"/>
        <v>176.85</v>
      </c>
      <c r="BD111" s="134">
        <f t="shared" si="109"/>
        <v>3.26</v>
      </c>
      <c r="BE111" s="78">
        <f t="shared" si="76"/>
        <v>0</v>
      </c>
      <c r="BF111" s="79">
        <v>-2.2000000000000002</v>
      </c>
      <c r="BG111" s="80">
        <v>-4.6639999999999997</v>
      </c>
      <c r="BH111" s="81">
        <v>2.2000000000000002</v>
      </c>
      <c r="BI111" s="70">
        <f t="shared" si="97"/>
        <v>238.95200000000003</v>
      </c>
      <c r="BJ111" s="71">
        <f t="shared" si="120"/>
        <v>233.49200000000002</v>
      </c>
      <c r="BK111" s="72">
        <f t="shared" si="117"/>
        <v>172.18600000000001</v>
      </c>
      <c r="BL111" s="134">
        <f t="shared" si="82"/>
        <v>5.46</v>
      </c>
    </row>
    <row r="112" spans="1:64" ht="12.9" x14ac:dyDescent="0.35">
      <c r="A112" s="241"/>
      <c r="B112" s="242"/>
      <c r="C112" s="27" t="s">
        <v>64</v>
      </c>
      <c r="D112" s="25" t="s">
        <v>49</v>
      </c>
      <c r="E112" s="78">
        <f t="shared" si="69"/>
        <v>533.18499999999995</v>
      </c>
      <c r="F112" s="79">
        <v>533.18499999999995</v>
      </c>
      <c r="G112" s="80">
        <f>514.54-2</f>
        <v>512.54</v>
      </c>
      <c r="H112" s="81"/>
      <c r="I112" s="78">
        <f t="shared" si="70"/>
        <v>0</v>
      </c>
      <c r="J112" s="79"/>
      <c r="K112" s="80"/>
      <c r="L112" s="81"/>
      <c r="M112" s="70">
        <f t="shared" si="99"/>
        <v>533.18499999999995</v>
      </c>
      <c r="N112" s="71">
        <f t="shared" si="100"/>
        <v>533.18499999999995</v>
      </c>
      <c r="O112" s="72">
        <f t="shared" si="101"/>
        <v>512.54</v>
      </c>
      <c r="P112" s="134">
        <f t="shared" si="102"/>
        <v>0</v>
      </c>
      <c r="Q112" s="78">
        <f t="shared" si="71"/>
        <v>0</v>
      </c>
      <c r="R112" s="79"/>
      <c r="S112" s="80"/>
      <c r="T112" s="81"/>
      <c r="U112" s="70">
        <f t="shared" si="87"/>
        <v>533.18499999999995</v>
      </c>
      <c r="V112" s="71">
        <f t="shared" si="88"/>
        <v>533.18499999999995</v>
      </c>
      <c r="W112" s="72">
        <f t="shared" si="103"/>
        <v>512.54</v>
      </c>
      <c r="X112" s="134">
        <f t="shared" si="104"/>
        <v>0</v>
      </c>
      <c r="Y112" s="78">
        <f t="shared" si="72"/>
        <v>0</v>
      </c>
      <c r="Z112" s="79"/>
      <c r="AA112" s="80"/>
      <c r="AB112" s="81"/>
      <c r="AC112" s="70">
        <f t="shared" si="89"/>
        <v>533.18499999999995</v>
      </c>
      <c r="AD112" s="71">
        <f t="shared" si="90"/>
        <v>533.18499999999995</v>
      </c>
      <c r="AE112" s="72">
        <f t="shared" si="105"/>
        <v>512.54</v>
      </c>
      <c r="AF112" s="134">
        <f t="shared" si="106"/>
        <v>0</v>
      </c>
      <c r="AG112" s="78">
        <f t="shared" si="73"/>
        <v>0.19900000000000001</v>
      </c>
      <c r="AH112" s="79">
        <v>0.19900000000000001</v>
      </c>
      <c r="AI112" s="80">
        <v>0.19600000000000001</v>
      </c>
      <c r="AJ112" s="81"/>
      <c r="AK112" s="70">
        <f t="shared" si="91"/>
        <v>533.3839999999999</v>
      </c>
      <c r="AL112" s="71">
        <f t="shared" si="92"/>
        <v>533.3839999999999</v>
      </c>
      <c r="AM112" s="72">
        <f t="shared" si="110"/>
        <v>512.73599999999999</v>
      </c>
      <c r="AN112" s="134">
        <f t="shared" si="107"/>
        <v>0</v>
      </c>
      <c r="AO112" s="78">
        <f t="shared" si="74"/>
        <v>0</v>
      </c>
      <c r="AP112" s="79"/>
      <c r="AQ112" s="80">
        <v>-4.4829999999999997</v>
      </c>
      <c r="AR112" s="81"/>
      <c r="AS112" s="70">
        <f t="shared" si="93"/>
        <v>533.3839999999999</v>
      </c>
      <c r="AT112" s="71">
        <f t="shared" si="118"/>
        <v>533.3839999999999</v>
      </c>
      <c r="AU112" s="72">
        <f t="shared" si="111"/>
        <v>508.25299999999999</v>
      </c>
      <c r="AV112" s="134">
        <f t="shared" si="108"/>
        <v>0</v>
      </c>
      <c r="AW112" s="78">
        <f t="shared" si="75"/>
        <v>22.53</v>
      </c>
      <c r="AX112" s="79">
        <v>22.53</v>
      </c>
      <c r="AY112" s="80">
        <v>21.92</v>
      </c>
      <c r="AZ112" s="81"/>
      <c r="BA112" s="70">
        <f t="shared" si="95"/>
        <v>555.91399999999987</v>
      </c>
      <c r="BB112" s="71">
        <f t="shared" si="119"/>
        <v>555.91399999999987</v>
      </c>
      <c r="BC112" s="72">
        <f t="shared" si="112"/>
        <v>530.173</v>
      </c>
      <c r="BD112" s="134">
        <f t="shared" si="109"/>
        <v>0</v>
      </c>
      <c r="BE112" s="78">
        <f t="shared" si="76"/>
        <v>0.24099999999999988</v>
      </c>
      <c r="BF112" s="79">
        <v>-1.556</v>
      </c>
      <c r="BG112" s="80">
        <v>-12.538</v>
      </c>
      <c r="BH112" s="81">
        <v>1.7969999999999999</v>
      </c>
      <c r="BI112" s="70">
        <f t="shared" si="97"/>
        <v>556.15499999999986</v>
      </c>
      <c r="BJ112" s="71">
        <f t="shared" si="120"/>
        <v>554.35799999999983</v>
      </c>
      <c r="BK112" s="72">
        <f t="shared" si="117"/>
        <v>517.63499999999999</v>
      </c>
      <c r="BL112" s="134">
        <f t="shared" si="82"/>
        <v>1.7969999999999999</v>
      </c>
    </row>
    <row r="113" spans="1:64" ht="12.9" x14ac:dyDescent="0.35">
      <c r="A113" s="241"/>
      <c r="B113" s="242"/>
      <c r="C113" s="27" t="s">
        <v>65</v>
      </c>
      <c r="D113" s="25" t="s">
        <v>137</v>
      </c>
      <c r="E113" s="78">
        <f t="shared" si="69"/>
        <v>8.84</v>
      </c>
      <c r="F113" s="79">
        <f>4.8+1.04</f>
        <v>5.84</v>
      </c>
      <c r="G113" s="80">
        <v>1.0249999999999999</v>
      </c>
      <c r="H113" s="81">
        <v>3</v>
      </c>
      <c r="I113" s="78">
        <f t="shared" si="70"/>
        <v>0</v>
      </c>
      <c r="J113" s="79"/>
      <c r="K113" s="80"/>
      <c r="L113" s="81"/>
      <c r="M113" s="70">
        <f t="shared" si="99"/>
        <v>8.84</v>
      </c>
      <c r="N113" s="71">
        <f t="shared" si="100"/>
        <v>5.84</v>
      </c>
      <c r="O113" s="72">
        <f t="shared" si="101"/>
        <v>1.0249999999999999</v>
      </c>
      <c r="P113" s="134">
        <f t="shared" si="102"/>
        <v>3</v>
      </c>
      <c r="Q113" s="78">
        <f t="shared" si="71"/>
        <v>-1.04</v>
      </c>
      <c r="R113" s="79">
        <v>-1.04</v>
      </c>
      <c r="S113" s="80">
        <v>-1.0249999999999999</v>
      </c>
      <c r="T113" s="81"/>
      <c r="U113" s="70">
        <f t="shared" si="87"/>
        <v>7.8</v>
      </c>
      <c r="V113" s="71">
        <f t="shared" si="88"/>
        <v>4.8</v>
      </c>
      <c r="W113" s="72">
        <f t="shared" si="103"/>
        <v>0</v>
      </c>
      <c r="X113" s="134">
        <f t="shared" si="104"/>
        <v>3</v>
      </c>
      <c r="Y113" s="78">
        <f t="shared" si="72"/>
        <v>1.536</v>
      </c>
      <c r="Z113" s="79">
        <f>0.26+1.276</f>
        <v>1.536</v>
      </c>
      <c r="AA113" s="80">
        <v>1.2490000000000001</v>
      </c>
      <c r="AB113" s="81"/>
      <c r="AC113" s="70">
        <f t="shared" si="89"/>
        <v>9.3360000000000003</v>
      </c>
      <c r="AD113" s="71">
        <f t="shared" si="90"/>
        <v>6.3360000000000003</v>
      </c>
      <c r="AE113" s="72">
        <f t="shared" si="105"/>
        <v>1.2490000000000001</v>
      </c>
      <c r="AF113" s="134">
        <f t="shared" si="106"/>
        <v>3</v>
      </c>
      <c r="AG113" s="78">
        <f t="shared" si="73"/>
        <v>1.835</v>
      </c>
      <c r="AH113" s="79">
        <v>1.835</v>
      </c>
      <c r="AI113" s="80"/>
      <c r="AJ113" s="81"/>
      <c r="AK113" s="70">
        <f t="shared" si="91"/>
        <v>11.170999999999999</v>
      </c>
      <c r="AL113" s="71">
        <f t="shared" si="92"/>
        <v>8.1709999999999994</v>
      </c>
      <c r="AM113" s="72">
        <f t="shared" si="110"/>
        <v>1.2490000000000001</v>
      </c>
      <c r="AN113" s="134">
        <f t="shared" si="107"/>
        <v>3</v>
      </c>
      <c r="AO113" s="78">
        <f t="shared" si="74"/>
        <v>0</v>
      </c>
      <c r="AP113" s="79"/>
      <c r="AQ113" s="80"/>
      <c r="AR113" s="81"/>
      <c r="AS113" s="70">
        <f t="shared" si="93"/>
        <v>11.170999999999999</v>
      </c>
      <c r="AT113" s="71">
        <f t="shared" si="118"/>
        <v>8.1709999999999994</v>
      </c>
      <c r="AU113" s="72">
        <f t="shared" si="111"/>
        <v>1.2490000000000001</v>
      </c>
      <c r="AV113" s="134">
        <f t="shared" si="108"/>
        <v>3</v>
      </c>
      <c r="AW113" s="78">
        <f t="shared" si="75"/>
        <v>4.415</v>
      </c>
      <c r="AX113" s="79">
        <f>0.2+4.215</f>
        <v>4.415</v>
      </c>
      <c r="AY113" s="80">
        <v>4.1550000000000002</v>
      </c>
      <c r="AZ113" s="81"/>
      <c r="BA113" s="70">
        <f t="shared" si="95"/>
        <v>15.585999999999999</v>
      </c>
      <c r="BB113" s="71">
        <f t="shared" si="119"/>
        <v>12.585999999999999</v>
      </c>
      <c r="BC113" s="72">
        <f t="shared" si="112"/>
        <v>5.4039999999999999</v>
      </c>
      <c r="BD113" s="134">
        <f t="shared" si="109"/>
        <v>3</v>
      </c>
      <c r="BE113" s="78">
        <f t="shared" si="76"/>
        <v>0</v>
      </c>
      <c r="BF113" s="79">
        <v>-0.374</v>
      </c>
      <c r="BG113" s="80"/>
      <c r="BH113" s="81">
        <v>0.374</v>
      </c>
      <c r="BI113" s="70">
        <f t="shared" si="97"/>
        <v>15.585999999999999</v>
      </c>
      <c r="BJ113" s="71">
        <f t="shared" si="120"/>
        <v>12.211999999999998</v>
      </c>
      <c r="BK113" s="72">
        <f t="shared" si="117"/>
        <v>5.4039999999999999</v>
      </c>
      <c r="BL113" s="134">
        <f t="shared" si="82"/>
        <v>3.3740000000000001</v>
      </c>
    </row>
    <row r="114" spans="1:64" ht="12.9" hidden="1" x14ac:dyDescent="0.35">
      <c r="A114" s="232"/>
      <c r="B114" s="234"/>
      <c r="C114" s="27" t="s">
        <v>65</v>
      </c>
      <c r="D114" s="25" t="s">
        <v>187</v>
      </c>
      <c r="E114" s="78">
        <f t="shared" si="69"/>
        <v>0</v>
      </c>
      <c r="F114" s="79"/>
      <c r="G114" s="80"/>
      <c r="H114" s="81"/>
      <c r="I114" s="78">
        <f t="shared" si="70"/>
        <v>0</v>
      </c>
      <c r="J114" s="79"/>
      <c r="K114" s="80"/>
      <c r="L114" s="81"/>
      <c r="M114" s="70">
        <f t="shared" si="99"/>
        <v>0</v>
      </c>
      <c r="N114" s="71">
        <f t="shared" si="100"/>
        <v>0</v>
      </c>
      <c r="O114" s="72">
        <f t="shared" si="101"/>
        <v>0</v>
      </c>
      <c r="P114" s="134">
        <f t="shared" si="102"/>
        <v>0</v>
      </c>
      <c r="Q114" s="78">
        <f t="shared" si="71"/>
        <v>0</v>
      </c>
      <c r="R114" s="79"/>
      <c r="S114" s="80"/>
      <c r="T114" s="81"/>
      <c r="U114" s="70">
        <f t="shared" si="87"/>
        <v>0</v>
      </c>
      <c r="V114" s="71">
        <f t="shared" si="88"/>
        <v>0</v>
      </c>
      <c r="W114" s="72">
        <f t="shared" si="103"/>
        <v>0</v>
      </c>
      <c r="X114" s="134">
        <f t="shared" si="104"/>
        <v>0</v>
      </c>
      <c r="Y114" s="78">
        <f t="shared" si="72"/>
        <v>0</v>
      </c>
      <c r="Z114" s="79"/>
      <c r="AA114" s="80"/>
      <c r="AB114" s="81"/>
      <c r="AC114" s="70">
        <f t="shared" si="89"/>
        <v>0</v>
      </c>
      <c r="AD114" s="71">
        <f t="shared" si="90"/>
        <v>0</v>
      </c>
      <c r="AE114" s="72">
        <f t="shared" si="105"/>
        <v>0</v>
      </c>
      <c r="AF114" s="134">
        <f t="shared" si="106"/>
        <v>0</v>
      </c>
      <c r="AG114" s="78">
        <f t="shared" si="73"/>
        <v>0</v>
      </c>
      <c r="AH114" s="79"/>
      <c r="AI114" s="80"/>
      <c r="AJ114" s="81"/>
      <c r="AK114" s="70">
        <f t="shared" si="91"/>
        <v>0</v>
      </c>
      <c r="AL114" s="71">
        <f t="shared" si="92"/>
        <v>0</v>
      </c>
      <c r="AM114" s="72">
        <f t="shared" si="110"/>
        <v>0</v>
      </c>
      <c r="AN114" s="134">
        <f t="shared" si="107"/>
        <v>0</v>
      </c>
      <c r="AO114" s="78">
        <f t="shared" si="74"/>
        <v>0</v>
      </c>
      <c r="AP114" s="79"/>
      <c r="AQ114" s="80"/>
      <c r="AR114" s="81"/>
      <c r="AS114" s="70">
        <f t="shared" si="93"/>
        <v>0</v>
      </c>
      <c r="AT114" s="71">
        <f t="shared" si="118"/>
        <v>0</v>
      </c>
      <c r="AU114" s="72">
        <f t="shared" si="111"/>
        <v>0</v>
      </c>
      <c r="AV114" s="134">
        <f t="shared" si="108"/>
        <v>0</v>
      </c>
      <c r="AW114" s="78">
        <f t="shared" si="75"/>
        <v>0</v>
      </c>
      <c r="AX114" s="79"/>
      <c r="AY114" s="80"/>
      <c r="AZ114" s="81"/>
      <c r="BA114" s="70">
        <f t="shared" si="95"/>
        <v>0</v>
      </c>
      <c r="BB114" s="71">
        <f t="shared" si="119"/>
        <v>0</v>
      </c>
      <c r="BC114" s="72">
        <f t="shared" si="112"/>
        <v>0</v>
      </c>
      <c r="BD114" s="134">
        <f t="shared" si="109"/>
        <v>0</v>
      </c>
      <c r="BE114" s="78">
        <f t="shared" si="76"/>
        <v>0</v>
      </c>
      <c r="BF114" s="79"/>
      <c r="BG114" s="80"/>
      <c r="BH114" s="81"/>
      <c r="BI114" s="70">
        <f t="shared" si="97"/>
        <v>0</v>
      </c>
      <c r="BJ114" s="71">
        <f t="shared" si="120"/>
        <v>0</v>
      </c>
      <c r="BK114" s="72">
        <f t="shared" si="117"/>
        <v>0</v>
      </c>
      <c r="BL114" s="134">
        <f t="shared" si="82"/>
        <v>0</v>
      </c>
    </row>
    <row r="115" spans="1:64" ht="12.9" x14ac:dyDescent="0.35">
      <c r="A115" s="45" t="s">
        <v>23</v>
      </c>
      <c r="B115" s="46" t="s">
        <v>44</v>
      </c>
      <c r="C115" s="27" t="s">
        <v>161</v>
      </c>
      <c r="D115" s="25" t="s">
        <v>38</v>
      </c>
      <c r="E115" s="78">
        <f t="shared" si="69"/>
        <v>25.8</v>
      </c>
      <c r="F115" s="79">
        <v>25.8</v>
      </c>
      <c r="G115" s="80"/>
      <c r="H115" s="81"/>
      <c r="I115" s="78">
        <f t="shared" si="70"/>
        <v>0</v>
      </c>
      <c r="J115" s="79"/>
      <c r="K115" s="80"/>
      <c r="L115" s="81"/>
      <c r="M115" s="70">
        <f t="shared" si="99"/>
        <v>25.8</v>
      </c>
      <c r="N115" s="71">
        <f t="shared" si="100"/>
        <v>25.8</v>
      </c>
      <c r="O115" s="72">
        <f t="shared" si="101"/>
        <v>0</v>
      </c>
      <c r="P115" s="134">
        <f t="shared" si="102"/>
        <v>0</v>
      </c>
      <c r="Q115" s="78">
        <f t="shared" si="71"/>
        <v>0</v>
      </c>
      <c r="R115" s="79"/>
      <c r="S115" s="80"/>
      <c r="T115" s="81"/>
      <c r="U115" s="70">
        <f t="shared" si="87"/>
        <v>25.8</v>
      </c>
      <c r="V115" s="71">
        <f t="shared" si="88"/>
        <v>25.8</v>
      </c>
      <c r="W115" s="72">
        <f t="shared" si="103"/>
        <v>0</v>
      </c>
      <c r="X115" s="134">
        <f t="shared" si="104"/>
        <v>0</v>
      </c>
      <c r="Y115" s="78">
        <f t="shared" si="72"/>
        <v>0</v>
      </c>
      <c r="Z115" s="79"/>
      <c r="AA115" s="80"/>
      <c r="AB115" s="81"/>
      <c r="AC115" s="70">
        <f t="shared" si="89"/>
        <v>25.8</v>
      </c>
      <c r="AD115" s="71">
        <f t="shared" si="90"/>
        <v>25.8</v>
      </c>
      <c r="AE115" s="72">
        <f t="shared" si="105"/>
        <v>0</v>
      </c>
      <c r="AF115" s="134">
        <f t="shared" si="106"/>
        <v>0</v>
      </c>
      <c r="AG115" s="78">
        <f t="shared" si="73"/>
        <v>0</v>
      </c>
      <c r="AH115" s="79"/>
      <c r="AI115" s="80"/>
      <c r="AJ115" s="81"/>
      <c r="AK115" s="70">
        <f t="shared" si="91"/>
        <v>25.8</v>
      </c>
      <c r="AL115" s="71">
        <f t="shared" si="92"/>
        <v>25.8</v>
      </c>
      <c r="AM115" s="72">
        <f t="shared" si="110"/>
        <v>0</v>
      </c>
      <c r="AN115" s="134">
        <f t="shared" si="107"/>
        <v>0</v>
      </c>
      <c r="AO115" s="78">
        <f t="shared" si="74"/>
        <v>0</v>
      </c>
      <c r="AP115" s="79"/>
      <c r="AQ115" s="80"/>
      <c r="AR115" s="81"/>
      <c r="AS115" s="70">
        <f t="shared" si="93"/>
        <v>25.8</v>
      </c>
      <c r="AT115" s="71">
        <f t="shared" si="118"/>
        <v>25.8</v>
      </c>
      <c r="AU115" s="72">
        <f t="shared" si="111"/>
        <v>0</v>
      </c>
      <c r="AV115" s="134">
        <f t="shared" si="108"/>
        <v>0</v>
      </c>
      <c r="AW115" s="78">
        <f t="shared" si="75"/>
        <v>2.06</v>
      </c>
      <c r="AX115" s="79">
        <v>2.06</v>
      </c>
      <c r="AY115" s="80"/>
      <c r="AZ115" s="81"/>
      <c r="BA115" s="70">
        <f t="shared" si="95"/>
        <v>27.86</v>
      </c>
      <c r="BB115" s="71">
        <f t="shared" si="119"/>
        <v>27.86</v>
      </c>
      <c r="BC115" s="72">
        <f t="shared" si="112"/>
        <v>0</v>
      </c>
      <c r="BD115" s="134">
        <f t="shared" si="109"/>
        <v>0</v>
      </c>
      <c r="BE115" s="78">
        <f t="shared" si="76"/>
        <v>0</v>
      </c>
      <c r="BF115" s="79"/>
      <c r="BG115" s="80"/>
      <c r="BH115" s="81"/>
      <c r="BI115" s="70">
        <f t="shared" si="97"/>
        <v>27.86</v>
      </c>
      <c r="BJ115" s="71">
        <f t="shared" si="120"/>
        <v>27.86</v>
      </c>
      <c r="BK115" s="72">
        <f t="shared" si="117"/>
        <v>0</v>
      </c>
      <c r="BL115" s="134">
        <f t="shared" si="82"/>
        <v>0</v>
      </c>
    </row>
    <row r="116" spans="1:64" ht="12.9" x14ac:dyDescent="0.35">
      <c r="A116" s="283" t="s">
        <v>33</v>
      </c>
      <c r="B116" s="233" t="s">
        <v>45</v>
      </c>
      <c r="C116" s="27" t="s">
        <v>222</v>
      </c>
      <c r="D116" s="25" t="s">
        <v>125</v>
      </c>
      <c r="E116" s="78">
        <f t="shared" si="69"/>
        <v>0.5</v>
      </c>
      <c r="F116" s="79">
        <v>0.5</v>
      </c>
      <c r="G116" s="80"/>
      <c r="H116" s="81"/>
      <c r="I116" s="78">
        <f t="shared" si="70"/>
        <v>0</v>
      </c>
      <c r="J116" s="79"/>
      <c r="K116" s="80"/>
      <c r="L116" s="81"/>
      <c r="M116" s="70">
        <f t="shared" si="99"/>
        <v>0.5</v>
      </c>
      <c r="N116" s="71">
        <f t="shared" si="100"/>
        <v>0.5</v>
      </c>
      <c r="O116" s="72">
        <f t="shared" si="101"/>
        <v>0</v>
      </c>
      <c r="P116" s="134">
        <f t="shared" si="102"/>
        <v>0</v>
      </c>
      <c r="Q116" s="78">
        <f t="shared" si="71"/>
        <v>0</v>
      </c>
      <c r="R116" s="79"/>
      <c r="S116" s="80"/>
      <c r="T116" s="81"/>
      <c r="U116" s="70">
        <f t="shared" si="87"/>
        <v>0.5</v>
      </c>
      <c r="V116" s="71">
        <f t="shared" si="88"/>
        <v>0.5</v>
      </c>
      <c r="W116" s="72">
        <f t="shared" si="103"/>
        <v>0</v>
      </c>
      <c r="X116" s="134">
        <f t="shared" si="104"/>
        <v>0</v>
      </c>
      <c r="Y116" s="78">
        <f t="shared" si="72"/>
        <v>0</v>
      </c>
      <c r="Z116" s="79"/>
      <c r="AA116" s="80"/>
      <c r="AB116" s="81"/>
      <c r="AC116" s="70">
        <f t="shared" si="89"/>
        <v>0.5</v>
      </c>
      <c r="AD116" s="71">
        <f t="shared" si="90"/>
        <v>0.5</v>
      </c>
      <c r="AE116" s="72">
        <f t="shared" si="105"/>
        <v>0</v>
      </c>
      <c r="AF116" s="134">
        <f t="shared" si="106"/>
        <v>0</v>
      </c>
      <c r="AG116" s="78">
        <f>SUM(AJ116,AH116)</f>
        <v>0</v>
      </c>
      <c r="AH116" s="79"/>
      <c r="AI116" s="80"/>
      <c r="AJ116" s="81"/>
      <c r="AK116" s="70">
        <f t="shared" si="91"/>
        <v>0.5</v>
      </c>
      <c r="AL116" s="71">
        <f>AD116+AH116</f>
        <v>0.5</v>
      </c>
      <c r="AM116" s="72">
        <f t="shared" si="110"/>
        <v>0</v>
      </c>
      <c r="AN116" s="134">
        <f t="shared" si="107"/>
        <v>0</v>
      </c>
      <c r="AO116" s="78">
        <f>SUM(AR116,AP116)</f>
        <v>0</v>
      </c>
      <c r="AP116" s="79"/>
      <c r="AQ116" s="80"/>
      <c r="AR116" s="81"/>
      <c r="AS116" s="70">
        <f t="shared" si="93"/>
        <v>0.5</v>
      </c>
      <c r="AT116" s="71">
        <f>AL116+AP116</f>
        <v>0.5</v>
      </c>
      <c r="AU116" s="72">
        <f t="shared" si="111"/>
        <v>0</v>
      </c>
      <c r="AV116" s="134">
        <f t="shared" si="108"/>
        <v>0</v>
      </c>
      <c r="AW116" s="78">
        <f>SUM(AZ116,AX116)</f>
        <v>0</v>
      </c>
      <c r="AX116" s="79"/>
      <c r="AY116" s="80"/>
      <c r="AZ116" s="81"/>
      <c r="BA116" s="70">
        <f t="shared" si="95"/>
        <v>0.5</v>
      </c>
      <c r="BB116" s="71">
        <f>AT116+AX116</f>
        <v>0.5</v>
      </c>
      <c r="BC116" s="72">
        <f t="shared" si="112"/>
        <v>0</v>
      </c>
      <c r="BD116" s="134">
        <f t="shared" si="109"/>
        <v>0</v>
      </c>
      <c r="BE116" s="78">
        <f>SUM(BH116,BF116)</f>
        <v>0</v>
      </c>
      <c r="BF116" s="79"/>
      <c r="BG116" s="80"/>
      <c r="BH116" s="81"/>
      <c r="BI116" s="70">
        <f t="shared" si="97"/>
        <v>0.5</v>
      </c>
      <c r="BJ116" s="71">
        <f>BB116+BF116</f>
        <v>0.5</v>
      </c>
      <c r="BK116" s="72">
        <f t="shared" si="117"/>
        <v>0</v>
      </c>
      <c r="BL116" s="134">
        <f t="shared" si="82"/>
        <v>0</v>
      </c>
    </row>
    <row r="117" spans="1:64" ht="12.9" x14ac:dyDescent="0.35">
      <c r="A117" s="284"/>
      <c r="B117" s="234"/>
      <c r="C117" s="27" t="s">
        <v>231</v>
      </c>
      <c r="D117" s="25" t="s">
        <v>137</v>
      </c>
      <c r="E117" s="78">
        <f t="shared" si="69"/>
        <v>0</v>
      </c>
      <c r="F117" s="79"/>
      <c r="G117" s="80"/>
      <c r="H117" s="81"/>
      <c r="I117" s="78">
        <f t="shared" si="70"/>
        <v>0</v>
      </c>
      <c r="J117" s="79"/>
      <c r="K117" s="80"/>
      <c r="L117" s="81"/>
      <c r="M117" s="70">
        <f t="shared" si="99"/>
        <v>0</v>
      </c>
      <c r="N117" s="71">
        <f t="shared" si="100"/>
        <v>0</v>
      </c>
      <c r="O117" s="72">
        <f t="shared" si="101"/>
        <v>0</v>
      </c>
      <c r="P117" s="134">
        <f t="shared" si="102"/>
        <v>0</v>
      </c>
      <c r="Q117" s="78">
        <f t="shared" si="71"/>
        <v>0</v>
      </c>
      <c r="R117" s="79"/>
      <c r="S117" s="80"/>
      <c r="T117" s="81"/>
      <c r="U117" s="70">
        <f t="shared" si="87"/>
        <v>0</v>
      </c>
      <c r="V117" s="71">
        <f t="shared" si="88"/>
        <v>0</v>
      </c>
      <c r="W117" s="72">
        <f t="shared" si="103"/>
        <v>0</v>
      </c>
      <c r="X117" s="134">
        <f t="shared" si="104"/>
        <v>0</v>
      </c>
      <c r="Y117" s="78">
        <f t="shared" si="72"/>
        <v>0</v>
      </c>
      <c r="Z117" s="79"/>
      <c r="AA117" s="80"/>
      <c r="AB117" s="81"/>
      <c r="AC117" s="70">
        <f t="shared" si="89"/>
        <v>0</v>
      </c>
      <c r="AD117" s="71">
        <f t="shared" si="90"/>
        <v>0</v>
      </c>
      <c r="AE117" s="72">
        <f t="shared" si="105"/>
        <v>0</v>
      </c>
      <c r="AF117" s="134">
        <f t="shared" si="106"/>
        <v>0</v>
      </c>
      <c r="AG117" s="78">
        <f t="shared" ref="AG117:AG120" si="121">SUM(AJ117,AH117)</f>
        <v>0</v>
      </c>
      <c r="AH117" s="79"/>
      <c r="AI117" s="80"/>
      <c r="AJ117" s="81"/>
      <c r="AK117" s="70">
        <f t="shared" si="91"/>
        <v>0</v>
      </c>
      <c r="AL117" s="71">
        <f t="shared" si="92"/>
        <v>0</v>
      </c>
      <c r="AM117" s="72">
        <f t="shared" si="110"/>
        <v>0</v>
      </c>
      <c r="AN117" s="134">
        <f t="shared" si="107"/>
        <v>0</v>
      </c>
      <c r="AO117" s="78">
        <f t="shared" ref="AO117:AO120" si="122">SUM(AR117,AP117)</f>
        <v>0</v>
      </c>
      <c r="AP117" s="79"/>
      <c r="AQ117" s="80"/>
      <c r="AR117" s="81"/>
      <c r="AS117" s="70">
        <f t="shared" si="93"/>
        <v>0</v>
      </c>
      <c r="AT117" s="71">
        <f t="shared" ref="AT117:AT169" si="123">AL117+AP117</f>
        <v>0</v>
      </c>
      <c r="AU117" s="72">
        <f t="shared" si="111"/>
        <v>0</v>
      </c>
      <c r="AV117" s="134">
        <f t="shared" si="108"/>
        <v>0</v>
      </c>
      <c r="AW117" s="78">
        <f t="shared" ref="AW117:AW120" si="124">SUM(AZ117,AX117)</f>
        <v>0.50900000000000001</v>
      </c>
      <c r="AX117" s="79">
        <v>0.50900000000000001</v>
      </c>
      <c r="AY117" s="80"/>
      <c r="AZ117" s="81"/>
      <c r="BA117" s="70">
        <f t="shared" si="95"/>
        <v>0.50900000000000001</v>
      </c>
      <c r="BB117" s="71">
        <f t="shared" ref="BB117:BB169" si="125">AT117+AX117</f>
        <v>0.50900000000000001</v>
      </c>
      <c r="BC117" s="72">
        <f t="shared" si="112"/>
        <v>0</v>
      </c>
      <c r="BD117" s="134">
        <f t="shared" si="109"/>
        <v>0</v>
      </c>
      <c r="BE117" s="78">
        <f t="shared" ref="BE117:BE120" si="126">SUM(BH117,BF117)</f>
        <v>0</v>
      </c>
      <c r="BF117" s="79"/>
      <c r="BG117" s="80"/>
      <c r="BH117" s="81"/>
      <c r="BI117" s="70">
        <f t="shared" si="97"/>
        <v>0.50900000000000001</v>
      </c>
      <c r="BJ117" s="71">
        <f t="shared" ref="BJ117:BJ169" si="127">BB117+BF117</f>
        <v>0.50900000000000001</v>
      </c>
      <c r="BK117" s="72">
        <f t="shared" si="117"/>
        <v>0</v>
      </c>
      <c r="BL117" s="134">
        <f t="shared" si="82"/>
        <v>0</v>
      </c>
    </row>
    <row r="118" spans="1:64" ht="12.9" x14ac:dyDescent="0.35">
      <c r="A118" s="45" t="s">
        <v>32</v>
      </c>
      <c r="B118" s="46" t="s">
        <v>46</v>
      </c>
      <c r="C118" s="27" t="s">
        <v>280</v>
      </c>
      <c r="D118" s="25" t="s">
        <v>125</v>
      </c>
      <c r="E118" s="78">
        <f t="shared" si="69"/>
        <v>1.3</v>
      </c>
      <c r="F118" s="79">
        <v>1.3</v>
      </c>
      <c r="G118" s="80"/>
      <c r="H118" s="81"/>
      <c r="I118" s="78">
        <f t="shared" si="70"/>
        <v>0</v>
      </c>
      <c r="J118" s="79"/>
      <c r="K118" s="80"/>
      <c r="L118" s="81"/>
      <c r="M118" s="70">
        <f t="shared" si="99"/>
        <v>1.3</v>
      </c>
      <c r="N118" s="71">
        <f t="shared" si="100"/>
        <v>1.3</v>
      </c>
      <c r="O118" s="72">
        <f t="shared" si="101"/>
        <v>0</v>
      </c>
      <c r="P118" s="134">
        <f t="shared" si="102"/>
        <v>0</v>
      </c>
      <c r="Q118" s="78">
        <f t="shared" si="71"/>
        <v>0</v>
      </c>
      <c r="R118" s="79"/>
      <c r="S118" s="80"/>
      <c r="T118" s="81"/>
      <c r="U118" s="70">
        <f t="shared" si="87"/>
        <v>1.3</v>
      </c>
      <c r="V118" s="71">
        <f t="shared" si="88"/>
        <v>1.3</v>
      </c>
      <c r="W118" s="72">
        <f t="shared" si="103"/>
        <v>0</v>
      </c>
      <c r="X118" s="134">
        <f t="shared" si="104"/>
        <v>0</v>
      </c>
      <c r="Y118" s="78">
        <f t="shared" si="72"/>
        <v>0</v>
      </c>
      <c r="Z118" s="79"/>
      <c r="AA118" s="80"/>
      <c r="AB118" s="81"/>
      <c r="AC118" s="70">
        <f t="shared" si="89"/>
        <v>1.3</v>
      </c>
      <c r="AD118" s="71">
        <f t="shared" si="90"/>
        <v>1.3</v>
      </c>
      <c r="AE118" s="72">
        <f t="shared" si="105"/>
        <v>0</v>
      </c>
      <c r="AF118" s="134">
        <f t="shared" si="106"/>
        <v>0</v>
      </c>
      <c r="AG118" s="78">
        <f t="shared" si="121"/>
        <v>0</v>
      </c>
      <c r="AH118" s="79"/>
      <c r="AI118" s="80"/>
      <c r="AJ118" s="81"/>
      <c r="AK118" s="70">
        <f t="shared" si="91"/>
        <v>1.3</v>
      </c>
      <c r="AL118" s="71">
        <f t="shared" si="92"/>
        <v>1.3</v>
      </c>
      <c r="AM118" s="72">
        <f t="shared" si="110"/>
        <v>0</v>
      </c>
      <c r="AN118" s="134">
        <f t="shared" si="107"/>
        <v>0</v>
      </c>
      <c r="AO118" s="78">
        <f t="shared" si="122"/>
        <v>0</v>
      </c>
      <c r="AP118" s="79"/>
      <c r="AQ118" s="80"/>
      <c r="AR118" s="81"/>
      <c r="AS118" s="70">
        <f t="shared" si="93"/>
        <v>1.3</v>
      </c>
      <c r="AT118" s="71">
        <f t="shared" si="123"/>
        <v>1.3</v>
      </c>
      <c r="AU118" s="72">
        <f t="shared" si="111"/>
        <v>0</v>
      </c>
      <c r="AV118" s="134">
        <f t="shared" si="108"/>
        <v>0</v>
      </c>
      <c r="AW118" s="78">
        <f t="shared" si="124"/>
        <v>-7.4999999999999997E-2</v>
      </c>
      <c r="AX118" s="79">
        <v>-7.4999999999999997E-2</v>
      </c>
      <c r="AY118" s="80"/>
      <c r="AZ118" s="81"/>
      <c r="BA118" s="70">
        <f t="shared" si="95"/>
        <v>1.2250000000000001</v>
      </c>
      <c r="BB118" s="71">
        <f t="shared" si="125"/>
        <v>1.2250000000000001</v>
      </c>
      <c r="BC118" s="72">
        <f t="shared" si="112"/>
        <v>0</v>
      </c>
      <c r="BD118" s="134">
        <f t="shared" si="109"/>
        <v>0</v>
      </c>
      <c r="BE118" s="78">
        <f t="shared" si="126"/>
        <v>0</v>
      </c>
      <c r="BF118" s="79"/>
      <c r="BG118" s="80"/>
      <c r="BH118" s="81"/>
      <c r="BI118" s="70">
        <f t="shared" si="97"/>
        <v>1.2250000000000001</v>
      </c>
      <c r="BJ118" s="71">
        <f t="shared" si="127"/>
        <v>1.2250000000000001</v>
      </c>
      <c r="BK118" s="72">
        <f t="shared" si="117"/>
        <v>0</v>
      </c>
      <c r="BL118" s="134">
        <f t="shared" si="82"/>
        <v>0</v>
      </c>
    </row>
    <row r="119" spans="1:64" ht="12.9" x14ac:dyDescent="0.35">
      <c r="A119" s="283" t="s">
        <v>7</v>
      </c>
      <c r="B119" s="233" t="s">
        <v>48</v>
      </c>
      <c r="C119" s="27" t="s">
        <v>287</v>
      </c>
      <c r="D119" s="25" t="s">
        <v>125</v>
      </c>
      <c r="E119" s="78">
        <f t="shared" si="69"/>
        <v>0</v>
      </c>
      <c r="F119" s="79"/>
      <c r="G119" s="80"/>
      <c r="H119" s="81"/>
      <c r="I119" s="78">
        <f t="shared" si="70"/>
        <v>0</v>
      </c>
      <c r="J119" s="79"/>
      <c r="K119" s="80"/>
      <c r="L119" s="81"/>
      <c r="M119" s="70">
        <f t="shared" si="99"/>
        <v>0</v>
      </c>
      <c r="N119" s="71">
        <f t="shared" si="100"/>
        <v>0</v>
      </c>
      <c r="O119" s="72">
        <f t="shared" si="101"/>
        <v>0</v>
      </c>
      <c r="P119" s="134">
        <f t="shared" si="102"/>
        <v>0</v>
      </c>
      <c r="Q119" s="78">
        <f t="shared" si="71"/>
        <v>0</v>
      </c>
      <c r="R119" s="79"/>
      <c r="S119" s="80"/>
      <c r="T119" s="81"/>
      <c r="U119" s="70">
        <f t="shared" si="87"/>
        <v>0</v>
      </c>
      <c r="V119" s="71">
        <f t="shared" si="88"/>
        <v>0</v>
      </c>
      <c r="W119" s="72">
        <f t="shared" si="103"/>
        <v>0</v>
      </c>
      <c r="X119" s="134">
        <f t="shared" si="104"/>
        <v>0</v>
      </c>
      <c r="Y119" s="78">
        <f t="shared" si="72"/>
        <v>0</v>
      </c>
      <c r="Z119" s="79"/>
      <c r="AA119" s="80"/>
      <c r="AB119" s="81"/>
      <c r="AC119" s="70">
        <f t="shared" si="89"/>
        <v>0</v>
      </c>
      <c r="AD119" s="71">
        <f t="shared" si="90"/>
        <v>0</v>
      </c>
      <c r="AE119" s="72">
        <f t="shared" si="105"/>
        <v>0</v>
      </c>
      <c r="AF119" s="134">
        <f t="shared" si="106"/>
        <v>0</v>
      </c>
      <c r="AG119" s="78">
        <f t="shared" si="121"/>
        <v>0</v>
      </c>
      <c r="AH119" s="79"/>
      <c r="AI119" s="80"/>
      <c r="AJ119" s="81"/>
      <c r="AK119" s="70">
        <f t="shared" ref="AK119:AK120" si="128">SUM(AN119,AL119)</f>
        <v>0</v>
      </c>
      <c r="AL119" s="71">
        <f t="shared" ref="AL119:AL120" si="129">AD119+AH119</f>
        <v>0</v>
      </c>
      <c r="AM119" s="72">
        <f t="shared" si="110"/>
        <v>0</v>
      </c>
      <c r="AN119" s="134">
        <f t="shared" si="107"/>
        <v>0</v>
      </c>
      <c r="AO119" s="78">
        <f t="shared" si="122"/>
        <v>0</v>
      </c>
      <c r="AP119" s="79"/>
      <c r="AQ119" s="80"/>
      <c r="AR119" s="81"/>
      <c r="AS119" s="70">
        <f t="shared" si="93"/>
        <v>0</v>
      </c>
      <c r="AT119" s="71">
        <f t="shared" si="123"/>
        <v>0</v>
      </c>
      <c r="AU119" s="72">
        <f t="shared" si="111"/>
        <v>0</v>
      </c>
      <c r="AV119" s="134">
        <f t="shared" si="108"/>
        <v>0</v>
      </c>
      <c r="AW119" s="78">
        <f t="shared" si="124"/>
        <v>0.81</v>
      </c>
      <c r="AX119" s="79">
        <v>0.81</v>
      </c>
      <c r="AY119" s="80"/>
      <c r="AZ119" s="81"/>
      <c r="BA119" s="70">
        <f t="shared" si="95"/>
        <v>0.81</v>
      </c>
      <c r="BB119" s="71">
        <f t="shared" si="125"/>
        <v>0.81</v>
      </c>
      <c r="BC119" s="72">
        <f t="shared" si="112"/>
        <v>0</v>
      </c>
      <c r="BD119" s="134">
        <f t="shared" si="109"/>
        <v>0</v>
      </c>
      <c r="BE119" s="78">
        <f t="shared" si="126"/>
        <v>0</v>
      </c>
      <c r="BF119" s="79"/>
      <c r="BG119" s="80"/>
      <c r="BH119" s="81"/>
      <c r="BI119" s="70">
        <f t="shared" si="97"/>
        <v>0.81</v>
      </c>
      <c r="BJ119" s="71">
        <f t="shared" si="127"/>
        <v>0.81</v>
      </c>
      <c r="BK119" s="72">
        <f t="shared" si="117"/>
        <v>0</v>
      </c>
      <c r="BL119" s="134">
        <f t="shared" si="82"/>
        <v>0</v>
      </c>
    </row>
    <row r="120" spans="1:64" ht="12.9" x14ac:dyDescent="0.35">
      <c r="A120" s="284"/>
      <c r="B120" s="234"/>
      <c r="C120" s="27" t="s">
        <v>298</v>
      </c>
      <c r="D120" s="25" t="s">
        <v>137</v>
      </c>
      <c r="E120" s="78"/>
      <c r="F120" s="79"/>
      <c r="G120" s="80"/>
      <c r="H120" s="81"/>
      <c r="I120" s="78"/>
      <c r="J120" s="79"/>
      <c r="K120" s="80"/>
      <c r="L120" s="81"/>
      <c r="M120" s="70"/>
      <c r="N120" s="71"/>
      <c r="O120" s="72"/>
      <c r="P120" s="134"/>
      <c r="Q120" s="78"/>
      <c r="R120" s="79"/>
      <c r="S120" s="80"/>
      <c r="T120" s="81"/>
      <c r="U120" s="70"/>
      <c r="V120" s="71"/>
      <c r="W120" s="72"/>
      <c r="X120" s="134"/>
      <c r="Y120" s="78"/>
      <c r="Z120" s="79"/>
      <c r="AA120" s="80"/>
      <c r="AB120" s="81"/>
      <c r="AC120" s="70"/>
      <c r="AD120" s="71"/>
      <c r="AE120" s="72"/>
      <c r="AF120" s="134"/>
      <c r="AG120" s="78">
        <f t="shared" si="121"/>
        <v>6.8970000000000002</v>
      </c>
      <c r="AH120" s="79">
        <v>6.8970000000000002</v>
      </c>
      <c r="AI120" s="80"/>
      <c r="AJ120" s="81"/>
      <c r="AK120" s="70">
        <f t="shared" si="128"/>
        <v>6.8970000000000002</v>
      </c>
      <c r="AL120" s="71">
        <f t="shared" si="129"/>
        <v>6.8970000000000002</v>
      </c>
      <c r="AM120" s="72"/>
      <c r="AN120" s="134"/>
      <c r="AO120" s="78">
        <f t="shared" si="122"/>
        <v>0</v>
      </c>
      <c r="AP120" s="79"/>
      <c r="AQ120" s="80"/>
      <c r="AR120" s="81"/>
      <c r="AS120" s="70">
        <f t="shared" si="93"/>
        <v>6.8970000000000002</v>
      </c>
      <c r="AT120" s="71">
        <f t="shared" si="123"/>
        <v>6.8970000000000002</v>
      </c>
      <c r="AU120" s="72"/>
      <c r="AV120" s="134"/>
      <c r="AW120" s="78">
        <f t="shared" si="124"/>
        <v>0</v>
      </c>
      <c r="AX120" s="79"/>
      <c r="AY120" s="80"/>
      <c r="AZ120" s="81"/>
      <c r="BA120" s="70">
        <f t="shared" si="95"/>
        <v>6.8970000000000002</v>
      </c>
      <c r="BB120" s="71">
        <f t="shared" si="125"/>
        <v>6.8970000000000002</v>
      </c>
      <c r="BC120" s="72"/>
      <c r="BD120" s="134"/>
      <c r="BE120" s="78">
        <f t="shared" si="126"/>
        <v>0</v>
      </c>
      <c r="BF120" s="79"/>
      <c r="BG120" s="80"/>
      <c r="BH120" s="81"/>
      <c r="BI120" s="70">
        <f t="shared" si="97"/>
        <v>6.8970000000000002</v>
      </c>
      <c r="BJ120" s="71">
        <f t="shared" si="127"/>
        <v>6.8970000000000002</v>
      </c>
      <c r="BK120" s="72"/>
      <c r="BL120" s="134"/>
    </row>
    <row r="121" spans="1:64" s="138" customFormat="1" ht="12.45" x14ac:dyDescent="0.3">
      <c r="A121" s="135"/>
      <c r="B121" s="136" t="s">
        <v>9</v>
      </c>
      <c r="C121" s="42" t="s">
        <v>107</v>
      </c>
      <c r="D121" s="137"/>
      <c r="E121" s="73">
        <f>SUM(H121,F121)</f>
        <v>950.97199999999987</v>
      </c>
      <c r="F121" s="74">
        <f>SUM(F123:F134)</f>
        <v>949.3649999999999</v>
      </c>
      <c r="G121" s="75">
        <f>SUM(G123:G134)</f>
        <v>781.60400000000004</v>
      </c>
      <c r="H121" s="133">
        <f>SUM(H123:H134)</f>
        <v>1.607</v>
      </c>
      <c r="I121" s="73">
        <f>SUM(L121,J121)</f>
        <v>0</v>
      </c>
      <c r="J121" s="74">
        <f>SUM(J123:J134)</f>
        <v>0</v>
      </c>
      <c r="K121" s="75">
        <f>SUM(K123:K134)</f>
        <v>0</v>
      </c>
      <c r="L121" s="133">
        <f>SUM(L123:L134)</f>
        <v>0</v>
      </c>
      <c r="M121" s="73">
        <f t="shared" si="99"/>
        <v>950.97199999999987</v>
      </c>
      <c r="N121" s="74">
        <f t="shared" si="100"/>
        <v>949.3649999999999</v>
      </c>
      <c r="O121" s="75">
        <f t="shared" si="101"/>
        <v>781.60400000000004</v>
      </c>
      <c r="P121" s="133">
        <f t="shared" si="102"/>
        <v>1.607</v>
      </c>
      <c r="Q121" s="73">
        <f>SUM(T121,R121)</f>
        <v>0.32800000000000001</v>
      </c>
      <c r="R121" s="74">
        <f>SUM(R123:R134)</f>
        <v>0.32800000000000001</v>
      </c>
      <c r="S121" s="75">
        <f>SUM(S123:S134)</f>
        <v>7.9000000000000001E-2</v>
      </c>
      <c r="T121" s="133">
        <f>SUM(T123:T134)</f>
        <v>0</v>
      </c>
      <c r="U121" s="73">
        <f t="shared" si="87"/>
        <v>951.29999999999984</v>
      </c>
      <c r="V121" s="74">
        <f t="shared" si="88"/>
        <v>949.69299999999987</v>
      </c>
      <c r="W121" s="75">
        <f t="shared" si="103"/>
        <v>781.68299999999999</v>
      </c>
      <c r="X121" s="133">
        <f t="shared" si="104"/>
        <v>1.607</v>
      </c>
      <c r="Y121" s="73">
        <f>SUM(AB121,Z121)</f>
        <v>5.85</v>
      </c>
      <c r="Z121" s="74">
        <f>SUM(Z123:Z134)</f>
        <v>5.85</v>
      </c>
      <c r="AA121" s="75">
        <f>SUM(AA123:AA134)</f>
        <v>3.8760000000000003</v>
      </c>
      <c r="AB121" s="133">
        <f>SUM(AB123:AB134)</f>
        <v>0</v>
      </c>
      <c r="AC121" s="73">
        <f t="shared" si="89"/>
        <v>957.14999999999986</v>
      </c>
      <c r="AD121" s="74">
        <f t="shared" si="90"/>
        <v>955.54299999999989</v>
      </c>
      <c r="AE121" s="75">
        <f t="shared" si="105"/>
        <v>785.55899999999997</v>
      </c>
      <c r="AF121" s="133">
        <f t="shared" si="106"/>
        <v>1.607</v>
      </c>
      <c r="AG121" s="73">
        <f>SUM(AJ121,AH121)</f>
        <v>0.13700000000000001</v>
      </c>
      <c r="AH121" s="74">
        <f>SUM(AH123:AH134)</f>
        <v>0.13700000000000001</v>
      </c>
      <c r="AI121" s="75">
        <f>SUM(AI123:AI134)</f>
        <v>0.13400000000000001</v>
      </c>
      <c r="AJ121" s="133">
        <f>SUM(AJ123:AJ134)</f>
        <v>0</v>
      </c>
      <c r="AK121" s="73">
        <f t="shared" si="91"/>
        <v>957.28699999999981</v>
      </c>
      <c r="AL121" s="74">
        <f t="shared" si="92"/>
        <v>955.67999999999984</v>
      </c>
      <c r="AM121" s="75">
        <f t="shared" si="110"/>
        <v>785.69299999999998</v>
      </c>
      <c r="AN121" s="133">
        <f t="shared" si="107"/>
        <v>1.607</v>
      </c>
      <c r="AO121" s="73">
        <f>SUM(AR121,AP121)</f>
        <v>0</v>
      </c>
      <c r="AP121" s="74">
        <f>SUM(AP123:AP134)</f>
        <v>0</v>
      </c>
      <c r="AQ121" s="75">
        <f>SUM(AQ123:AQ134)</f>
        <v>-4.0749999999999993</v>
      </c>
      <c r="AR121" s="133">
        <f>SUM(AR123:AR134)</f>
        <v>0</v>
      </c>
      <c r="AS121" s="73">
        <f t="shared" si="93"/>
        <v>957.28699999999981</v>
      </c>
      <c r="AT121" s="74">
        <f t="shared" si="123"/>
        <v>955.67999999999984</v>
      </c>
      <c r="AU121" s="75">
        <f t="shared" ref="AU121:AU145" si="130">AM121+AQ121</f>
        <v>781.61799999999994</v>
      </c>
      <c r="AV121" s="133">
        <f t="shared" ref="AV121:AV126" si="131">AN121+AR121</f>
        <v>1.607</v>
      </c>
      <c r="AW121" s="73">
        <f>SUM(AZ121,AX121)</f>
        <v>-0.43900000000000028</v>
      </c>
      <c r="AX121" s="74">
        <f>SUM(AX123:AX134)</f>
        <v>-0.43900000000000028</v>
      </c>
      <c r="AY121" s="75">
        <f>SUM(AY123:AY134)</f>
        <v>-2.625</v>
      </c>
      <c r="AZ121" s="133">
        <f>SUM(AZ123:AZ134)</f>
        <v>0</v>
      </c>
      <c r="BA121" s="73">
        <f t="shared" si="95"/>
        <v>956.84799999999984</v>
      </c>
      <c r="BB121" s="74">
        <f t="shared" si="125"/>
        <v>955.24099999999987</v>
      </c>
      <c r="BC121" s="75">
        <f t="shared" ref="BC121:BC145" si="132">AU121+AY121</f>
        <v>778.99299999999994</v>
      </c>
      <c r="BD121" s="133">
        <f t="shared" ref="BD121:BD126" si="133">AV121+AZ121</f>
        <v>1.607</v>
      </c>
      <c r="BE121" s="73">
        <f>SUM(BH121,BF121)</f>
        <v>0.74199999999999999</v>
      </c>
      <c r="BF121" s="74">
        <f>SUM(BF123:BF134)</f>
        <v>0.74199999999999999</v>
      </c>
      <c r="BG121" s="75">
        <f>SUM(BG123:BG134)</f>
        <v>-3.7659999999999996</v>
      </c>
      <c r="BH121" s="133">
        <f>SUM(BH123:BH134)</f>
        <v>0</v>
      </c>
      <c r="BI121" s="73">
        <f t="shared" si="97"/>
        <v>957.5899999999998</v>
      </c>
      <c r="BJ121" s="74">
        <f t="shared" si="127"/>
        <v>955.98299999999983</v>
      </c>
      <c r="BK121" s="75">
        <f t="shared" ref="BK121:BK145" si="134">BC121+BG121</f>
        <v>775.22699999999998</v>
      </c>
      <c r="BL121" s="133">
        <f t="shared" ref="BL121:BL126" si="135">BD121+BH121</f>
        <v>1.607</v>
      </c>
    </row>
    <row r="122" spans="1:64" ht="12.9" x14ac:dyDescent="0.35">
      <c r="A122" s="43"/>
      <c r="B122" s="4" t="s">
        <v>2</v>
      </c>
      <c r="C122" s="44"/>
      <c r="D122" s="28"/>
      <c r="E122" s="78">
        <f t="shared" si="69"/>
        <v>0</v>
      </c>
      <c r="F122" s="79">
        <v>0</v>
      </c>
      <c r="G122" s="80">
        <v>0</v>
      </c>
      <c r="H122" s="81">
        <v>0</v>
      </c>
      <c r="I122" s="78">
        <f t="shared" ref="I122:I167" si="136">SUM(L122,J122)</f>
        <v>0</v>
      </c>
      <c r="J122" s="79">
        <v>0</v>
      </c>
      <c r="K122" s="80">
        <v>0</v>
      </c>
      <c r="L122" s="81">
        <v>0</v>
      </c>
      <c r="M122" s="70">
        <f t="shared" si="99"/>
        <v>0</v>
      </c>
      <c r="N122" s="71">
        <f t="shared" si="100"/>
        <v>0</v>
      </c>
      <c r="O122" s="72">
        <f t="shared" si="101"/>
        <v>0</v>
      </c>
      <c r="P122" s="134">
        <f t="shared" si="102"/>
        <v>0</v>
      </c>
      <c r="Q122" s="78">
        <f t="shared" ref="Q122:Q167" si="137">SUM(T122,R122)</f>
        <v>0</v>
      </c>
      <c r="R122" s="79">
        <v>0</v>
      </c>
      <c r="S122" s="80">
        <v>0</v>
      </c>
      <c r="T122" s="81">
        <v>0</v>
      </c>
      <c r="U122" s="70">
        <f t="shared" si="87"/>
        <v>0</v>
      </c>
      <c r="V122" s="71">
        <f t="shared" si="88"/>
        <v>0</v>
      </c>
      <c r="W122" s="72">
        <f t="shared" si="103"/>
        <v>0</v>
      </c>
      <c r="X122" s="134">
        <f t="shared" si="104"/>
        <v>0</v>
      </c>
      <c r="Y122" s="78">
        <f t="shared" ref="Y122:Y167" si="138">SUM(AB122,Z122)</f>
        <v>0</v>
      </c>
      <c r="Z122" s="79">
        <v>0</v>
      </c>
      <c r="AA122" s="80">
        <v>0</v>
      </c>
      <c r="AB122" s="81">
        <v>0</v>
      </c>
      <c r="AC122" s="70">
        <f t="shared" si="89"/>
        <v>0</v>
      </c>
      <c r="AD122" s="71">
        <f t="shared" si="90"/>
        <v>0</v>
      </c>
      <c r="AE122" s="72">
        <f t="shared" si="105"/>
        <v>0</v>
      </c>
      <c r="AF122" s="134">
        <f t="shared" si="106"/>
        <v>0</v>
      </c>
      <c r="AG122" s="78">
        <f t="shared" ref="AG122:AG167" si="139">SUM(AJ122,AH122)</f>
        <v>0</v>
      </c>
      <c r="AH122" s="79">
        <v>0</v>
      </c>
      <c r="AI122" s="80">
        <v>0</v>
      </c>
      <c r="AJ122" s="81">
        <v>0</v>
      </c>
      <c r="AK122" s="70">
        <f t="shared" si="91"/>
        <v>0</v>
      </c>
      <c r="AL122" s="71">
        <f t="shared" si="92"/>
        <v>0</v>
      </c>
      <c r="AM122" s="72">
        <f t="shared" si="110"/>
        <v>0</v>
      </c>
      <c r="AN122" s="134">
        <f t="shared" si="107"/>
        <v>0</v>
      </c>
      <c r="AO122" s="78">
        <f t="shared" ref="AO122:AO167" si="140">SUM(AR122,AP122)</f>
        <v>0</v>
      </c>
      <c r="AP122" s="79">
        <v>0</v>
      </c>
      <c r="AQ122" s="80">
        <v>0</v>
      </c>
      <c r="AR122" s="81">
        <v>0</v>
      </c>
      <c r="AS122" s="70">
        <f t="shared" si="93"/>
        <v>0</v>
      </c>
      <c r="AT122" s="71">
        <f t="shared" si="123"/>
        <v>0</v>
      </c>
      <c r="AU122" s="72">
        <f t="shared" si="130"/>
        <v>0</v>
      </c>
      <c r="AV122" s="134">
        <f t="shared" si="131"/>
        <v>0</v>
      </c>
      <c r="AW122" s="78">
        <f t="shared" ref="AW122:AW167" si="141">SUM(AZ122,AX122)</f>
        <v>0</v>
      </c>
      <c r="AX122" s="79">
        <v>0</v>
      </c>
      <c r="AY122" s="80">
        <v>0</v>
      </c>
      <c r="AZ122" s="81">
        <v>0</v>
      </c>
      <c r="BA122" s="70">
        <f t="shared" si="95"/>
        <v>0</v>
      </c>
      <c r="BB122" s="71">
        <f t="shared" si="125"/>
        <v>0</v>
      </c>
      <c r="BC122" s="72">
        <f t="shared" si="132"/>
        <v>0</v>
      </c>
      <c r="BD122" s="134">
        <f t="shared" si="133"/>
        <v>0</v>
      </c>
      <c r="BE122" s="78">
        <f t="shared" ref="BE122:BE167" si="142">SUM(BH122,BF122)</f>
        <v>0</v>
      </c>
      <c r="BF122" s="79">
        <v>0</v>
      </c>
      <c r="BG122" s="80">
        <v>0</v>
      </c>
      <c r="BH122" s="81">
        <v>0</v>
      </c>
      <c r="BI122" s="70">
        <f t="shared" si="97"/>
        <v>0</v>
      </c>
      <c r="BJ122" s="71">
        <f t="shared" si="127"/>
        <v>0</v>
      </c>
      <c r="BK122" s="72">
        <f t="shared" si="134"/>
        <v>0</v>
      </c>
      <c r="BL122" s="134">
        <f t="shared" si="135"/>
        <v>0</v>
      </c>
    </row>
    <row r="123" spans="1:64" ht="16.75" customHeight="1" x14ac:dyDescent="0.35">
      <c r="A123" s="25" t="s">
        <v>22</v>
      </c>
      <c r="B123" s="26" t="s">
        <v>34</v>
      </c>
      <c r="C123" s="27" t="s">
        <v>66</v>
      </c>
      <c r="D123" s="40" t="s">
        <v>125</v>
      </c>
      <c r="E123" s="78">
        <f t="shared" si="69"/>
        <v>0.4</v>
      </c>
      <c r="F123" s="79">
        <v>0.4</v>
      </c>
      <c r="G123" s="80"/>
      <c r="H123" s="81"/>
      <c r="I123" s="78">
        <f t="shared" si="136"/>
        <v>0</v>
      </c>
      <c r="J123" s="79"/>
      <c r="K123" s="80"/>
      <c r="L123" s="81"/>
      <c r="M123" s="70">
        <f t="shared" si="99"/>
        <v>0.4</v>
      </c>
      <c r="N123" s="71">
        <f t="shared" si="100"/>
        <v>0.4</v>
      </c>
      <c r="O123" s="72">
        <f t="shared" si="101"/>
        <v>0</v>
      </c>
      <c r="P123" s="134">
        <f t="shared" si="102"/>
        <v>0</v>
      </c>
      <c r="Q123" s="78">
        <f t="shared" si="137"/>
        <v>0</v>
      </c>
      <c r="R123" s="79"/>
      <c r="S123" s="80"/>
      <c r="T123" s="81"/>
      <c r="U123" s="70">
        <f t="shared" si="87"/>
        <v>0.4</v>
      </c>
      <c r="V123" s="71">
        <f t="shared" si="88"/>
        <v>0.4</v>
      </c>
      <c r="W123" s="72">
        <f t="shared" si="103"/>
        <v>0</v>
      </c>
      <c r="X123" s="134">
        <f t="shared" si="104"/>
        <v>0</v>
      </c>
      <c r="Y123" s="78">
        <f t="shared" si="138"/>
        <v>0</v>
      </c>
      <c r="Z123" s="79"/>
      <c r="AA123" s="80"/>
      <c r="AB123" s="81"/>
      <c r="AC123" s="70">
        <f t="shared" si="89"/>
        <v>0.4</v>
      </c>
      <c r="AD123" s="71">
        <f t="shared" si="90"/>
        <v>0.4</v>
      </c>
      <c r="AE123" s="72">
        <f t="shared" si="105"/>
        <v>0</v>
      </c>
      <c r="AF123" s="134">
        <f t="shared" si="106"/>
        <v>0</v>
      </c>
      <c r="AG123" s="78">
        <f t="shared" si="139"/>
        <v>0</v>
      </c>
      <c r="AH123" s="79"/>
      <c r="AI123" s="80"/>
      <c r="AJ123" s="81"/>
      <c r="AK123" s="70">
        <f t="shared" si="91"/>
        <v>0.4</v>
      </c>
      <c r="AL123" s="71">
        <f t="shared" si="92"/>
        <v>0.4</v>
      </c>
      <c r="AM123" s="72">
        <f t="shared" si="110"/>
        <v>0</v>
      </c>
      <c r="AN123" s="134">
        <f t="shared" si="107"/>
        <v>0</v>
      </c>
      <c r="AO123" s="78">
        <f t="shared" si="140"/>
        <v>0</v>
      </c>
      <c r="AP123" s="79"/>
      <c r="AQ123" s="80"/>
      <c r="AR123" s="81"/>
      <c r="AS123" s="70">
        <f t="shared" si="93"/>
        <v>0.4</v>
      </c>
      <c r="AT123" s="71">
        <f t="shared" si="123"/>
        <v>0.4</v>
      </c>
      <c r="AU123" s="72">
        <f t="shared" si="130"/>
        <v>0</v>
      </c>
      <c r="AV123" s="134">
        <f t="shared" si="131"/>
        <v>0</v>
      </c>
      <c r="AW123" s="78">
        <f t="shared" si="141"/>
        <v>0.5</v>
      </c>
      <c r="AX123" s="79">
        <v>0.5</v>
      </c>
      <c r="AY123" s="80"/>
      <c r="AZ123" s="81"/>
      <c r="BA123" s="70">
        <f t="shared" si="95"/>
        <v>0.9</v>
      </c>
      <c r="BB123" s="71">
        <f t="shared" si="125"/>
        <v>0.9</v>
      </c>
      <c r="BC123" s="72">
        <f t="shared" si="132"/>
        <v>0</v>
      </c>
      <c r="BD123" s="134">
        <f t="shared" si="133"/>
        <v>0</v>
      </c>
      <c r="BE123" s="78">
        <f t="shared" si="142"/>
        <v>0</v>
      </c>
      <c r="BF123" s="79"/>
      <c r="BG123" s="80"/>
      <c r="BH123" s="81"/>
      <c r="BI123" s="70">
        <f t="shared" si="97"/>
        <v>0.9</v>
      </c>
      <c r="BJ123" s="71">
        <f t="shared" si="127"/>
        <v>0.9</v>
      </c>
      <c r="BK123" s="72">
        <f t="shared" si="134"/>
        <v>0</v>
      </c>
      <c r="BL123" s="134">
        <f t="shared" si="135"/>
        <v>0</v>
      </c>
    </row>
    <row r="124" spans="1:64" ht="12.65" customHeight="1" x14ac:dyDescent="0.35">
      <c r="A124" s="231" t="s">
        <v>25</v>
      </c>
      <c r="B124" s="233" t="s">
        <v>41</v>
      </c>
      <c r="C124" s="27" t="s">
        <v>67</v>
      </c>
      <c r="D124" s="25" t="s">
        <v>125</v>
      </c>
      <c r="E124" s="78">
        <f t="shared" si="69"/>
        <v>508.90799999999996</v>
      </c>
      <c r="F124" s="79">
        <f>438.948+69.96</f>
        <v>508.90799999999996</v>
      </c>
      <c r="G124" s="80">
        <f>374.45-0.9</f>
        <v>373.55</v>
      </c>
      <c r="H124" s="81"/>
      <c r="I124" s="78">
        <f t="shared" si="136"/>
        <v>0</v>
      </c>
      <c r="J124" s="79"/>
      <c r="K124" s="80"/>
      <c r="L124" s="81"/>
      <c r="M124" s="70">
        <f t="shared" si="99"/>
        <v>508.90799999999996</v>
      </c>
      <c r="N124" s="71">
        <f t="shared" si="100"/>
        <v>508.90799999999996</v>
      </c>
      <c r="O124" s="72">
        <f t="shared" si="101"/>
        <v>373.55</v>
      </c>
      <c r="P124" s="134">
        <f t="shared" si="102"/>
        <v>0</v>
      </c>
      <c r="Q124" s="78">
        <f t="shared" si="137"/>
        <v>0</v>
      </c>
      <c r="R124" s="79"/>
      <c r="S124" s="80"/>
      <c r="T124" s="81"/>
      <c r="U124" s="70">
        <f t="shared" si="87"/>
        <v>508.90799999999996</v>
      </c>
      <c r="V124" s="71">
        <f t="shared" si="88"/>
        <v>508.90799999999996</v>
      </c>
      <c r="W124" s="72">
        <f t="shared" si="103"/>
        <v>373.55</v>
      </c>
      <c r="X124" s="134">
        <f t="shared" si="104"/>
        <v>0</v>
      </c>
      <c r="Y124" s="78">
        <f t="shared" si="138"/>
        <v>0.39</v>
      </c>
      <c r="Z124" s="79">
        <v>0.39</v>
      </c>
      <c r="AA124" s="80"/>
      <c r="AB124" s="81"/>
      <c r="AC124" s="70">
        <f t="shared" si="89"/>
        <v>509.29799999999994</v>
      </c>
      <c r="AD124" s="71">
        <f t="shared" si="90"/>
        <v>509.29799999999994</v>
      </c>
      <c r="AE124" s="72">
        <f t="shared" si="105"/>
        <v>373.55</v>
      </c>
      <c r="AF124" s="134">
        <f t="shared" si="106"/>
        <v>0</v>
      </c>
      <c r="AG124" s="78">
        <f t="shared" si="139"/>
        <v>0</v>
      </c>
      <c r="AH124" s="79"/>
      <c r="AI124" s="80"/>
      <c r="AJ124" s="81"/>
      <c r="AK124" s="70">
        <f t="shared" si="91"/>
        <v>509.29799999999994</v>
      </c>
      <c r="AL124" s="71">
        <f t="shared" si="92"/>
        <v>509.29799999999994</v>
      </c>
      <c r="AM124" s="72">
        <f t="shared" si="110"/>
        <v>373.55</v>
      </c>
      <c r="AN124" s="134">
        <f t="shared" si="107"/>
        <v>0</v>
      </c>
      <c r="AO124" s="78">
        <f t="shared" si="140"/>
        <v>0</v>
      </c>
      <c r="AP124" s="79"/>
      <c r="AQ124" s="80">
        <v>-2.5419999999999998</v>
      </c>
      <c r="AR124" s="81"/>
      <c r="AS124" s="70">
        <f t="shared" si="93"/>
        <v>509.29799999999994</v>
      </c>
      <c r="AT124" s="71">
        <f t="shared" si="123"/>
        <v>509.29799999999994</v>
      </c>
      <c r="AU124" s="72">
        <f t="shared" si="130"/>
        <v>371.00800000000004</v>
      </c>
      <c r="AV124" s="134">
        <f t="shared" si="131"/>
        <v>0</v>
      </c>
      <c r="AW124" s="78">
        <f t="shared" si="141"/>
        <v>2.8099999999999996</v>
      </c>
      <c r="AX124" s="79">
        <f>5.31-2.5</f>
        <v>2.8099999999999996</v>
      </c>
      <c r="AY124" s="80">
        <v>-0.48</v>
      </c>
      <c r="AZ124" s="81"/>
      <c r="BA124" s="70">
        <f t="shared" si="95"/>
        <v>512.10799999999995</v>
      </c>
      <c r="BB124" s="71">
        <f t="shared" si="125"/>
        <v>512.10799999999995</v>
      </c>
      <c r="BC124" s="72">
        <f t="shared" si="132"/>
        <v>370.52800000000002</v>
      </c>
      <c r="BD124" s="134">
        <f t="shared" si="133"/>
        <v>0</v>
      </c>
      <c r="BE124" s="78">
        <f t="shared" si="142"/>
        <v>0</v>
      </c>
      <c r="BF124" s="79"/>
      <c r="BG124" s="80">
        <v>-1.7090000000000001</v>
      </c>
      <c r="BH124" s="81"/>
      <c r="BI124" s="70">
        <f t="shared" si="97"/>
        <v>512.10799999999995</v>
      </c>
      <c r="BJ124" s="71">
        <f t="shared" si="127"/>
        <v>512.10799999999995</v>
      </c>
      <c r="BK124" s="72">
        <f t="shared" si="134"/>
        <v>368.81900000000002</v>
      </c>
      <c r="BL124" s="134">
        <f t="shared" si="135"/>
        <v>0</v>
      </c>
    </row>
    <row r="125" spans="1:64" ht="12.9" x14ac:dyDescent="0.35">
      <c r="A125" s="241"/>
      <c r="B125" s="242"/>
      <c r="C125" s="27" t="s">
        <v>68</v>
      </c>
      <c r="D125" s="25" t="s">
        <v>49</v>
      </c>
      <c r="E125" s="78">
        <f t="shared" si="69"/>
        <v>423.73</v>
      </c>
      <c r="F125" s="79">
        <v>422.12299999999999</v>
      </c>
      <c r="G125" s="80">
        <f>408.73-0.7</f>
        <v>408.03000000000003</v>
      </c>
      <c r="H125" s="81">
        <v>1.607</v>
      </c>
      <c r="I125" s="78">
        <f t="shared" si="136"/>
        <v>0</v>
      </c>
      <c r="J125" s="79"/>
      <c r="K125" s="80"/>
      <c r="L125" s="81"/>
      <c r="M125" s="70">
        <f t="shared" si="99"/>
        <v>423.73</v>
      </c>
      <c r="N125" s="71">
        <f t="shared" si="100"/>
        <v>422.12299999999999</v>
      </c>
      <c r="O125" s="72">
        <f t="shared" si="101"/>
        <v>408.03000000000003</v>
      </c>
      <c r="P125" s="134">
        <f t="shared" si="102"/>
        <v>1.607</v>
      </c>
      <c r="Q125" s="78">
        <f t="shared" si="137"/>
        <v>0</v>
      </c>
      <c r="R125" s="79"/>
      <c r="S125" s="80"/>
      <c r="T125" s="81"/>
      <c r="U125" s="70">
        <f t="shared" si="87"/>
        <v>423.73</v>
      </c>
      <c r="V125" s="71">
        <f t="shared" si="88"/>
        <v>422.12299999999999</v>
      </c>
      <c r="W125" s="72">
        <f t="shared" si="103"/>
        <v>408.03000000000003</v>
      </c>
      <c r="X125" s="134">
        <f t="shared" si="104"/>
        <v>1.607</v>
      </c>
      <c r="Y125" s="78">
        <f t="shared" si="138"/>
        <v>0</v>
      </c>
      <c r="Z125" s="79"/>
      <c r="AA125" s="80"/>
      <c r="AB125" s="81"/>
      <c r="AC125" s="70">
        <f t="shared" si="89"/>
        <v>423.73</v>
      </c>
      <c r="AD125" s="71">
        <f t="shared" si="90"/>
        <v>422.12299999999999</v>
      </c>
      <c r="AE125" s="72">
        <f t="shared" si="105"/>
        <v>408.03000000000003</v>
      </c>
      <c r="AF125" s="134">
        <f t="shared" si="106"/>
        <v>1.607</v>
      </c>
      <c r="AG125" s="78">
        <f t="shared" si="139"/>
        <v>0</v>
      </c>
      <c r="AH125" s="79"/>
      <c r="AI125" s="80"/>
      <c r="AJ125" s="81"/>
      <c r="AK125" s="70">
        <f t="shared" si="91"/>
        <v>423.73</v>
      </c>
      <c r="AL125" s="71">
        <f t="shared" si="92"/>
        <v>422.12299999999999</v>
      </c>
      <c r="AM125" s="72">
        <f t="shared" si="110"/>
        <v>408.03000000000003</v>
      </c>
      <c r="AN125" s="134">
        <f t="shared" si="107"/>
        <v>1.607</v>
      </c>
      <c r="AO125" s="78">
        <f t="shared" si="140"/>
        <v>0</v>
      </c>
      <c r="AP125" s="79"/>
      <c r="AQ125" s="80">
        <v>-1.5329999999999999</v>
      </c>
      <c r="AR125" s="81"/>
      <c r="AS125" s="70">
        <f t="shared" si="93"/>
        <v>423.73</v>
      </c>
      <c r="AT125" s="71">
        <f t="shared" si="123"/>
        <v>422.12299999999999</v>
      </c>
      <c r="AU125" s="72">
        <f t="shared" si="130"/>
        <v>406.49700000000001</v>
      </c>
      <c r="AV125" s="134">
        <f t="shared" si="131"/>
        <v>1.607</v>
      </c>
      <c r="AW125" s="78">
        <f t="shared" si="141"/>
        <v>-3.62</v>
      </c>
      <c r="AX125" s="79">
        <v>-3.62</v>
      </c>
      <c r="AY125" s="80">
        <v>-3.415</v>
      </c>
      <c r="AZ125" s="81"/>
      <c r="BA125" s="70">
        <f t="shared" si="95"/>
        <v>420.11</v>
      </c>
      <c r="BB125" s="71">
        <f t="shared" si="125"/>
        <v>418.50299999999999</v>
      </c>
      <c r="BC125" s="72">
        <f t="shared" si="132"/>
        <v>403.08199999999999</v>
      </c>
      <c r="BD125" s="134">
        <f t="shared" si="133"/>
        <v>1.607</v>
      </c>
      <c r="BE125" s="78">
        <f t="shared" si="142"/>
        <v>0</v>
      </c>
      <c r="BF125" s="79"/>
      <c r="BG125" s="80">
        <v>-2.3940000000000001</v>
      </c>
      <c r="BH125" s="81"/>
      <c r="BI125" s="70">
        <f t="shared" si="97"/>
        <v>420.11</v>
      </c>
      <c r="BJ125" s="71">
        <f t="shared" si="127"/>
        <v>418.50299999999999</v>
      </c>
      <c r="BK125" s="72">
        <f t="shared" si="134"/>
        <v>400.68799999999999</v>
      </c>
      <c r="BL125" s="134">
        <f t="shared" si="135"/>
        <v>1.607</v>
      </c>
    </row>
    <row r="126" spans="1:64" ht="12.9" x14ac:dyDescent="0.35">
      <c r="A126" s="241"/>
      <c r="B126" s="242"/>
      <c r="C126" s="27" t="s">
        <v>69</v>
      </c>
      <c r="D126" s="25" t="s">
        <v>187</v>
      </c>
      <c r="E126" s="78">
        <f t="shared" si="69"/>
        <v>2.4E-2</v>
      </c>
      <c r="F126" s="79">
        <v>2.4E-2</v>
      </c>
      <c r="G126" s="80">
        <v>2.4E-2</v>
      </c>
      <c r="H126" s="81"/>
      <c r="I126" s="78">
        <f t="shared" si="136"/>
        <v>0</v>
      </c>
      <c r="J126" s="79"/>
      <c r="K126" s="80"/>
      <c r="L126" s="81"/>
      <c r="M126" s="70">
        <f t="shared" si="99"/>
        <v>2.4E-2</v>
      </c>
      <c r="N126" s="71">
        <f t="shared" si="100"/>
        <v>2.4E-2</v>
      </c>
      <c r="O126" s="72">
        <f t="shared" si="101"/>
        <v>2.4E-2</v>
      </c>
      <c r="P126" s="134">
        <f t="shared" si="102"/>
        <v>0</v>
      </c>
      <c r="Q126" s="78">
        <f t="shared" si="137"/>
        <v>0.08</v>
      </c>
      <c r="R126" s="79">
        <v>0.08</v>
      </c>
      <c r="S126" s="80">
        <v>7.9000000000000001E-2</v>
      </c>
      <c r="T126" s="81"/>
      <c r="U126" s="70">
        <f t="shared" si="87"/>
        <v>0.10400000000000001</v>
      </c>
      <c r="V126" s="71">
        <f t="shared" si="88"/>
        <v>0.10400000000000001</v>
      </c>
      <c r="W126" s="72">
        <f t="shared" si="103"/>
        <v>0.10300000000000001</v>
      </c>
      <c r="X126" s="134">
        <f t="shared" si="104"/>
        <v>0</v>
      </c>
      <c r="Y126" s="78">
        <f t="shared" si="138"/>
        <v>5.6000000000000001E-2</v>
      </c>
      <c r="Z126" s="79">
        <v>5.6000000000000001E-2</v>
      </c>
      <c r="AA126" s="80">
        <v>5.5E-2</v>
      </c>
      <c r="AB126" s="81"/>
      <c r="AC126" s="70">
        <f t="shared" si="89"/>
        <v>0.16</v>
      </c>
      <c r="AD126" s="71">
        <f t="shared" si="90"/>
        <v>0.16</v>
      </c>
      <c r="AE126" s="72">
        <f t="shared" si="105"/>
        <v>0.158</v>
      </c>
      <c r="AF126" s="134">
        <f t="shared" si="106"/>
        <v>0</v>
      </c>
      <c r="AG126" s="78">
        <f t="shared" si="139"/>
        <v>0.13700000000000001</v>
      </c>
      <c r="AH126" s="79">
        <v>0.13700000000000001</v>
      </c>
      <c r="AI126" s="80">
        <v>0.13400000000000001</v>
      </c>
      <c r="AJ126" s="81"/>
      <c r="AK126" s="70">
        <f t="shared" si="91"/>
        <v>0.29700000000000004</v>
      </c>
      <c r="AL126" s="71">
        <f t="shared" si="92"/>
        <v>0.29700000000000004</v>
      </c>
      <c r="AM126" s="72">
        <f t="shared" si="110"/>
        <v>0.29200000000000004</v>
      </c>
      <c r="AN126" s="134">
        <f t="shared" si="107"/>
        <v>0</v>
      </c>
      <c r="AO126" s="78">
        <f t="shared" si="140"/>
        <v>0</v>
      </c>
      <c r="AP126" s="79"/>
      <c r="AQ126" s="80"/>
      <c r="AR126" s="81"/>
      <c r="AS126" s="70">
        <f t="shared" si="93"/>
        <v>0.29700000000000004</v>
      </c>
      <c r="AT126" s="71">
        <f t="shared" si="123"/>
        <v>0.29700000000000004</v>
      </c>
      <c r="AU126" s="72">
        <f t="shared" si="130"/>
        <v>0.29200000000000004</v>
      </c>
      <c r="AV126" s="134">
        <f t="shared" si="131"/>
        <v>0</v>
      </c>
      <c r="AW126" s="78">
        <f t="shared" si="141"/>
        <v>0</v>
      </c>
      <c r="AX126" s="79"/>
      <c r="AY126" s="80"/>
      <c r="AZ126" s="81"/>
      <c r="BA126" s="70">
        <f t="shared" si="95"/>
        <v>0.29700000000000004</v>
      </c>
      <c r="BB126" s="71">
        <f t="shared" si="125"/>
        <v>0.29700000000000004</v>
      </c>
      <c r="BC126" s="72">
        <f t="shared" si="132"/>
        <v>0.29200000000000004</v>
      </c>
      <c r="BD126" s="134">
        <f t="shared" si="133"/>
        <v>0</v>
      </c>
      <c r="BE126" s="78">
        <f t="shared" si="142"/>
        <v>0.34200000000000003</v>
      </c>
      <c r="BF126" s="79">
        <f>0.281+0.061</f>
        <v>0.34200000000000003</v>
      </c>
      <c r="BG126" s="80">
        <f>0.277+0.06</f>
        <v>0.33700000000000002</v>
      </c>
      <c r="BH126" s="81"/>
      <c r="BI126" s="70">
        <f t="shared" si="97"/>
        <v>0.63900000000000001</v>
      </c>
      <c r="BJ126" s="71">
        <f t="shared" si="127"/>
        <v>0.63900000000000001</v>
      </c>
      <c r="BK126" s="72">
        <f t="shared" si="134"/>
        <v>0.629</v>
      </c>
      <c r="BL126" s="134">
        <f t="shared" si="135"/>
        <v>0</v>
      </c>
    </row>
    <row r="127" spans="1:64" ht="12.9" x14ac:dyDescent="0.35">
      <c r="A127" s="232"/>
      <c r="B127" s="234"/>
      <c r="C127" s="27" t="s">
        <v>162</v>
      </c>
      <c r="D127" s="25" t="s">
        <v>137</v>
      </c>
      <c r="E127" s="78"/>
      <c r="F127" s="79"/>
      <c r="G127" s="80"/>
      <c r="H127" s="81"/>
      <c r="I127" s="78"/>
      <c r="J127" s="79"/>
      <c r="K127" s="80"/>
      <c r="L127" s="81"/>
      <c r="M127" s="70"/>
      <c r="N127" s="71"/>
      <c r="O127" s="72"/>
      <c r="P127" s="134"/>
      <c r="Q127" s="78"/>
      <c r="R127" s="79"/>
      <c r="S127" s="80"/>
      <c r="T127" s="81"/>
      <c r="U127" s="70"/>
      <c r="V127" s="71"/>
      <c r="W127" s="72"/>
      <c r="X127" s="134"/>
      <c r="Y127" s="78">
        <f t="shared" si="138"/>
        <v>3.9039999999999999</v>
      </c>
      <c r="Z127" s="79">
        <v>3.9039999999999999</v>
      </c>
      <c r="AA127" s="80">
        <v>3.8210000000000002</v>
      </c>
      <c r="AB127" s="81"/>
      <c r="AC127" s="70">
        <f t="shared" ref="AC127" si="143">SUM(AF127,AD127)</f>
        <v>3.9039999999999999</v>
      </c>
      <c r="AD127" s="71">
        <f t="shared" ref="AD127" si="144">V127+Z127</f>
        <v>3.9039999999999999</v>
      </c>
      <c r="AE127" s="72">
        <f t="shared" ref="AE127" si="145">W127+AA127</f>
        <v>3.8210000000000002</v>
      </c>
      <c r="AF127" s="134"/>
      <c r="AG127" s="78">
        <f t="shared" si="139"/>
        <v>0</v>
      </c>
      <c r="AH127" s="79"/>
      <c r="AI127" s="80"/>
      <c r="AJ127" s="81"/>
      <c r="AK127" s="70">
        <f t="shared" si="91"/>
        <v>3.9039999999999999</v>
      </c>
      <c r="AL127" s="71">
        <f t="shared" si="92"/>
        <v>3.9039999999999999</v>
      </c>
      <c r="AM127" s="72">
        <f t="shared" si="110"/>
        <v>3.8210000000000002</v>
      </c>
      <c r="AN127" s="134"/>
      <c r="AO127" s="78">
        <f t="shared" si="140"/>
        <v>0</v>
      </c>
      <c r="AP127" s="79"/>
      <c r="AQ127" s="80"/>
      <c r="AR127" s="81"/>
      <c r="AS127" s="70">
        <f t="shared" si="93"/>
        <v>3.9039999999999999</v>
      </c>
      <c r="AT127" s="71">
        <f t="shared" si="123"/>
        <v>3.9039999999999999</v>
      </c>
      <c r="AU127" s="72">
        <f t="shared" si="130"/>
        <v>3.8210000000000002</v>
      </c>
      <c r="AV127" s="134"/>
      <c r="AW127" s="78">
        <f t="shared" si="141"/>
        <v>2.7480000000000002</v>
      </c>
      <c r="AX127" s="79">
        <v>2.7480000000000002</v>
      </c>
      <c r="AY127" s="80">
        <v>1.27</v>
      </c>
      <c r="AZ127" s="81"/>
      <c r="BA127" s="70">
        <f t="shared" si="95"/>
        <v>6.6520000000000001</v>
      </c>
      <c r="BB127" s="71">
        <f t="shared" si="125"/>
        <v>6.6520000000000001</v>
      </c>
      <c r="BC127" s="72">
        <f t="shared" si="132"/>
        <v>5.0910000000000002</v>
      </c>
      <c r="BD127" s="134"/>
      <c r="BE127" s="78">
        <f t="shared" si="142"/>
        <v>0</v>
      </c>
      <c r="BF127" s="79"/>
      <c r="BG127" s="80"/>
      <c r="BH127" s="81"/>
      <c r="BI127" s="70">
        <f t="shared" si="97"/>
        <v>6.6520000000000001</v>
      </c>
      <c r="BJ127" s="71">
        <f t="shared" si="127"/>
        <v>6.6520000000000001</v>
      </c>
      <c r="BK127" s="72">
        <f t="shared" si="134"/>
        <v>5.0910000000000002</v>
      </c>
      <c r="BL127" s="134"/>
    </row>
    <row r="128" spans="1:64" ht="12.9" x14ac:dyDescent="0.35">
      <c r="A128" s="118" t="s">
        <v>23</v>
      </c>
      <c r="B128" s="76" t="s">
        <v>44</v>
      </c>
      <c r="C128" s="27" t="s">
        <v>190</v>
      </c>
      <c r="D128" s="25" t="s">
        <v>38</v>
      </c>
      <c r="E128" s="78">
        <f t="shared" si="69"/>
        <v>16.16</v>
      </c>
      <c r="F128" s="79">
        <v>16.16</v>
      </c>
      <c r="G128" s="80"/>
      <c r="H128" s="81"/>
      <c r="I128" s="78">
        <f t="shared" si="136"/>
        <v>0</v>
      </c>
      <c r="J128" s="79"/>
      <c r="K128" s="80"/>
      <c r="L128" s="81"/>
      <c r="M128" s="70">
        <f t="shared" si="99"/>
        <v>16.16</v>
      </c>
      <c r="N128" s="71">
        <f t="shared" si="100"/>
        <v>16.16</v>
      </c>
      <c r="O128" s="72">
        <f t="shared" si="101"/>
        <v>0</v>
      </c>
      <c r="P128" s="134">
        <f t="shared" si="102"/>
        <v>0</v>
      </c>
      <c r="Q128" s="78">
        <f t="shared" si="137"/>
        <v>0</v>
      </c>
      <c r="R128" s="79"/>
      <c r="S128" s="80"/>
      <c r="T128" s="81"/>
      <c r="U128" s="70">
        <f t="shared" si="87"/>
        <v>16.16</v>
      </c>
      <c r="V128" s="71">
        <f t="shared" si="88"/>
        <v>16.16</v>
      </c>
      <c r="W128" s="72">
        <f t="shared" si="103"/>
        <v>0</v>
      </c>
      <c r="X128" s="134">
        <f t="shared" si="104"/>
        <v>0</v>
      </c>
      <c r="Y128" s="78">
        <f t="shared" si="138"/>
        <v>0</v>
      </c>
      <c r="Z128" s="79"/>
      <c r="AA128" s="80"/>
      <c r="AB128" s="81"/>
      <c r="AC128" s="70">
        <f t="shared" si="89"/>
        <v>16.16</v>
      </c>
      <c r="AD128" s="71">
        <f t="shared" si="90"/>
        <v>16.16</v>
      </c>
      <c r="AE128" s="72">
        <f t="shared" si="105"/>
        <v>0</v>
      </c>
      <c r="AF128" s="134">
        <f t="shared" si="106"/>
        <v>0</v>
      </c>
      <c r="AG128" s="78">
        <f t="shared" si="139"/>
        <v>0</v>
      </c>
      <c r="AH128" s="79"/>
      <c r="AI128" s="80"/>
      <c r="AJ128" s="81"/>
      <c r="AK128" s="70">
        <f t="shared" si="91"/>
        <v>16.16</v>
      </c>
      <c r="AL128" s="71">
        <f t="shared" si="92"/>
        <v>16.16</v>
      </c>
      <c r="AM128" s="72">
        <f t="shared" si="110"/>
        <v>0</v>
      </c>
      <c r="AN128" s="134">
        <f t="shared" ref="AN128:AN192" si="146">AF128+AJ128</f>
        <v>0</v>
      </c>
      <c r="AO128" s="78">
        <f t="shared" si="140"/>
        <v>0</v>
      </c>
      <c r="AP128" s="79"/>
      <c r="AQ128" s="80"/>
      <c r="AR128" s="81"/>
      <c r="AS128" s="70">
        <f t="shared" si="93"/>
        <v>16.16</v>
      </c>
      <c r="AT128" s="71">
        <f t="shared" si="123"/>
        <v>16.16</v>
      </c>
      <c r="AU128" s="72">
        <f t="shared" si="130"/>
        <v>0</v>
      </c>
      <c r="AV128" s="134">
        <f t="shared" ref="AV128:AV192" si="147">AN128+AR128</f>
        <v>0</v>
      </c>
      <c r="AW128" s="78">
        <f t="shared" si="141"/>
        <v>-3</v>
      </c>
      <c r="AX128" s="79">
        <v>-3</v>
      </c>
      <c r="AY128" s="80"/>
      <c r="AZ128" s="81"/>
      <c r="BA128" s="70">
        <f t="shared" si="95"/>
        <v>13.16</v>
      </c>
      <c r="BB128" s="71">
        <f t="shared" si="125"/>
        <v>13.16</v>
      </c>
      <c r="BC128" s="72">
        <f t="shared" si="132"/>
        <v>0</v>
      </c>
      <c r="BD128" s="134">
        <f t="shared" ref="BD128:BD192" si="148">AV128+AZ128</f>
        <v>0</v>
      </c>
      <c r="BE128" s="78">
        <f t="shared" si="142"/>
        <v>0.4</v>
      </c>
      <c r="BF128" s="79">
        <v>0.4</v>
      </c>
      <c r="BG128" s="80"/>
      <c r="BH128" s="81"/>
      <c r="BI128" s="70">
        <f t="shared" si="97"/>
        <v>13.56</v>
      </c>
      <c r="BJ128" s="71">
        <f t="shared" si="127"/>
        <v>13.56</v>
      </c>
      <c r="BK128" s="72">
        <f t="shared" si="134"/>
        <v>0</v>
      </c>
      <c r="BL128" s="134">
        <f t="shared" ref="BL128:BL192" si="149">BD128+BH128</f>
        <v>0</v>
      </c>
    </row>
    <row r="129" spans="1:64" ht="12.9" x14ac:dyDescent="0.35">
      <c r="A129" s="283" t="s">
        <v>33</v>
      </c>
      <c r="B129" s="233" t="s">
        <v>45</v>
      </c>
      <c r="C129" s="27" t="s">
        <v>230</v>
      </c>
      <c r="D129" s="25" t="s">
        <v>125</v>
      </c>
      <c r="E129" s="78">
        <f t="shared" si="69"/>
        <v>1</v>
      </c>
      <c r="F129" s="79">
        <v>1</v>
      </c>
      <c r="G129" s="80"/>
      <c r="H129" s="81"/>
      <c r="I129" s="78">
        <f t="shared" si="136"/>
        <v>0</v>
      </c>
      <c r="J129" s="79"/>
      <c r="K129" s="80"/>
      <c r="L129" s="81"/>
      <c r="M129" s="70">
        <f t="shared" si="99"/>
        <v>1</v>
      </c>
      <c r="N129" s="71">
        <f t="shared" si="100"/>
        <v>1</v>
      </c>
      <c r="O129" s="72">
        <f t="shared" si="101"/>
        <v>0</v>
      </c>
      <c r="P129" s="134">
        <f t="shared" si="102"/>
        <v>0</v>
      </c>
      <c r="Q129" s="78">
        <f t="shared" si="137"/>
        <v>0</v>
      </c>
      <c r="R129" s="79"/>
      <c r="S129" s="80"/>
      <c r="T129" s="81"/>
      <c r="U129" s="70">
        <f t="shared" si="87"/>
        <v>1</v>
      </c>
      <c r="V129" s="71">
        <f t="shared" si="88"/>
        <v>1</v>
      </c>
      <c r="W129" s="72">
        <f t="shared" si="103"/>
        <v>0</v>
      </c>
      <c r="X129" s="134">
        <f t="shared" si="104"/>
        <v>0</v>
      </c>
      <c r="Y129" s="78">
        <f t="shared" si="138"/>
        <v>0</v>
      </c>
      <c r="Z129" s="79"/>
      <c r="AA129" s="80"/>
      <c r="AB129" s="81"/>
      <c r="AC129" s="70">
        <f t="shared" si="89"/>
        <v>1</v>
      </c>
      <c r="AD129" s="71">
        <f t="shared" si="90"/>
        <v>1</v>
      </c>
      <c r="AE129" s="72">
        <f t="shared" si="105"/>
        <v>0</v>
      </c>
      <c r="AF129" s="134">
        <f t="shared" si="106"/>
        <v>0</v>
      </c>
      <c r="AG129" s="78">
        <f t="shared" si="139"/>
        <v>0</v>
      </c>
      <c r="AH129" s="79"/>
      <c r="AI129" s="80"/>
      <c r="AJ129" s="81"/>
      <c r="AK129" s="70">
        <f t="shared" si="91"/>
        <v>1</v>
      </c>
      <c r="AL129" s="71">
        <f t="shared" si="92"/>
        <v>1</v>
      </c>
      <c r="AM129" s="72">
        <f t="shared" si="110"/>
        <v>0</v>
      </c>
      <c r="AN129" s="134">
        <f t="shared" si="146"/>
        <v>0</v>
      </c>
      <c r="AO129" s="78">
        <f t="shared" si="140"/>
        <v>0</v>
      </c>
      <c r="AP129" s="79"/>
      <c r="AQ129" s="80"/>
      <c r="AR129" s="81"/>
      <c r="AS129" s="70">
        <f t="shared" si="93"/>
        <v>1</v>
      </c>
      <c r="AT129" s="71">
        <f t="shared" si="123"/>
        <v>1</v>
      </c>
      <c r="AU129" s="72">
        <f t="shared" si="130"/>
        <v>0</v>
      </c>
      <c r="AV129" s="134">
        <f t="shared" si="147"/>
        <v>0</v>
      </c>
      <c r="AW129" s="78">
        <f t="shared" si="141"/>
        <v>0</v>
      </c>
      <c r="AX129" s="79"/>
      <c r="AY129" s="80"/>
      <c r="AZ129" s="81"/>
      <c r="BA129" s="70">
        <f t="shared" si="95"/>
        <v>1</v>
      </c>
      <c r="BB129" s="71">
        <f t="shared" si="125"/>
        <v>1</v>
      </c>
      <c r="BC129" s="72">
        <f t="shared" si="132"/>
        <v>0</v>
      </c>
      <c r="BD129" s="134">
        <f t="shared" si="148"/>
        <v>0</v>
      </c>
      <c r="BE129" s="78">
        <f t="shared" si="142"/>
        <v>0</v>
      </c>
      <c r="BF129" s="79"/>
      <c r="BG129" s="80"/>
      <c r="BH129" s="81"/>
      <c r="BI129" s="70">
        <f t="shared" si="97"/>
        <v>1</v>
      </c>
      <c r="BJ129" s="71">
        <f t="shared" si="127"/>
        <v>1</v>
      </c>
      <c r="BK129" s="72">
        <f t="shared" si="134"/>
        <v>0</v>
      </c>
      <c r="BL129" s="134">
        <f t="shared" si="149"/>
        <v>0</v>
      </c>
    </row>
    <row r="130" spans="1:64" ht="12.9" x14ac:dyDescent="0.35">
      <c r="A130" s="288"/>
      <c r="B130" s="242"/>
      <c r="C130" s="27" t="s">
        <v>265</v>
      </c>
      <c r="D130" s="25" t="s">
        <v>50</v>
      </c>
      <c r="E130" s="78">
        <f t="shared" si="69"/>
        <v>0</v>
      </c>
      <c r="F130" s="79"/>
      <c r="G130" s="80"/>
      <c r="H130" s="81"/>
      <c r="I130" s="78">
        <f t="shared" si="136"/>
        <v>0</v>
      </c>
      <c r="J130" s="79"/>
      <c r="K130" s="80"/>
      <c r="L130" s="81"/>
      <c r="M130" s="70">
        <f t="shared" si="99"/>
        <v>0</v>
      </c>
      <c r="N130" s="71">
        <f t="shared" si="100"/>
        <v>0</v>
      </c>
      <c r="O130" s="72">
        <f t="shared" si="101"/>
        <v>0</v>
      </c>
      <c r="P130" s="134">
        <f t="shared" si="102"/>
        <v>0</v>
      </c>
      <c r="Q130" s="78">
        <f t="shared" si="137"/>
        <v>0</v>
      </c>
      <c r="R130" s="79"/>
      <c r="S130" s="80"/>
      <c r="T130" s="81"/>
      <c r="U130" s="70">
        <f t="shared" si="87"/>
        <v>0</v>
      </c>
      <c r="V130" s="71">
        <f t="shared" si="88"/>
        <v>0</v>
      </c>
      <c r="W130" s="72">
        <f t="shared" si="103"/>
        <v>0</v>
      </c>
      <c r="X130" s="134">
        <f t="shared" si="104"/>
        <v>0</v>
      </c>
      <c r="Y130" s="78">
        <f t="shared" si="138"/>
        <v>1.5</v>
      </c>
      <c r="Z130" s="79">
        <v>1.5</v>
      </c>
      <c r="AA130" s="80"/>
      <c r="AB130" s="81"/>
      <c r="AC130" s="70">
        <f t="shared" si="89"/>
        <v>1.5</v>
      </c>
      <c r="AD130" s="71">
        <f t="shared" si="90"/>
        <v>1.5</v>
      </c>
      <c r="AE130" s="72">
        <f t="shared" si="105"/>
        <v>0</v>
      </c>
      <c r="AF130" s="134">
        <f t="shared" si="106"/>
        <v>0</v>
      </c>
      <c r="AG130" s="78">
        <f t="shared" si="139"/>
        <v>0</v>
      </c>
      <c r="AH130" s="79"/>
      <c r="AI130" s="80"/>
      <c r="AJ130" s="81"/>
      <c r="AK130" s="70">
        <f t="shared" si="91"/>
        <v>1.5</v>
      </c>
      <c r="AL130" s="71">
        <f t="shared" si="92"/>
        <v>1.5</v>
      </c>
      <c r="AM130" s="72">
        <f t="shared" si="110"/>
        <v>0</v>
      </c>
      <c r="AN130" s="134">
        <f t="shared" si="146"/>
        <v>0</v>
      </c>
      <c r="AO130" s="78">
        <f t="shared" si="140"/>
        <v>0</v>
      </c>
      <c r="AP130" s="79"/>
      <c r="AQ130" s="80"/>
      <c r="AR130" s="81"/>
      <c r="AS130" s="70">
        <f t="shared" si="93"/>
        <v>1.5</v>
      </c>
      <c r="AT130" s="71">
        <f t="shared" si="123"/>
        <v>1.5</v>
      </c>
      <c r="AU130" s="72">
        <f t="shared" si="130"/>
        <v>0</v>
      </c>
      <c r="AV130" s="134">
        <f t="shared" si="147"/>
        <v>0</v>
      </c>
      <c r="AW130" s="78">
        <f t="shared" si="141"/>
        <v>0</v>
      </c>
      <c r="AX130" s="79"/>
      <c r="AY130" s="80"/>
      <c r="AZ130" s="81"/>
      <c r="BA130" s="70">
        <f t="shared" si="95"/>
        <v>1.5</v>
      </c>
      <c r="BB130" s="71">
        <f t="shared" si="125"/>
        <v>1.5</v>
      </c>
      <c r="BC130" s="72">
        <f t="shared" si="132"/>
        <v>0</v>
      </c>
      <c r="BD130" s="134">
        <f t="shared" si="148"/>
        <v>0</v>
      </c>
      <c r="BE130" s="78">
        <f t="shared" si="142"/>
        <v>0</v>
      </c>
      <c r="BF130" s="79"/>
      <c r="BG130" s="80"/>
      <c r="BH130" s="81"/>
      <c r="BI130" s="70">
        <f t="shared" si="97"/>
        <v>1.5</v>
      </c>
      <c r="BJ130" s="71">
        <f t="shared" si="127"/>
        <v>1.5</v>
      </c>
      <c r="BK130" s="72">
        <f t="shared" si="134"/>
        <v>0</v>
      </c>
      <c r="BL130" s="134">
        <f t="shared" si="149"/>
        <v>0</v>
      </c>
    </row>
    <row r="131" spans="1:64" ht="12.9" x14ac:dyDescent="0.35">
      <c r="A131" s="284"/>
      <c r="B131" s="234"/>
      <c r="C131" s="27" t="s">
        <v>271</v>
      </c>
      <c r="D131" s="25" t="s">
        <v>137</v>
      </c>
      <c r="E131" s="78">
        <f t="shared" si="69"/>
        <v>0</v>
      </c>
      <c r="F131" s="79"/>
      <c r="G131" s="80"/>
      <c r="H131" s="81"/>
      <c r="I131" s="78">
        <f t="shared" si="136"/>
        <v>0</v>
      </c>
      <c r="J131" s="79"/>
      <c r="K131" s="80"/>
      <c r="L131" s="81"/>
      <c r="M131" s="70">
        <f t="shared" si="99"/>
        <v>0</v>
      </c>
      <c r="N131" s="71">
        <f t="shared" si="100"/>
        <v>0</v>
      </c>
      <c r="O131" s="72">
        <f t="shared" si="101"/>
        <v>0</v>
      </c>
      <c r="P131" s="134">
        <f t="shared" si="102"/>
        <v>0</v>
      </c>
      <c r="Q131" s="78">
        <f t="shared" si="137"/>
        <v>0.248</v>
      </c>
      <c r="R131" s="79">
        <v>0.248</v>
      </c>
      <c r="S131" s="80"/>
      <c r="T131" s="81"/>
      <c r="U131" s="70">
        <f t="shared" si="87"/>
        <v>0.248</v>
      </c>
      <c r="V131" s="71">
        <f t="shared" si="88"/>
        <v>0.248</v>
      </c>
      <c r="W131" s="72">
        <f t="shared" si="103"/>
        <v>0</v>
      </c>
      <c r="X131" s="134">
        <f t="shared" si="104"/>
        <v>0</v>
      </c>
      <c r="Y131" s="78">
        <f t="shared" si="138"/>
        <v>0</v>
      </c>
      <c r="Z131" s="79"/>
      <c r="AA131" s="80"/>
      <c r="AB131" s="81"/>
      <c r="AC131" s="70">
        <f t="shared" si="89"/>
        <v>0.248</v>
      </c>
      <c r="AD131" s="71">
        <f t="shared" si="90"/>
        <v>0.248</v>
      </c>
      <c r="AE131" s="72">
        <f t="shared" si="105"/>
        <v>0</v>
      </c>
      <c r="AF131" s="134">
        <f t="shared" si="106"/>
        <v>0</v>
      </c>
      <c r="AG131" s="78">
        <f t="shared" si="139"/>
        <v>0</v>
      </c>
      <c r="AH131" s="79"/>
      <c r="AI131" s="80"/>
      <c r="AJ131" s="81"/>
      <c r="AK131" s="70">
        <f t="shared" si="91"/>
        <v>0.248</v>
      </c>
      <c r="AL131" s="71">
        <f t="shared" si="92"/>
        <v>0.248</v>
      </c>
      <c r="AM131" s="72">
        <f t="shared" si="110"/>
        <v>0</v>
      </c>
      <c r="AN131" s="134">
        <f t="shared" si="146"/>
        <v>0</v>
      </c>
      <c r="AO131" s="78">
        <f t="shared" si="140"/>
        <v>0</v>
      </c>
      <c r="AP131" s="79"/>
      <c r="AQ131" s="80"/>
      <c r="AR131" s="81"/>
      <c r="AS131" s="70">
        <f t="shared" si="93"/>
        <v>0.248</v>
      </c>
      <c r="AT131" s="71">
        <f t="shared" si="123"/>
        <v>0.248</v>
      </c>
      <c r="AU131" s="72">
        <f t="shared" si="130"/>
        <v>0</v>
      </c>
      <c r="AV131" s="134">
        <f t="shared" si="147"/>
        <v>0</v>
      </c>
      <c r="AW131" s="78">
        <f t="shared" si="141"/>
        <v>0.17799999999999999</v>
      </c>
      <c r="AX131" s="79">
        <v>0.17799999999999999</v>
      </c>
      <c r="AY131" s="80"/>
      <c r="AZ131" s="81"/>
      <c r="BA131" s="70">
        <f t="shared" si="95"/>
        <v>0.42599999999999999</v>
      </c>
      <c r="BB131" s="71">
        <f t="shared" si="125"/>
        <v>0.42599999999999999</v>
      </c>
      <c r="BC131" s="72">
        <f t="shared" si="132"/>
        <v>0</v>
      </c>
      <c r="BD131" s="134">
        <f t="shared" si="148"/>
        <v>0</v>
      </c>
      <c r="BE131" s="78">
        <f t="shared" si="142"/>
        <v>0</v>
      </c>
      <c r="BF131" s="79"/>
      <c r="BG131" s="80"/>
      <c r="BH131" s="81"/>
      <c r="BI131" s="70">
        <f t="shared" si="97"/>
        <v>0.42599999999999999</v>
      </c>
      <c r="BJ131" s="71">
        <f t="shared" si="127"/>
        <v>0.42599999999999999</v>
      </c>
      <c r="BK131" s="72">
        <f t="shared" si="134"/>
        <v>0</v>
      </c>
      <c r="BL131" s="134">
        <f t="shared" si="149"/>
        <v>0</v>
      </c>
    </row>
    <row r="132" spans="1:64" ht="12.9" x14ac:dyDescent="0.35">
      <c r="A132" s="285" t="s">
        <v>32</v>
      </c>
      <c r="B132" s="237" t="s">
        <v>46</v>
      </c>
      <c r="C132" s="27" t="s">
        <v>273</v>
      </c>
      <c r="D132" s="25" t="s">
        <v>125</v>
      </c>
      <c r="E132" s="78">
        <f t="shared" si="69"/>
        <v>0.75</v>
      </c>
      <c r="F132" s="79">
        <v>0.75</v>
      </c>
      <c r="G132" s="80"/>
      <c r="H132" s="81"/>
      <c r="I132" s="78">
        <f t="shared" si="136"/>
        <v>0</v>
      </c>
      <c r="J132" s="79"/>
      <c r="K132" s="80"/>
      <c r="L132" s="81"/>
      <c r="M132" s="70">
        <f t="shared" si="99"/>
        <v>0.75</v>
      </c>
      <c r="N132" s="71">
        <f t="shared" si="100"/>
        <v>0.75</v>
      </c>
      <c r="O132" s="72">
        <f t="shared" si="101"/>
        <v>0</v>
      </c>
      <c r="P132" s="134">
        <f t="shared" si="102"/>
        <v>0</v>
      </c>
      <c r="Q132" s="78">
        <f t="shared" si="137"/>
        <v>0</v>
      </c>
      <c r="R132" s="79"/>
      <c r="S132" s="80"/>
      <c r="T132" s="81"/>
      <c r="U132" s="70">
        <f t="shared" si="87"/>
        <v>0.75</v>
      </c>
      <c r="V132" s="71">
        <f t="shared" si="88"/>
        <v>0.75</v>
      </c>
      <c r="W132" s="72">
        <f t="shared" si="103"/>
        <v>0</v>
      </c>
      <c r="X132" s="134">
        <f t="shared" si="104"/>
        <v>0</v>
      </c>
      <c r="Y132" s="78">
        <f t="shared" si="138"/>
        <v>0</v>
      </c>
      <c r="Z132" s="79"/>
      <c r="AA132" s="80"/>
      <c r="AB132" s="81"/>
      <c r="AC132" s="70">
        <f t="shared" si="89"/>
        <v>0.75</v>
      </c>
      <c r="AD132" s="71">
        <f t="shared" si="90"/>
        <v>0.75</v>
      </c>
      <c r="AE132" s="72">
        <f t="shared" si="105"/>
        <v>0</v>
      </c>
      <c r="AF132" s="134">
        <f t="shared" si="106"/>
        <v>0</v>
      </c>
      <c r="AG132" s="78">
        <f t="shared" si="139"/>
        <v>0</v>
      </c>
      <c r="AH132" s="79"/>
      <c r="AI132" s="80"/>
      <c r="AJ132" s="81"/>
      <c r="AK132" s="70">
        <f t="shared" si="91"/>
        <v>0.75</v>
      </c>
      <c r="AL132" s="71">
        <f t="shared" si="92"/>
        <v>0.75</v>
      </c>
      <c r="AM132" s="72">
        <f t="shared" si="110"/>
        <v>0</v>
      </c>
      <c r="AN132" s="134">
        <f t="shared" si="146"/>
        <v>0</v>
      </c>
      <c r="AO132" s="78">
        <f t="shared" si="140"/>
        <v>0</v>
      </c>
      <c r="AP132" s="79"/>
      <c r="AQ132" s="80"/>
      <c r="AR132" s="81"/>
      <c r="AS132" s="70">
        <f t="shared" si="93"/>
        <v>0.75</v>
      </c>
      <c r="AT132" s="71">
        <f t="shared" si="123"/>
        <v>0.75</v>
      </c>
      <c r="AU132" s="72">
        <f t="shared" si="130"/>
        <v>0</v>
      </c>
      <c r="AV132" s="134">
        <f t="shared" si="147"/>
        <v>0</v>
      </c>
      <c r="AW132" s="78">
        <f t="shared" si="141"/>
        <v>-5.5E-2</v>
      </c>
      <c r="AX132" s="79">
        <v>-5.5E-2</v>
      </c>
      <c r="AY132" s="80"/>
      <c r="AZ132" s="81"/>
      <c r="BA132" s="70">
        <f t="shared" si="95"/>
        <v>0.69499999999999995</v>
      </c>
      <c r="BB132" s="71">
        <f t="shared" si="125"/>
        <v>0.69499999999999995</v>
      </c>
      <c r="BC132" s="72">
        <f t="shared" si="132"/>
        <v>0</v>
      </c>
      <c r="BD132" s="134">
        <f t="shared" si="148"/>
        <v>0</v>
      </c>
      <c r="BE132" s="78">
        <f t="shared" si="142"/>
        <v>0</v>
      </c>
      <c r="BF132" s="79"/>
      <c r="BG132" s="80"/>
      <c r="BH132" s="81"/>
      <c r="BI132" s="70">
        <f t="shared" si="97"/>
        <v>0.69499999999999995</v>
      </c>
      <c r="BJ132" s="71">
        <f t="shared" si="127"/>
        <v>0.69499999999999995</v>
      </c>
      <c r="BK132" s="72">
        <f t="shared" si="134"/>
        <v>0</v>
      </c>
      <c r="BL132" s="134">
        <f t="shared" si="149"/>
        <v>0</v>
      </c>
    </row>
    <row r="133" spans="1:64" ht="12.9" hidden="1" x14ac:dyDescent="0.35">
      <c r="A133" s="286"/>
      <c r="B133" s="238"/>
      <c r="C133" s="27" t="s">
        <v>230</v>
      </c>
      <c r="D133" s="25" t="s">
        <v>50</v>
      </c>
      <c r="E133" s="78">
        <f t="shared" si="69"/>
        <v>0</v>
      </c>
      <c r="F133" s="79"/>
      <c r="G133" s="80"/>
      <c r="H133" s="81"/>
      <c r="I133" s="78">
        <f t="shared" si="136"/>
        <v>0</v>
      </c>
      <c r="J133" s="79"/>
      <c r="K133" s="80"/>
      <c r="L133" s="81"/>
      <c r="M133" s="70">
        <f t="shared" si="99"/>
        <v>0</v>
      </c>
      <c r="N133" s="71">
        <f t="shared" si="100"/>
        <v>0</v>
      </c>
      <c r="O133" s="72">
        <f t="shared" si="101"/>
        <v>0</v>
      </c>
      <c r="P133" s="134">
        <f t="shared" si="102"/>
        <v>0</v>
      </c>
      <c r="Q133" s="78">
        <f t="shared" si="137"/>
        <v>0</v>
      </c>
      <c r="R133" s="79"/>
      <c r="S133" s="80"/>
      <c r="T133" s="81"/>
      <c r="U133" s="70">
        <f t="shared" si="87"/>
        <v>0</v>
      </c>
      <c r="V133" s="71">
        <f t="shared" si="88"/>
        <v>0</v>
      </c>
      <c r="W133" s="72">
        <f t="shared" si="103"/>
        <v>0</v>
      </c>
      <c r="X133" s="134">
        <f t="shared" si="104"/>
        <v>0</v>
      </c>
      <c r="Y133" s="78">
        <f t="shared" si="138"/>
        <v>0</v>
      </c>
      <c r="Z133" s="79"/>
      <c r="AA133" s="80"/>
      <c r="AB133" s="81"/>
      <c r="AC133" s="70">
        <f t="shared" si="89"/>
        <v>0</v>
      </c>
      <c r="AD133" s="71">
        <f t="shared" si="90"/>
        <v>0</v>
      </c>
      <c r="AE133" s="72">
        <f t="shared" si="105"/>
        <v>0</v>
      </c>
      <c r="AF133" s="134">
        <f t="shared" si="106"/>
        <v>0</v>
      </c>
      <c r="AG133" s="78">
        <f t="shared" si="139"/>
        <v>0</v>
      </c>
      <c r="AH133" s="79"/>
      <c r="AI133" s="80"/>
      <c r="AJ133" s="81"/>
      <c r="AK133" s="70">
        <f t="shared" si="91"/>
        <v>0</v>
      </c>
      <c r="AL133" s="71">
        <f t="shared" si="92"/>
        <v>0</v>
      </c>
      <c r="AM133" s="72">
        <f t="shared" si="110"/>
        <v>0</v>
      </c>
      <c r="AN133" s="134">
        <f t="shared" si="146"/>
        <v>0</v>
      </c>
      <c r="AO133" s="78">
        <f t="shared" si="140"/>
        <v>0</v>
      </c>
      <c r="AP133" s="79"/>
      <c r="AQ133" s="80"/>
      <c r="AR133" s="81"/>
      <c r="AS133" s="70">
        <f t="shared" si="93"/>
        <v>0</v>
      </c>
      <c r="AT133" s="71">
        <f t="shared" si="123"/>
        <v>0</v>
      </c>
      <c r="AU133" s="72">
        <f t="shared" si="130"/>
        <v>0</v>
      </c>
      <c r="AV133" s="134">
        <f t="shared" si="147"/>
        <v>0</v>
      </c>
      <c r="AW133" s="78">
        <f t="shared" si="141"/>
        <v>0</v>
      </c>
      <c r="AX133" s="79"/>
      <c r="AY133" s="80"/>
      <c r="AZ133" s="81"/>
      <c r="BA133" s="70">
        <f t="shared" si="95"/>
        <v>0</v>
      </c>
      <c r="BB133" s="71">
        <f t="shared" si="125"/>
        <v>0</v>
      </c>
      <c r="BC133" s="72">
        <f t="shared" si="132"/>
        <v>0</v>
      </c>
      <c r="BD133" s="134">
        <f t="shared" si="148"/>
        <v>0</v>
      </c>
      <c r="BE133" s="78">
        <f t="shared" si="142"/>
        <v>0</v>
      </c>
      <c r="BF133" s="79"/>
      <c r="BG133" s="80"/>
      <c r="BH133" s="81"/>
      <c r="BI133" s="70">
        <f t="shared" si="97"/>
        <v>0</v>
      </c>
      <c r="BJ133" s="71">
        <f t="shared" si="127"/>
        <v>0</v>
      </c>
      <c r="BK133" s="72">
        <f t="shared" si="134"/>
        <v>0</v>
      </c>
      <c r="BL133" s="134">
        <f t="shared" si="149"/>
        <v>0</v>
      </c>
    </row>
    <row r="134" spans="1:64" ht="12.9" hidden="1" x14ac:dyDescent="0.35">
      <c r="A134" s="118" t="s">
        <v>7</v>
      </c>
      <c r="B134" s="23" t="s">
        <v>48</v>
      </c>
      <c r="C134" s="27"/>
      <c r="D134" s="25" t="s">
        <v>125</v>
      </c>
      <c r="E134" s="78">
        <f t="shared" si="69"/>
        <v>0</v>
      </c>
      <c r="F134" s="79"/>
      <c r="G134" s="80"/>
      <c r="H134" s="81"/>
      <c r="I134" s="78">
        <f t="shared" si="136"/>
        <v>0</v>
      </c>
      <c r="J134" s="79"/>
      <c r="K134" s="80"/>
      <c r="L134" s="81"/>
      <c r="M134" s="70">
        <f t="shared" si="99"/>
        <v>0</v>
      </c>
      <c r="N134" s="71">
        <f t="shared" si="100"/>
        <v>0</v>
      </c>
      <c r="O134" s="72">
        <f t="shared" si="101"/>
        <v>0</v>
      </c>
      <c r="P134" s="134">
        <f t="shared" si="102"/>
        <v>0</v>
      </c>
      <c r="Q134" s="78">
        <f t="shared" si="137"/>
        <v>0</v>
      </c>
      <c r="R134" s="79"/>
      <c r="S134" s="80"/>
      <c r="T134" s="81"/>
      <c r="U134" s="70">
        <f t="shared" si="87"/>
        <v>0</v>
      </c>
      <c r="V134" s="71">
        <f t="shared" si="88"/>
        <v>0</v>
      </c>
      <c r="W134" s="72">
        <f t="shared" si="103"/>
        <v>0</v>
      </c>
      <c r="X134" s="134">
        <f t="shared" si="104"/>
        <v>0</v>
      </c>
      <c r="Y134" s="78">
        <f t="shared" si="138"/>
        <v>0</v>
      </c>
      <c r="Z134" s="79"/>
      <c r="AA134" s="80"/>
      <c r="AB134" s="81"/>
      <c r="AC134" s="70">
        <f t="shared" si="89"/>
        <v>0</v>
      </c>
      <c r="AD134" s="71">
        <f t="shared" si="90"/>
        <v>0</v>
      </c>
      <c r="AE134" s="72">
        <f t="shared" si="105"/>
        <v>0</v>
      </c>
      <c r="AF134" s="134">
        <f t="shared" si="106"/>
        <v>0</v>
      </c>
      <c r="AG134" s="78">
        <f t="shared" si="139"/>
        <v>0</v>
      </c>
      <c r="AH134" s="79"/>
      <c r="AI134" s="80"/>
      <c r="AJ134" s="81"/>
      <c r="AK134" s="70">
        <f t="shared" si="91"/>
        <v>0</v>
      </c>
      <c r="AL134" s="71">
        <f t="shared" si="92"/>
        <v>0</v>
      </c>
      <c r="AM134" s="72">
        <f t="shared" si="110"/>
        <v>0</v>
      </c>
      <c r="AN134" s="134">
        <f t="shared" si="146"/>
        <v>0</v>
      </c>
      <c r="AO134" s="78">
        <f t="shared" si="140"/>
        <v>0</v>
      </c>
      <c r="AP134" s="79"/>
      <c r="AQ134" s="80"/>
      <c r="AR134" s="81"/>
      <c r="AS134" s="70">
        <f t="shared" si="93"/>
        <v>0</v>
      </c>
      <c r="AT134" s="71">
        <f t="shared" si="123"/>
        <v>0</v>
      </c>
      <c r="AU134" s="72">
        <f t="shared" si="130"/>
        <v>0</v>
      </c>
      <c r="AV134" s="134">
        <f t="shared" si="147"/>
        <v>0</v>
      </c>
      <c r="AW134" s="78">
        <f t="shared" si="141"/>
        <v>0</v>
      </c>
      <c r="AX134" s="79"/>
      <c r="AY134" s="80"/>
      <c r="AZ134" s="81"/>
      <c r="BA134" s="70">
        <f t="shared" si="95"/>
        <v>0</v>
      </c>
      <c r="BB134" s="71">
        <f t="shared" si="125"/>
        <v>0</v>
      </c>
      <c r="BC134" s="72">
        <f t="shared" si="132"/>
        <v>0</v>
      </c>
      <c r="BD134" s="134">
        <f t="shared" si="148"/>
        <v>0</v>
      </c>
      <c r="BE134" s="78">
        <f t="shared" si="142"/>
        <v>0</v>
      </c>
      <c r="BF134" s="79"/>
      <c r="BG134" s="80"/>
      <c r="BH134" s="81"/>
      <c r="BI134" s="70">
        <f t="shared" si="97"/>
        <v>0</v>
      </c>
      <c r="BJ134" s="71">
        <f t="shared" si="127"/>
        <v>0</v>
      </c>
      <c r="BK134" s="72">
        <f t="shared" si="134"/>
        <v>0</v>
      </c>
      <c r="BL134" s="134">
        <f t="shared" si="149"/>
        <v>0</v>
      </c>
    </row>
    <row r="135" spans="1:64" s="138" customFormat="1" ht="12.45" x14ac:dyDescent="0.3">
      <c r="A135" s="135"/>
      <c r="B135" s="136" t="s">
        <v>10</v>
      </c>
      <c r="C135" s="42" t="s">
        <v>179</v>
      </c>
      <c r="D135" s="137"/>
      <c r="E135" s="73">
        <f t="shared" si="69"/>
        <v>534.74399999999991</v>
      </c>
      <c r="F135" s="74">
        <f>SUM(F137:F145)</f>
        <v>533.13699999999994</v>
      </c>
      <c r="G135" s="75">
        <f>SUM(G137:G145)</f>
        <v>434.08000000000004</v>
      </c>
      <c r="H135" s="133">
        <f>SUM(H137:H145)</f>
        <v>1.607</v>
      </c>
      <c r="I135" s="73">
        <f t="shared" si="136"/>
        <v>0</v>
      </c>
      <c r="J135" s="74">
        <f>SUM(J137:J145)</f>
        <v>0</v>
      </c>
      <c r="K135" s="75">
        <f>SUM(K137:K145)</f>
        <v>0</v>
      </c>
      <c r="L135" s="133">
        <f>SUM(L137:L145)</f>
        <v>0</v>
      </c>
      <c r="M135" s="73">
        <f t="shared" si="99"/>
        <v>534.74399999999991</v>
      </c>
      <c r="N135" s="74">
        <f t="shared" si="100"/>
        <v>533.13699999999994</v>
      </c>
      <c r="O135" s="75">
        <f t="shared" si="101"/>
        <v>434.08000000000004</v>
      </c>
      <c r="P135" s="133">
        <f t="shared" si="102"/>
        <v>1.607</v>
      </c>
      <c r="Q135" s="73">
        <f t="shared" si="137"/>
        <v>4.5999999999999999E-2</v>
      </c>
      <c r="R135" s="74">
        <f>SUM(R137:R145)</f>
        <v>4.5999999999999999E-2</v>
      </c>
      <c r="S135" s="75">
        <f>SUM(S137:S145)</f>
        <v>-0.69200000000000006</v>
      </c>
      <c r="T135" s="133">
        <f>SUM(T137:T145)</f>
        <v>0</v>
      </c>
      <c r="U135" s="73">
        <f t="shared" si="87"/>
        <v>534.79</v>
      </c>
      <c r="V135" s="74">
        <f t="shared" si="88"/>
        <v>533.18299999999999</v>
      </c>
      <c r="W135" s="75">
        <f t="shared" si="103"/>
        <v>433.38800000000003</v>
      </c>
      <c r="X135" s="133">
        <f t="shared" si="104"/>
        <v>1.607</v>
      </c>
      <c r="Y135" s="73">
        <f t="shared" si="138"/>
        <v>10.461</v>
      </c>
      <c r="Z135" s="74">
        <f>SUM(Z137:Z145)</f>
        <v>10.461</v>
      </c>
      <c r="AA135" s="75">
        <f>SUM(AA137:AA145)</f>
        <v>-2.2120000000000002</v>
      </c>
      <c r="AB135" s="133">
        <f>SUM(AB137:AB145)</f>
        <v>0</v>
      </c>
      <c r="AC135" s="73">
        <f t="shared" si="89"/>
        <v>545.25099999999998</v>
      </c>
      <c r="AD135" s="74">
        <f t="shared" si="90"/>
        <v>543.64400000000001</v>
      </c>
      <c r="AE135" s="75">
        <f t="shared" si="105"/>
        <v>431.17600000000004</v>
      </c>
      <c r="AF135" s="133">
        <f t="shared" si="106"/>
        <v>1.607</v>
      </c>
      <c r="AG135" s="73">
        <f t="shared" si="139"/>
        <v>3.8279999999999998</v>
      </c>
      <c r="AH135" s="74">
        <f>SUM(AH137:AH145)</f>
        <v>3.8279999999999998</v>
      </c>
      <c r="AI135" s="75">
        <f>SUM(AI137:AI145)</f>
        <v>-3.552</v>
      </c>
      <c r="AJ135" s="133">
        <f>SUM(AJ137:AJ145)</f>
        <v>0</v>
      </c>
      <c r="AK135" s="73">
        <f t="shared" si="91"/>
        <v>549.07899999999995</v>
      </c>
      <c r="AL135" s="74">
        <f t="shared" si="92"/>
        <v>547.47199999999998</v>
      </c>
      <c r="AM135" s="75">
        <f t="shared" si="110"/>
        <v>427.62400000000002</v>
      </c>
      <c r="AN135" s="133">
        <f t="shared" si="146"/>
        <v>1.607</v>
      </c>
      <c r="AO135" s="73">
        <f t="shared" si="140"/>
        <v>0</v>
      </c>
      <c r="AP135" s="74">
        <f>SUM(AP137:AP145)</f>
        <v>0</v>
      </c>
      <c r="AQ135" s="75">
        <f>SUM(AQ137:AQ145)</f>
        <v>-0.92500000000000004</v>
      </c>
      <c r="AR135" s="133">
        <f>SUM(AR137:AR145)</f>
        <v>0</v>
      </c>
      <c r="AS135" s="73">
        <f t="shared" si="93"/>
        <v>549.07899999999995</v>
      </c>
      <c r="AT135" s="74">
        <f t="shared" si="123"/>
        <v>547.47199999999998</v>
      </c>
      <c r="AU135" s="75">
        <f t="shared" si="130"/>
        <v>426.69900000000001</v>
      </c>
      <c r="AV135" s="133">
        <f t="shared" si="147"/>
        <v>1.607</v>
      </c>
      <c r="AW135" s="73">
        <f t="shared" si="141"/>
        <v>1.4919999999999987</v>
      </c>
      <c r="AX135" s="74">
        <f>SUM(AX137:AX145)</f>
        <v>1.4919999999999987</v>
      </c>
      <c r="AY135" s="75">
        <f>SUM(AY137:AY145)</f>
        <v>4.7299999999999995</v>
      </c>
      <c r="AZ135" s="133">
        <f>SUM(AZ137:AZ145)</f>
        <v>0</v>
      </c>
      <c r="BA135" s="73">
        <f t="shared" si="95"/>
        <v>550.57099999999991</v>
      </c>
      <c r="BB135" s="74">
        <f t="shared" si="125"/>
        <v>548.96399999999994</v>
      </c>
      <c r="BC135" s="75">
        <f t="shared" si="132"/>
        <v>431.42900000000003</v>
      </c>
      <c r="BD135" s="133">
        <f t="shared" si="148"/>
        <v>1.607</v>
      </c>
      <c r="BE135" s="73">
        <f t="shared" si="142"/>
        <v>-4.2289999999999992</v>
      </c>
      <c r="BF135" s="74">
        <f>SUM(BF137:BF145)</f>
        <v>-4.2289999999999992</v>
      </c>
      <c r="BG135" s="75">
        <f>SUM(BG137:BG145)</f>
        <v>-5.9300000000000006</v>
      </c>
      <c r="BH135" s="133">
        <f>SUM(BH137:BH145)</f>
        <v>0</v>
      </c>
      <c r="BI135" s="73">
        <f t="shared" si="97"/>
        <v>546.34199999999987</v>
      </c>
      <c r="BJ135" s="74">
        <f t="shared" si="127"/>
        <v>544.7349999999999</v>
      </c>
      <c r="BK135" s="75">
        <f t="shared" si="134"/>
        <v>425.49900000000002</v>
      </c>
      <c r="BL135" s="133">
        <f t="shared" si="149"/>
        <v>1.607</v>
      </c>
    </row>
    <row r="136" spans="1:64" ht="12.9" x14ac:dyDescent="0.35">
      <c r="A136" s="43"/>
      <c r="B136" s="4" t="s">
        <v>2</v>
      </c>
      <c r="C136" s="44"/>
      <c r="D136" s="28"/>
      <c r="E136" s="78">
        <f t="shared" si="69"/>
        <v>0</v>
      </c>
      <c r="F136" s="79">
        <v>0</v>
      </c>
      <c r="G136" s="80">
        <v>0</v>
      </c>
      <c r="H136" s="81">
        <v>0</v>
      </c>
      <c r="I136" s="78">
        <f t="shared" si="136"/>
        <v>0</v>
      </c>
      <c r="J136" s="79">
        <v>0</v>
      </c>
      <c r="K136" s="80">
        <v>0</v>
      </c>
      <c r="L136" s="81">
        <v>0</v>
      </c>
      <c r="M136" s="70">
        <f t="shared" si="99"/>
        <v>0</v>
      </c>
      <c r="N136" s="71">
        <f t="shared" si="100"/>
        <v>0</v>
      </c>
      <c r="O136" s="72">
        <f t="shared" si="101"/>
        <v>0</v>
      </c>
      <c r="P136" s="134">
        <f t="shared" si="102"/>
        <v>0</v>
      </c>
      <c r="Q136" s="78">
        <f t="shared" si="137"/>
        <v>0</v>
      </c>
      <c r="R136" s="79">
        <v>0</v>
      </c>
      <c r="S136" s="80">
        <v>0</v>
      </c>
      <c r="T136" s="81">
        <v>0</v>
      </c>
      <c r="U136" s="70">
        <f t="shared" si="87"/>
        <v>0</v>
      </c>
      <c r="V136" s="71">
        <f t="shared" si="88"/>
        <v>0</v>
      </c>
      <c r="W136" s="72">
        <f t="shared" si="103"/>
        <v>0</v>
      </c>
      <c r="X136" s="134">
        <f t="shared" si="104"/>
        <v>0</v>
      </c>
      <c r="Y136" s="78">
        <f t="shared" si="138"/>
        <v>0</v>
      </c>
      <c r="Z136" s="79">
        <v>0</v>
      </c>
      <c r="AA136" s="80">
        <v>0</v>
      </c>
      <c r="AB136" s="81">
        <v>0</v>
      </c>
      <c r="AC136" s="70">
        <f t="shared" si="89"/>
        <v>0</v>
      </c>
      <c r="AD136" s="71">
        <f t="shared" si="90"/>
        <v>0</v>
      </c>
      <c r="AE136" s="72">
        <f t="shared" si="105"/>
        <v>0</v>
      </c>
      <c r="AF136" s="134">
        <f t="shared" si="106"/>
        <v>0</v>
      </c>
      <c r="AG136" s="78">
        <f t="shared" si="139"/>
        <v>0</v>
      </c>
      <c r="AH136" s="79">
        <v>0</v>
      </c>
      <c r="AI136" s="80">
        <v>0</v>
      </c>
      <c r="AJ136" s="81">
        <v>0</v>
      </c>
      <c r="AK136" s="70">
        <f t="shared" si="91"/>
        <v>0</v>
      </c>
      <c r="AL136" s="71">
        <f t="shared" si="92"/>
        <v>0</v>
      </c>
      <c r="AM136" s="72">
        <f t="shared" si="110"/>
        <v>0</v>
      </c>
      <c r="AN136" s="134">
        <f t="shared" si="146"/>
        <v>0</v>
      </c>
      <c r="AO136" s="78">
        <f t="shared" si="140"/>
        <v>0</v>
      </c>
      <c r="AP136" s="79">
        <v>0</v>
      </c>
      <c r="AQ136" s="80">
        <v>0</v>
      </c>
      <c r="AR136" s="81">
        <v>0</v>
      </c>
      <c r="AS136" s="70">
        <f t="shared" si="93"/>
        <v>0</v>
      </c>
      <c r="AT136" s="71">
        <f t="shared" si="123"/>
        <v>0</v>
      </c>
      <c r="AU136" s="72">
        <f t="shared" si="130"/>
        <v>0</v>
      </c>
      <c r="AV136" s="134">
        <f t="shared" si="147"/>
        <v>0</v>
      </c>
      <c r="AW136" s="78">
        <f t="shared" si="141"/>
        <v>0</v>
      </c>
      <c r="AX136" s="79">
        <v>0</v>
      </c>
      <c r="AY136" s="80">
        <v>0</v>
      </c>
      <c r="AZ136" s="81">
        <v>0</v>
      </c>
      <c r="BA136" s="70">
        <f t="shared" si="95"/>
        <v>0</v>
      </c>
      <c r="BB136" s="71">
        <f t="shared" si="125"/>
        <v>0</v>
      </c>
      <c r="BC136" s="72">
        <f t="shared" si="132"/>
        <v>0</v>
      </c>
      <c r="BD136" s="134">
        <f t="shared" si="148"/>
        <v>0</v>
      </c>
      <c r="BE136" s="78">
        <f t="shared" si="142"/>
        <v>0</v>
      </c>
      <c r="BF136" s="79">
        <v>0</v>
      </c>
      <c r="BG136" s="80">
        <v>0</v>
      </c>
      <c r="BH136" s="81">
        <v>0</v>
      </c>
      <c r="BI136" s="70">
        <f t="shared" si="97"/>
        <v>0</v>
      </c>
      <c r="BJ136" s="71">
        <f t="shared" si="127"/>
        <v>0</v>
      </c>
      <c r="BK136" s="72">
        <f t="shared" si="134"/>
        <v>0</v>
      </c>
      <c r="BL136" s="134">
        <f t="shared" si="149"/>
        <v>0</v>
      </c>
    </row>
    <row r="137" spans="1:64" ht="12.9" x14ac:dyDescent="0.35">
      <c r="A137" s="25" t="s">
        <v>22</v>
      </c>
      <c r="B137" s="26" t="s">
        <v>34</v>
      </c>
      <c r="C137" s="27" t="s">
        <v>70</v>
      </c>
      <c r="D137" s="40" t="s">
        <v>125</v>
      </c>
      <c r="E137" s="78">
        <f t="shared" si="69"/>
        <v>0.4</v>
      </c>
      <c r="F137" s="79">
        <v>0.4</v>
      </c>
      <c r="G137" s="80"/>
      <c r="H137" s="81"/>
      <c r="I137" s="78">
        <f t="shared" si="136"/>
        <v>0</v>
      </c>
      <c r="J137" s="79"/>
      <c r="K137" s="80"/>
      <c r="L137" s="81"/>
      <c r="M137" s="70">
        <f t="shared" si="99"/>
        <v>0.4</v>
      </c>
      <c r="N137" s="71">
        <f t="shared" si="100"/>
        <v>0.4</v>
      </c>
      <c r="O137" s="72">
        <f t="shared" si="101"/>
        <v>0</v>
      </c>
      <c r="P137" s="134">
        <f t="shared" si="102"/>
        <v>0</v>
      </c>
      <c r="Q137" s="78">
        <f t="shared" si="137"/>
        <v>0</v>
      </c>
      <c r="R137" s="79"/>
      <c r="S137" s="80"/>
      <c r="T137" s="81"/>
      <c r="U137" s="70">
        <f t="shared" si="87"/>
        <v>0.4</v>
      </c>
      <c r="V137" s="71">
        <f t="shared" si="88"/>
        <v>0.4</v>
      </c>
      <c r="W137" s="72">
        <f t="shared" si="103"/>
        <v>0</v>
      </c>
      <c r="X137" s="134">
        <f t="shared" si="104"/>
        <v>0</v>
      </c>
      <c r="Y137" s="78">
        <f t="shared" si="138"/>
        <v>0</v>
      </c>
      <c r="Z137" s="79"/>
      <c r="AA137" s="80"/>
      <c r="AB137" s="81"/>
      <c r="AC137" s="70">
        <f t="shared" si="89"/>
        <v>0.4</v>
      </c>
      <c r="AD137" s="71">
        <f t="shared" si="90"/>
        <v>0.4</v>
      </c>
      <c r="AE137" s="72">
        <f t="shared" si="105"/>
        <v>0</v>
      </c>
      <c r="AF137" s="134">
        <f t="shared" si="106"/>
        <v>0</v>
      </c>
      <c r="AG137" s="78">
        <f t="shared" si="139"/>
        <v>0</v>
      </c>
      <c r="AH137" s="79"/>
      <c r="AI137" s="80"/>
      <c r="AJ137" s="81"/>
      <c r="AK137" s="70">
        <f t="shared" si="91"/>
        <v>0.4</v>
      </c>
      <c r="AL137" s="71">
        <f t="shared" si="92"/>
        <v>0.4</v>
      </c>
      <c r="AM137" s="72">
        <f t="shared" si="110"/>
        <v>0</v>
      </c>
      <c r="AN137" s="134">
        <f t="shared" si="146"/>
        <v>0</v>
      </c>
      <c r="AO137" s="78">
        <f t="shared" si="140"/>
        <v>0</v>
      </c>
      <c r="AP137" s="79"/>
      <c r="AQ137" s="80"/>
      <c r="AR137" s="81"/>
      <c r="AS137" s="70">
        <f t="shared" si="93"/>
        <v>0.4</v>
      </c>
      <c r="AT137" s="71">
        <f t="shared" si="123"/>
        <v>0.4</v>
      </c>
      <c r="AU137" s="72">
        <f t="shared" si="130"/>
        <v>0</v>
      </c>
      <c r="AV137" s="134">
        <f t="shared" si="147"/>
        <v>0</v>
      </c>
      <c r="AW137" s="78">
        <f t="shared" si="141"/>
        <v>0.5</v>
      </c>
      <c r="AX137" s="79">
        <v>0.5</v>
      </c>
      <c r="AY137" s="80"/>
      <c r="AZ137" s="81"/>
      <c r="BA137" s="70">
        <f t="shared" si="95"/>
        <v>0.9</v>
      </c>
      <c r="BB137" s="71">
        <f t="shared" si="125"/>
        <v>0.9</v>
      </c>
      <c r="BC137" s="72">
        <f t="shared" si="132"/>
        <v>0</v>
      </c>
      <c r="BD137" s="134">
        <f t="shared" si="148"/>
        <v>0</v>
      </c>
      <c r="BE137" s="78">
        <f t="shared" si="142"/>
        <v>0</v>
      </c>
      <c r="BF137" s="79"/>
      <c r="BG137" s="80"/>
      <c r="BH137" s="81"/>
      <c r="BI137" s="70">
        <f t="shared" si="97"/>
        <v>0.9</v>
      </c>
      <c r="BJ137" s="71">
        <f t="shared" si="127"/>
        <v>0.9</v>
      </c>
      <c r="BK137" s="72">
        <f t="shared" si="134"/>
        <v>0</v>
      </c>
      <c r="BL137" s="134">
        <f t="shared" si="149"/>
        <v>0</v>
      </c>
    </row>
    <row r="138" spans="1:64" ht="12.9" x14ac:dyDescent="0.35">
      <c r="A138" s="231" t="s">
        <v>25</v>
      </c>
      <c r="B138" s="233" t="s">
        <v>41</v>
      </c>
      <c r="C138" s="27" t="s">
        <v>71</v>
      </c>
      <c r="D138" s="25" t="s">
        <v>125</v>
      </c>
      <c r="E138" s="78">
        <f t="shared" si="69"/>
        <v>330.959</v>
      </c>
      <c r="F138" s="79">
        <f>303.55+27.409</f>
        <v>330.959</v>
      </c>
      <c r="G138" s="80">
        <f>249.01-0.6</f>
        <v>248.41</v>
      </c>
      <c r="H138" s="81"/>
      <c r="I138" s="78">
        <f t="shared" si="136"/>
        <v>0</v>
      </c>
      <c r="J138" s="79"/>
      <c r="K138" s="80"/>
      <c r="L138" s="81"/>
      <c r="M138" s="70">
        <f t="shared" si="99"/>
        <v>330.959</v>
      </c>
      <c r="N138" s="71">
        <f t="shared" si="100"/>
        <v>330.959</v>
      </c>
      <c r="O138" s="72">
        <f t="shared" si="101"/>
        <v>248.41</v>
      </c>
      <c r="P138" s="134">
        <f t="shared" si="102"/>
        <v>0</v>
      </c>
      <c r="Q138" s="78">
        <f t="shared" si="137"/>
        <v>0</v>
      </c>
      <c r="R138" s="79"/>
      <c r="S138" s="80">
        <v>-0.64200000000000002</v>
      </c>
      <c r="T138" s="81"/>
      <c r="U138" s="70">
        <f t="shared" si="87"/>
        <v>330.959</v>
      </c>
      <c r="V138" s="71">
        <f t="shared" si="88"/>
        <v>330.959</v>
      </c>
      <c r="W138" s="72">
        <f t="shared" si="103"/>
        <v>247.768</v>
      </c>
      <c r="X138" s="134">
        <f t="shared" si="104"/>
        <v>0</v>
      </c>
      <c r="Y138" s="78">
        <f t="shared" si="138"/>
        <v>0</v>
      </c>
      <c r="Z138" s="79"/>
      <c r="AA138" s="80">
        <v>-6.2869999999999999</v>
      </c>
      <c r="AB138" s="81"/>
      <c r="AC138" s="70">
        <f t="shared" si="89"/>
        <v>330.959</v>
      </c>
      <c r="AD138" s="71">
        <f t="shared" si="90"/>
        <v>330.959</v>
      </c>
      <c r="AE138" s="72">
        <f t="shared" si="105"/>
        <v>241.48099999999999</v>
      </c>
      <c r="AF138" s="134">
        <f t="shared" si="106"/>
        <v>0</v>
      </c>
      <c r="AG138" s="78">
        <f t="shared" si="139"/>
        <v>0</v>
      </c>
      <c r="AH138" s="79"/>
      <c r="AI138" s="80">
        <v>-3.552</v>
      </c>
      <c r="AJ138" s="81"/>
      <c r="AK138" s="70">
        <f t="shared" si="91"/>
        <v>330.959</v>
      </c>
      <c r="AL138" s="71">
        <f t="shared" si="92"/>
        <v>330.959</v>
      </c>
      <c r="AM138" s="72">
        <f t="shared" si="110"/>
        <v>237.929</v>
      </c>
      <c r="AN138" s="134">
        <f t="shared" si="146"/>
        <v>0</v>
      </c>
      <c r="AO138" s="78">
        <f t="shared" si="140"/>
        <v>0</v>
      </c>
      <c r="AP138" s="79"/>
      <c r="AQ138" s="80">
        <v>-0.92500000000000004</v>
      </c>
      <c r="AR138" s="81"/>
      <c r="AS138" s="70">
        <f t="shared" si="93"/>
        <v>330.959</v>
      </c>
      <c r="AT138" s="71">
        <f t="shared" si="123"/>
        <v>330.959</v>
      </c>
      <c r="AU138" s="72">
        <f t="shared" si="130"/>
        <v>237.00399999999999</v>
      </c>
      <c r="AV138" s="134">
        <f t="shared" si="147"/>
        <v>0</v>
      </c>
      <c r="AW138" s="78">
        <f t="shared" si="141"/>
        <v>-10.23</v>
      </c>
      <c r="AX138" s="79">
        <f>-4.73-5.5</f>
        <v>-10.23</v>
      </c>
      <c r="AY138" s="80">
        <v>-7.43</v>
      </c>
      <c r="AZ138" s="81"/>
      <c r="BA138" s="70">
        <f t="shared" si="95"/>
        <v>320.72899999999998</v>
      </c>
      <c r="BB138" s="71">
        <f t="shared" si="125"/>
        <v>320.72899999999998</v>
      </c>
      <c r="BC138" s="72">
        <f t="shared" si="132"/>
        <v>229.57399999999998</v>
      </c>
      <c r="BD138" s="134">
        <f t="shared" si="148"/>
        <v>0</v>
      </c>
      <c r="BE138" s="78">
        <f t="shared" si="142"/>
        <v>-3.5</v>
      </c>
      <c r="BF138" s="79">
        <v>-3.5</v>
      </c>
      <c r="BG138" s="80">
        <v>-0.99</v>
      </c>
      <c r="BH138" s="81"/>
      <c r="BI138" s="70">
        <f t="shared" si="97"/>
        <v>317.22899999999998</v>
      </c>
      <c r="BJ138" s="71">
        <f t="shared" si="127"/>
        <v>317.22899999999998</v>
      </c>
      <c r="BK138" s="72">
        <f t="shared" si="134"/>
        <v>228.58399999999997</v>
      </c>
      <c r="BL138" s="134">
        <f t="shared" si="149"/>
        <v>0</v>
      </c>
    </row>
    <row r="139" spans="1:64" ht="12.9" x14ac:dyDescent="0.35">
      <c r="A139" s="241"/>
      <c r="B139" s="242"/>
      <c r="C139" s="27" t="s">
        <v>72</v>
      </c>
      <c r="D139" s="25" t="s">
        <v>49</v>
      </c>
      <c r="E139" s="78">
        <f t="shared" si="69"/>
        <v>192.745</v>
      </c>
      <c r="F139" s="79">
        <v>191.13800000000001</v>
      </c>
      <c r="G139" s="80">
        <f>186.37-0.7</f>
        <v>185.67000000000002</v>
      </c>
      <c r="H139" s="81">
        <v>1.607</v>
      </c>
      <c r="I139" s="78">
        <f t="shared" si="136"/>
        <v>0</v>
      </c>
      <c r="J139" s="79"/>
      <c r="K139" s="80"/>
      <c r="L139" s="81"/>
      <c r="M139" s="70">
        <f t="shared" si="99"/>
        <v>192.745</v>
      </c>
      <c r="N139" s="71">
        <f t="shared" si="100"/>
        <v>191.13800000000001</v>
      </c>
      <c r="O139" s="72">
        <f t="shared" si="101"/>
        <v>185.67000000000002</v>
      </c>
      <c r="P139" s="134">
        <f t="shared" si="102"/>
        <v>1.607</v>
      </c>
      <c r="Q139" s="78">
        <f t="shared" si="137"/>
        <v>0</v>
      </c>
      <c r="R139" s="79"/>
      <c r="S139" s="80">
        <v>-0.05</v>
      </c>
      <c r="T139" s="81"/>
      <c r="U139" s="70">
        <f t="shared" si="87"/>
        <v>192.745</v>
      </c>
      <c r="V139" s="71">
        <f t="shared" si="88"/>
        <v>191.13800000000001</v>
      </c>
      <c r="W139" s="72">
        <f t="shared" si="103"/>
        <v>185.62</v>
      </c>
      <c r="X139" s="134">
        <f t="shared" si="104"/>
        <v>1.607</v>
      </c>
      <c r="Y139" s="78">
        <f t="shared" si="138"/>
        <v>6.7560000000000002</v>
      </c>
      <c r="Z139" s="79">
        <v>6.7560000000000002</v>
      </c>
      <c r="AA139" s="80">
        <f>6.659-6.21</f>
        <v>0.44899999999999984</v>
      </c>
      <c r="AB139" s="81"/>
      <c r="AC139" s="70">
        <f t="shared" si="89"/>
        <v>199.501</v>
      </c>
      <c r="AD139" s="71">
        <f t="shared" si="90"/>
        <v>197.89400000000001</v>
      </c>
      <c r="AE139" s="72">
        <f t="shared" si="105"/>
        <v>186.06900000000002</v>
      </c>
      <c r="AF139" s="134">
        <f t="shared" si="106"/>
        <v>1.607</v>
      </c>
      <c r="AG139" s="78">
        <f t="shared" si="139"/>
        <v>0</v>
      </c>
      <c r="AH139" s="79"/>
      <c r="AI139" s="80"/>
      <c r="AJ139" s="81"/>
      <c r="AK139" s="70">
        <f t="shared" si="91"/>
        <v>199.501</v>
      </c>
      <c r="AL139" s="71">
        <f t="shared" si="92"/>
        <v>197.89400000000001</v>
      </c>
      <c r="AM139" s="72">
        <f t="shared" si="110"/>
        <v>186.06900000000002</v>
      </c>
      <c r="AN139" s="134">
        <f t="shared" si="146"/>
        <v>1.607</v>
      </c>
      <c r="AO139" s="78">
        <f t="shared" si="140"/>
        <v>0</v>
      </c>
      <c r="AP139" s="79"/>
      <c r="AQ139" s="80"/>
      <c r="AR139" s="81"/>
      <c r="AS139" s="70">
        <f t="shared" si="93"/>
        <v>199.501</v>
      </c>
      <c r="AT139" s="71">
        <f t="shared" si="123"/>
        <v>197.89400000000001</v>
      </c>
      <c r="AU139" s="72">
        <f t="shared" si="130"/>
        <v>186.06900000000002</v>
      </c>
      <c r="AV139" s="134">
        <f t="shared" si="147"/>
        <v>1.607</v>
      </c>
      <c r="AW139" s="78">
        <f t="shared" si="141"/>
        <v>3.9049999999999998</v>
      </c>
      <c r="AX139" s="79">
        <v>3.9049999999999998</v>
      </c>
      <c r="AY139" s="80">
        <v>4.05</v>
      </c>
      <c r="AZ139" s="81"/>
      <c r="BA139" s="70">
        <f t="shared" si="95"/>
        <v>203.40600000000001</v>
      </c>
      <c r="BB139" s="71">
        <f t="shared" si="125"/>
        <v>201.79900000000001</v>
      </c>
      <c r="BC139" s="72">
        <f t="shared" si="132"/>
        <v>190.11900000000003</v>
      </c>
      <c r="BD139" s="134">
        <f t="shared" si="148"/>
        <v>1.607</v>
      </c>
      <c r="BE139" s="78">
        <f t="shared" si="142"/>
        <v>0</v>
      </c>
      <c r="BF139" s="79"/>
      <c r="BG139" s="80">
        <v>-4.83</v>
      </c>
      <c r="BH139" s="81"/>
      <c r="BI139" s="70">
        <f t="shared" si="97"/>
        <v>203.40600000000001</v>
      </c>
      <c r="BJ139" s="71">
        <f t="shared" si="127"/>
        <v>201.79900000000001</v>
      </c>
      <c r="BK139" s="72">
        <f t="shared" si="134"/>
        <v>185.28900000000002</v>
      </c>
      <c r="BL139" s="134">
        <f t="shared" si="149"/>
        <v>1.607</v>
      </c>
    </row>
    <row r="140" spans="1:64" ht="12.9" x14ac:dyDescent="0.35">
      <c r="A140" s="232"/>
      <c r="B140" s="234"/>
      <c r="C140" s="27" t="s">
        <v>163</v>
      </c>
      <c r="D140" s="25" t="s">
        <v>137</v>
      </c>
      <c r="E140" s="78">
        <f t="shared" si="69"/>
        <v>0</v>
      </c>
      <c r="F140" s="79"/>
      <c r="G140" s="80"/>
      <c r="H140" s="81"/>
      <c r="I140" s="78">
        <f t="shared" si="136"/>
        <v>0</v>
      </c>
      <c r="J140" s="79"/>
      <c r="K140" s="80"/>
      <c r="L140" s="81"/>
      <c r="M140" s="70">
        <f t="shared" si="99"/>
        <v>0</v>
      </c>
      <c r="N140" s="71">
        <f t="shared" si="100"/>
        <v>0</v>
      </c>
      <c r="O140" s="72">
        <f t="shared" si="101"/>
        <v>0</v>
      </c>
      <c r="P140" s="134">
        <f t="shared" si="102"/>
        <v>0</v>
      </c>
      <c r="Q140" s="78">
        <f t="shared" si="137"/>
        <v>0</v>
      </c>
      <c r="R140" s="79"/>
      <c r="S140" s="80"/>
      <c r="T140" s="81"/>
      <c r="U140" s="70">
        <f t="shared" si="87"/>
        <v>0</v>
      </c>
      <c r="V140" s="71">
        <f t="shared" si="88"/>
        <v>0</v>
      </c>
      <c r="W140" s="72">
        <f t="shared" si="103"/>
        <v>0</v>
      </c>
      <c r="X140" s="134">
        <f t="shared" si="104"/>
        <v>0</v>
      </c>
      <c r="Y140" s="78">
        <f t="shared" si="138"/>
        <v>3.7050000000000001</v>
      </c>
      <c r="Z140" s="79">
        <v>3.7050000000000001</v>
      </c>
      <c r="AA140" s="80">
        <v>3.6259999999999999</v>
      </c>
      <c r="AB140" s="81"/>
      <c r="AC140" s="70">
        <f t="shared" si="89"/>
        <v>3.7050000000000001</v>
      </c>
      <c r="AD140" s="71">
        <f t="shared" si="90"/>
        <v>3.7050000000000001</v>
      </c>
      <c r="AE140" s="72">
        <f t="shared" si="105"/>
        <v>3.6259999999999999</v>
      </c>
      <c r="AF140" s="134">
        <f t="shared" si="106"/>
        <v>0</v>
      </c>
      <c r="AG140" s="78">
        <f t="shared" si="139"/>
        <v>3.8279999999999998</v>
      </c>
      <c r="AH140" s="79">
        <v>3.8279999999999998</v>
      </c>
      <c r="AI140" s="80"/>
      <c r="AJ140" s="81"/>
      <c r="AK140" s="70">
        <f t="shared" si="91"/>
        <v>7.5329999999999995</v>
      </c>
      <c r="AL140" s="71">
        <f t="shared" si="92"/>
        <v>7.5329999999999995</v>
      </c>
      <c r="AM140" s="72">
        <f t="shared" si="110"/>
        <v>3.6259999999999999</v>
      </c>
      <c r="AN140" s="134">
        <f t="shared" si="146"/>
        <v>0</v>
      </c>
      <c r="AO140" s="78">
        <f t="shared" si="140"/>
        <v>0</v>
      </c>
      <c r="AP140" s="79"/>
      <c r="AQ140" s="80"/>
      <c r="AR140" s="81"/>
      <c r="AS140" s="70">
        <f t="shared" si="93"/>
        <v>7.5329999999999995</v>
      </c>
      <c r="AT140" s="71">
        <f t="shared" si="123"/>
        <v>7.5329999999999995</v>
      </c>
      <c r="AU140" s="72">
        <f t="shared" si="130"/>
        <v>3.6259999999999999</v>
      </c>
      <c r="AV140" s="134">
        <f t="shared" si="147"/>
        <v>0</v>
      </c>
      <c r="AW140" s="78">
        <f t="shared" si="141"/>
        <v>8.1509999999999998</v>
      </c>
      <c r="AX140" s="79">
        <v>8.1509999999999998</v>
      </c>
      <c r="AY140" s="80">
        <v>8.11</v>
      </c>
      <c r="AZ140" s="81"/>
      <c r="BA140" s="70">
        <f t="shared" si="95"/>
        <v>15.683999999999999</v>
      </c>
      <c r="BB140" s="71">
        <f t="shared" si="125"/>
        <v>15.683999999999999</v>
      </c>
      <c r="BC140" s="72">
        <f t="shared" si="132"/>
        <v>11.735999999999999</v>
      </c>
      <c r="BD140" s="134">
        <f t="shared" si="148"/>
        <v>0</v>
      </c>
      <c r="BE140" s="78">
        <f t="shared" si="142"/>
        <v>0.67100000000000004</v>
      </c>
      <c r="BF140" s="79">
        <v>0.67100000000000004</v>
      </c>
      <c r="BG140" s="80">
        <f>-0.09-0.02</f>
        <v>-0.11</v>
      </c>
      <c r="BH140" s="81"/>
      <c r="BI140" s="70">
        <f t="shared" si="97"/>
        <v>16.355</v>
      </c>
      <c r="BJ140" s="71">
        <f t="shared" si="127"/>
        <v>16.355</v>
      </c>
      <c r="BK140" s="72">
        <f t="shared" si="134"/>
        <v>11.625999999999999</v>
      </c>
      <c r="BL140" s="134">
        <f t="shared" si="149"/>
        <v>0</v>
      </c>
    </row>
    <row r="141" spans="1:64" ht="12.9" x14ac:dyDescent="0.35">
      <c r="A141" s="45" t="s">
        <v>23</v>
      </c>
      <c r="B141" s="46" t="s">
        <v>44</v>
      </c>
      <c r="C141" s="27" t="s">
        <v>164</v>
      </c>
      <c r="D141" s="25" t="s">
        <v>38</v>
      </c>
      <c r="E141" s="78">
        <f t="shared" si="69"/>
        <v>9.16</v>
      </c>
      <c r="F141" s="79">
        <v>9.16</v>
      </c>
      <c r="G141" s="80"/>
      <c r="H141" s="81"/>
      <c r="I141" s="78">
        <f t="shared" si="136"/>
        <v>0</v>
      </c>
      <c r="J141" s="79"/>
      <c r="K141" s="80"/>
      <c r="L141" s="81"/>
      <c r="M141" s="70">
        <f t="shared" si="99"/>
        <v>9.16</v>
      </c>
      <c r="N141" s="71">
        <f t="shared" si="100"/>
        <v>9.16</v>
      </c>
      <c r="O141" s="72">
        <f t="shared" si="101"/>
        <v>0</v>
      </c>
      <c r="P141" s="134">
        <f t="shared" si="102"/>
        <v>0</v>
      </c>
      <c r="Q141" s="78">
        <f t="shared" si="137"/>
        <v>0</v>
      </c>
      <c r="R141" s="79"/>
      <c r="S141" s="80"/>
      <c r="T141" s="81"/>
      <c r="U141" s="70">
        <f t="shared" si="87"/>
        <v>9.16</v>
      </c>
      <c r="V141" s="71">
        <f t="shared" si="88"/>
        <v>9.16</v>
      </c>
      <c r="W141" s="72">
        <f t="shared" si="103"/>
        <v>0</v>
      </c>
      <c r="X141" s="134">
        <f t="shared" si="104"/>
        <v>0</v>
      </c>
      <c r="Y141" s="78">
        <f t="shared" si="138"/>
        <v>0</v>
      </c>
      <c r="Z141" s="79"/>
      <c r="AA141" s="80"/>
      <c r="AB141" s="81"/>
      <c r="AC141" s="70">
        <f t="shared" si="89"/>
        <v>9.16</v>
      </c>
      <c r="AD141" s="71">
        <f t="shared" si="90"/>
        <v>9.16</v>
      </c>
      <c r="AE141" s="72">
        <f t="shared" si="105"/>
        <v>0</v>
      </c>
      <c r="AF141" s="134">
        <f t="shared" si="106"/>
        <v>0</v>
      </c>
      <c r="AG141" s="78">
        <f t="shared" si="139"/>
        <v>0</v>
      </c>
      <c r="AH141" s="79"/>
      <c r="AI141" s="80"/>
      <c r="AJ141" s="81"/>
      <c r="AK141" s="70">
        <f t="shared" si="91"/>
        <v>9.16</v>
      </c>
      <c r="AL141" s="71">
        <f t="shared" si="92"/>
        <v>9.16</v>
      </c>
      <c r="AM141" s="72">
        <f t="shared" si="110"/>
        <v>0</v>
      </c>
      <c r="AN141" s="134">
        <f t="shared" si="146"/>
        <v>0</v>
      </c>
      <c r="AO141" s="78">
        <f t="shared" si="140"/>
        <v>0</v>
      </c>
      <c r="AP141" s="79"/>
      <c r="AQ141" s="80"/>
      <c r="AR141" s="81"/>
      <c r="AS141" s="70">
        <f t="shared" si="93"/>
        <v>9.16</v>
      </c>
      <c r="AT141" s="71">
        <f t="shared" si="123"/>
        <v>9.16</v>
      </c>
      <c r="AU141" s="72">
        <f t="shared" si="130"/>
        <v>0</v>
      </c>
      <c r="AV141" s="134">
        <f t="shared" si="147"/>
        <v>0</v>
      </c>
      <c r="AW141" s="78">
        <f t="shared" si="141"/>
        <v>-1.58</v>
      </c>
      <c r="AX141" s="79">
        <v>-1.58</v>
      </c>
      <c r="AY141" s="80"/>
      <c r="AZ141" s="81"/>
      <c r="BA141" s="70">
        <f t="shared" si="95"/>
        <v>7.58</v>
      </c>
      <c r="BB141" s="71">
        <f t="shared" si="125"/>
        <v>7.58</v>
      </c>
      <c r="BC141" s="72">
        <f t="shared" si="132"/>
        <v>0</v>
      </c>
      <c r="BD141" s="134">
        <f t="shared" si="148"/>
        <v>0</v>
      </c>
      <c r="BE141" s="78">
        <f t="shared" si="142"/>
        <v>-1.4</v>
      </c>
      <c r="BF141" s="79">
        <v>-1.4</v>
      </c>
      <c r="BG141" s="80"/>
      <c r="BH141" s="81"/>
      <c r="BI141" s="70">
        <f t="shared" si="97"/>
        <v>6.18</v>
      </c>
      <c r="BJ141" s="71">
        <f t="shared" si="127"/>
        <v>6.18</v>
      </c>
      <c r="BK141" s="72">
        <f t="shared" si="134"/>
        <v>0</v>
      </c>
      <c r="BL141" s="134">
        <f t="shared" si="149"/>
        <v>0</v>
      </c>
    </row>
    <row r="142" spans="1:64" ht="12.9" x14ac:dyDescent="0.35">
      <c r="A142" s="283" t="s">
        <v>33</v>
      </c>
      <c r="B142" s="233" t="s">
        <v>45</v>
      </c>
      <c r="C142" s="27" t="s">
        <v>223</v>
      </c>
      <c r="D142" s="25" t="s">
        <v>125</v>
      </c>
      <c r="E142" s="78">
        <f t="shared" si="69"/>
        <v>1</v>
      </c>
      <c r="F142" s="79">
        <v>1</v>
      </c>
      <c r="G142" s="80"/>
      <c r="H142" s="81"/>
      <c r="I142" s="78">
        <f t="shared" si="136"/>
        <v>0</v>
      </c>
      <c r="J142" s="79"/>
      <c r="K142" s="80"/>
      <c r="L142" s="81"/>
      <c r="M142" s="70">
        <f t="shared" si="99"/>
        <v>1</v>
      </c>
      <c r="N142" s="71">
        <f t="shared" si="100"/>
        <v>1</v>
      </c>
      <c r="O142" s="72">
        <f t="shared" si="101"/>
        <v>0</v>
      </c>
      <c r="P142" s="134">
        <f t="shared" si="102"/>
        <v>0</v>
      </c>
      <c r="Q142" s="78">
        <f t="shared" si="137"/>
        <v>0</v>
      </c>
      <c r="R142" s="79"/>
      <c r="S142" s="80"/>
      <c r="T142" s="81"/>
      <c r="U142" s="70">
        <f t="shared" si="87"/>
        <v>1</v>
      </c>
      <c r="V142" s="71">
        <f t="shared" si="88"/>
        <v>1</v>
      </c>
      <c r="W142" s="72">
        <f t="shared" si="103"/>
        <v>0</v>
      </c>
      <c r="X142" s="134">
        <f t="shared" si="104"/>
        <v>0</v>
      </c>
      <c r="Y142" s="78">
        <f t="shared" si="138"/>
        <v>0</v>
      </c>
      <c r="Z142" s="79"/>
      <c r="AA142" s="80"/>
      <c r="AB142" s="81"/>
      <c r="AC142" s="70">
        <f t="shared" si="89"/>
        <v>1</v>
      </c>
      <c r="AD142" s="71">
        <f t="shared" si="90"/>
        <v>1</v>
      </c>
      <c r="AE142" s="72">
        <f t="shared" si="105"/>
        <v>0</v>
      </c>
      <c r="AF142" s="134">
        <f t="shared" si="106"/>
        <v>0</v>
      </c>
      <c r="AG142" s="78">
        <f t="shared" si="139"/>
        <v>0</v>
      </c>
      <c r="AH142" s="79"/>
      <c r="AI142" s="80"/>
      <c r="AJ142" s="81"/>
      <c r="AK142" s="70">
        <f t="shared" si="91"/>
        <v>1</v>
      </c>
      <c r="AL142" s="71">
        <f t="shared" si="92"/>
        <v>1</v>
      </c>
      <c r="AM142" s="72">
        <f t="shared" si="110"/>
        <v>0</v>
      </c>
      <c r="AN142" s="134">
        <f t="shared" si="146"/>
        <v>0</v>
      </c>
      <c r="AO142" s="78">
        <f t="shared" si="140"/>
        <v>0</v>
      </c>
      <c r="AP142" s="79"/>
      <c r="AQ142" s="80"/>
      <c r="AR142" s="81"/>
      <c r="AS142" s="70">
        <f t="shared" si="93"/>
        <v>1</v>
      </c>
      <c r="AT142" s="71">
        <f t="shared" si="123"/>
        <v>1</v>
      </c>
      <c r="AU142" s="72">
        <f t="shared" si="130"/>
        <v>0</v>
      </c>
      <c r="AV142" s="134">
        <f t="shared" si="147"/>
        <v>0</v>
      </c>
      <c r="AW142" s="78">
        <f t="shared" si="141"/>
        <v>0</v>
      </c>
      <c r="AX142" s="79"/>
      <c r="AY142" s="80"/>
      <c r="AZ142" s="81"/>
      <c r="BA142" s="70">
        <f t="shared" si="95"/>
        <v>1</v>
      </c>
      <c r="BB142" s="71">
        <f t="shared" si="125"/>
        <v>1</v>
      </c>
      <c r="BC142" s="72">
        <f t="shared" si="132"/>
        <v>0</v>
      </c>
      <c r="BD142" s="134">
        <f t="shared" si="148"/>
        <v>0</v>
      </c>
      <c r="BE142" s="78">
        <f t="shared" si="142"/>
        <v>0</v>
      </c>
      <c r="BF142" s="79"/>
      <c r="BG142" s="80"/>
      <c r="BH142" s="81"/>
      <c r="BI142" s="70">
        <f t="shared" si="97"/>
        <v>1</v>
      </c>
      <c r="BJ142" s="71">
        <f t="shared" si="127"/>
        <v>1</v>
      </c>
      <c r="BK142" s="72">
        <f t="shared" si="134"/>
        <v>0</v>
      </c>
      <c r="BL142" s="134">
        <f t="shared" si="149"/>
        <v>0</v>
      </c>
    </row>
    <row r="143" spans="1:64" ht="12.9" x14ac:dyDescent="0.35">
      <c r="A143" s="284"/>
      <c r="B143" s="234"/>
      <c r="C143" s="27" t="s">
        <v>266</v>
      </c>
      <c r="D143" s="25" t="s">
        <v>137</v>
      </c>
      <c r="E143" s="78">
        <f t="shared" si="69"/>
        <v>0</v>
      </c>
      <c r="F143" s="79"/>
      <c r="G143" s="80"/>
      <c r="H143" s="81"/>
      <c r="I143" s="78">
        <f t="shared" si="136"/>
        <v>0</v>
      </c>
      <c r="J143" s="79"/>
      <c r="K143" s="80"/>
      <c r="L143" s="81"/>
      <c r="M143" s="70">
        <f t="shared" si="99"/>
        <v>0</v>
      </c>
      <c r="N143" s="71">
        <f t="shared" si="100"/>
        <v>0</v>
      </c>
      <c r="O143" s="72">
        <f t="shared" si="101"/>
        <v>0</v>
      </c>
      <c r="P143" s="134">
        <f t="shared" si="102"/>
        <v>0</v>
      </c>
      <c r="Q143" s="78">
        <f t="shared" si="137"/>
        <v>4.5999999999999999E-2</v>
      </c>
      <c r="R143" s="79">
        <v>4.5999999999999999E-2</v>
      </c>
      <c r="S143" s="80"/>
      <c r="T143" s="81"/>
      <c r="U143" s="70">
        <f t="shared" si="87"/>
        <v>4.5999999999999999E-2</v>
      </c>
      <c r="V143" s="71">
        <f t="shared" si="88"/>
        <v>4.5999999999999999E-2</v>
      </c>
      <c r="W143" s="72">
        <f t="shared" si="103"/>
        <v>0</v>
      </c>
      <c r="X143" s="134">
        <f t="shared" si="104"/>
        <v>0</v>
      </c>
      <c r="Y143" s="78">
        <f t="shared" si="138"/>
        <v>0</v>
      </c>
      <c r="Z143" s="79"/>
      <c r="AA143" s="80"/>
      <c r="AB143" s="81"/>
      <c r="AC143" s="70">
        <f t="shared" si="89"/>
        <v>4.5999999999999999E-2</v>
      </c>
      <c r="AD143" s="71">
        <f t="shared" si="90"/>
        <v>4.5999999999999999E-2</v>
      </c>
      <c r="AE143" s="72">
        <f t="shared" si="105"/>
        <v>0</v>
      </c>
      <c r="AF143" s="134">
        <f t="shared" si="106"/>
        <v>0</v>
      </c>
      <c r="AG143" s="78">
        <f t="shared" si="139"/>
        <v>0</v>
      </c>
      <c r="AH143" s="79"/>
      <c r="AI143" s="80"/>
      <c r="AJ143" s="81"/>
      <c r="AK143" s="70">
        <f t="shared" si="91"/>
        <v>4.5999999999999999E-2</v>
      </c>
      <c r="AL143" s="71">
        <f t="shared" si="92"/>
        <v>4.5999999999999999E-2</v>
      </c>
      <c r="AM143" s="72">
        <f t="shared" si="110"/>
        <v>0</v>
      </c>
      <c r="AN143" s="134">
        <f t="shared" si="146"/>
        <v>0</v>
      </c>
      <c r="AO143" s="78">
        <f t="shared" si="140"/>
        <v>0</v>
      </c>
      <c r="AP143" s="79"/>
      <c r="AQ143" s="80"/>
      <c r="AR143" s="81"/>
      <c r="AS143" s="70">
        <f t="shared" si="93"/>
        <v>4.5999999999999999E-2</v>
      </c>
      <c r="AT143" s="71">
        <f t="shared" si="123"/>
        <v>4.5999999999999999E-2</v>
      </c>
      <c r="AU143" s="72">
        <f t="shared" si="130"/>
        <v>0</v>
      </c>
      <c r="AV143" s="134">
        <f t="shared" si="147"/>
        <v>0</v>
      </c>
      <c r="AW143" s="78">
        <f t="shared" si="141"/>
        <v>0.77600000000000002</v>
      </c>
      <c r="AX143" s="79">
        <v>0.77600000000000002</v>
      </c>
      <c r="AY143" s="80"/>
      <c r="AZ143" s="81"/>
      <c r="BA143" s="70">
        <f t="shared" si="95"/>
        <v>0.82200000000000006</v>
      </c>
      <c r="BB143" s="71">
        <f t="shared" si="125"/>
        <v>0.82200000000000006</v>
      </c>
      <c r="BC143" s="72">
        <f t="shared" si="132"/>
        <v>0</v>
      </c>
      <c r="BD143" s="134">
        <f t="shared" si="148"/>
        <v>0</v>
      </c>
      <c r="BE143" s="78">
        <f t="shared" si="142"/>
        <v>0</v>
      </c>
      <c r="BF143" s="79"/>
      <c r="BG143" s="80"/>
      <c r="BH143" s="81"/>
      <c r="BI143" s="70">
        <f t="shared" si="97"/>
        <v>0.82200000000000006</v>
      </c>
      <c r="BJ143" s="71">
        <f t="shared" si="127"/>
        <v>0.82200000000000006</v>
      </c>
      <c r="BK143" s="72">
        <f t="shared" si="134"/>
        <v>0</v>
      </c>
      <c r="BL143" s="134">
        <f t="shared" si="149"/>
        <v>0</v>
      </c>
    </row>
    <row r="144" spans="1:64" ht="12.9" x14ac:dyDescent="0.35">
      <c r="A144" s="45" t="s">
        <v>32</v>
      </c>
      <c r="B144" s="46" t="s">
        <v>46</v>
      </c>
      <c r="C144" s="27" t="s">
        <v>274</v>
      </c>
      <c r="D144" s="25" t="s">
        <v>125</v>
      </c>
      <c r="E144" s="78">
        <f t="shared" si="69"/>
        <v>0.48</v>
      </c>
      <c r="F144" s="79">
        <v>0.48</v>
      </c>
      <c r="G144" s="80"/>
      <c r="H144" s="81"/>
      <c r="I144" s="78">
        <f t="shared" si="136"/>
        <v>0</v>
      </c>
      <c r="J144" s="79"/>
      <c r="K144" s="80"/>
      <c r="L144" s="81"/>
      <c r="M144" s="70">
        <f t="shared" si="99"/>
        <v>0.48</v>
      </c>
      <c r="N144" s="71">
        <f t="shared" si="100"/>
        <v>0.48</v>
      </c>
      <c r="O144" s="72">
        <f t="shared" si="101"/>
        <v>0</v>
      </c>
      <c r="P144" s="134">
        <f t="shared" si="102"/>
        <v>0</v>
      </c>
      <c r="Q144" s="78">
        <f t="shared" si="137"/>
        <v>0</v>
      </c>
      <c r="R144" s="79"/>
      <c r="S144" s="80"/>
      <c r="T144" s="81"/>
      <c r="U144" s="70">
        <f t="shared" si="87"/>
        <v>0.48</v>
      </c>
      <c r="V144" s="71">
        <f t="shared" si="88"/>
        <v>0.48</v>
      </c>
      <c r="W144" s="72">
        <f t="shared" si="103"/>
        <v>0</v>
      </c>
      <c r="X144" s="134">
        <f t="shared" si="104"/>
        <v>0</v>
      </c>
      <c r="Y144" s="78">
        <f t="shared" si="138"/>
        <v>0</v>
      </c>
      <c r="Z144" s="79"/>
      <c r="AA144" s="80"/>
      <c r="AB144" s="81"/>
      <c r="AC144" s="70">
        <f t="shared" si="89"/>
        <v>0.48</v>
      </c>
      <c r="AD144" s="71">
        <f t="shared" si="90"/>
        <v>0.48</v>
      </c>
      <c r="AE144" s="72">
        <f t="shared" si="105"/>
        <v>0</v>
      </c>
      <c r="AF144" s="134">
        <f t="shared" si="106"/>
        <v>0</v>
      </c>
      <c r="AG144" s="78">
        <f t="shared" si="139"/>
        <v>0</v>
      </c>
      <c r="AH144" s="79"/>
      <c r="AI144" s="80"/>
      <c r="AJ144" s="81"/>
      <c r="AK144" s="70">
        <f t="shared" si="91"/>
        <v>0.48</v>
      </c>
      <c r="AL144" s="71">
        <f t="shared" si="92"/>
        <v>0.48</v>
      </c>
      <c r="AM144" s="72">
        <f t="shared" si="110"/>
        <v>0</v>
      </c>
      <c r="AN144" s="134">
        <f t="shared" si="146"/>
        <v>0</v>
      </c>
      <c r="AO144" s="78">
        <f t="shared" si="140"/>
        <v>0</v>
      </c>
      <c r="AP144" s="79"/>
      <c r="AQ144" s="80"/>
      <c r="AR144" s="81"/>
      <c r="AS144" s="70">
        <f t="shared" si="93"/>
        <v>0.48</v>
      </c>
      <c r="AT144" s="71">
        <f t="shared" si="123"/>
        <v>0.48</v>
      </c>
      <c r="AU144" s="72">
        <f t="shared" si="130"/>
        <v>0</v>
      </c>
      <c r="AV144" s="134">
        <f t="shared" si="147"/>
        <v>0</v>
      </c>
      <c r="AW144" s="78">
        <f t="shared" si="141"/>
        <v>-0.03</v>
      </c>
      <c r="AX144" s="79">
        <v>-0.03</v>
      </c>
      <c r="AY144" s="80"/>
      <c r="AZ144" s="81"/>
      <c r="BA144" s="70">
        <f t="shared" si="95"/>
        <v>0.44999999999999996</v>
      </c>
      <c r="BB144" s="71">
        <f t="shared" si="125"/>
        <v>0.44999999999999996</v>
      </c>
      <c r="BC144" s="72">
        <f t="shared" si="132"/>
        <v>0</v>
      </c>
      <c r="BD144" s="134">
        <f t="shared" si="148"/>
        <v>0</v>
      </c>
      <c r="BE144" s="78">
        <f t="shared" si="142"/>
        <v>0</v>
      </c>
      <c r="BF144" s="79"/>
      <c r="BG144" s="80"/>
      <c r="BH144" s="81"/>
      <c r="BI144" s="70">
        <f t="shared" si="97"/>
        <v>0.44999999999999996</v>
      </c>
      <c r="BJ144" s="71">
        <f t="shared" si="127"/>
        <v>0.44999999999999996</v>
      </c>
      <c r="BK144" s="72">
        <f t="shared" si="134"/>
        <v>0</v>
      </c>
      <c r="BL144" s="134">
        <f t="shared" si="149"/>
        <v>0</v>
      </c>
    </row>
    <row r="145" spans="1:64" ht="12.9" hidden="1" x14ac:dyDescent="0.35">
      <c r="A145" s="118" t="s">
        <v>7</v>
      </c>
      <c r="B145" s="23" t="s">
        <v>48</v>
      </c>
      <c r="C145" s="27"/>
      <c r="D145" s="25" t="s">
        <v>125</v>
      </c>
      <c r="E145" s="78">
        <f t="shared" si="69"/>
        <v>0</v>
      </c>
      <c r="F145" s="79"/>
      <c r="G145" s="80"/>
      <c r="H145" s="81"/>
      <c r="I145" s="78">
        <f t="shared" si="136"/>
        <v>0</v>
      </c>
      <c r="J145" s="79"/>
      <c r="K145" s="80"/>
      <c r="L145" s="81"/>
      <c r="M145" s="70">
        <f t="shared" si="99"/>
        <v>0</v>
      </c>
      <c r="N145" s="71">
        <f t="shared" si="100"/>
        <v>0</v>
      </c>
      <c r="O145" s="72">
        <f t="shared" si="101"/>
        <v>0</v>
      </c>
      <c r="P145" s="134">
        <f t="shared" si="102"/>
        <v>0</v>
      </c>
      <c r="Q145" s="78">
        <f t="shared" si="137"/>
        <v>0</v>
      </c>
      <c r="R145" s="79"/>
      <c r="S145" s="80"/>
      <c r="T145" s="81"/>
      <c r="U145" s="70">
        <f t="shared" si="87"/>
        <v>0</v>
      </c>
      <c r="V145" s="71">
        <f t="shared" si="88"/>
        <v>0</v>
      </c>
      <c r="W145" s="72">
        <f t="shared" si="103"/>
        <v>0</v>
      </c>
      <c r="X145" s="134">
        <f t="shared" si="104"/>
        <v>0</v>
      </c>
      <c r="Y145" s="78">
        <f t="shared" si="138"/>
        <v>0</v>
      </c>
      <c r="Z145" s="79"/>
      <c r="AA145" s="80"/>
      <c r="AB145" s="81"/>
      <c r="AC145" s="70">
        <f t="shared" si="89"/>
        <v>0</v>
      </c>
      <c r="AD145" s="71">
        <f t="shared" si="90"/>
        <v>0</v>
      </c>
      <c r="AE145" s="72">
        <f t="shared" si="105"/>
        <v>0</v>
      </c>
      <c r="AF145" s="134">
        <f t="shared" si="106"/>
        <v>0</v>
      </c>
      <c r="AG145" s="78">
        <f t="shared" si="139"/>
        <v>0</v>
      </c>
      <c r="AH145" s="79"/>
      <c r="AI145" s="80"/>
      <c r="AJ145" s="81"/>
      <c r="AK145" s="70">
        <f t="shared" si="91"/>
        <v>0</v>
      </c>
      <c r="AL145" s="71">
        <f t="shared" si="92"/>
        <v>0</v>
      </c>
      <c r="AM145" s="72">
        <f t="shared" si="110"/>
        <v>0</v>
      </c>
      <c r="AN145" s="134">
        <f t="shared" si="146"/>
        <v>0</v>
      </c>
      <c r="AO145" s="78">
        <f t="shared" si="140"/>
        <v>0</v>
      </c>
      <c r="AP145" s="79"/>
      <c r="AQ145" s="80"/>
      <c r="AR145" s="81"/>
      <c r="AS145" s="70">
        <f t="shared" si="93"/>
        <v>0</v>
      </c>
      <c r="AT145" s="71">
        <f t="shared" si="123"/>
        <v>0</v>
      </c>
      <c r="AU145" s="72">
        <f t="shared" si="130"/>
        <v>0</v>
      </c>
      <c r="AV145" s="134">
        <f t="shared" si="147"/>
        <v>0</v>
      </c>
      <c r="AW145" s="78">
        <f t="shared" si="141"/>
        <v>0</v>
      </c>
      <c r="AX145" s="79"/>
      <c r="AY145" s="80"/>
      <c r="AZ145" s="81"/>
      <c r="BA145" s="70">
        <f t="shared" si="95"/>
        <v>0</v>
      </c>
      <c r="BB145" s="71">
        <f t="shared" si="125"/>
        <v>0</v>
      </c>
      <c r="BC145" s="72">
        <f t="shared" si="132"/>
        <v>0</v>
      </c>
      <c r="BD145" s="134">
        <f t="shared" si="148"/>
        <v>0</v>
      </c>
      <c r="BE145" s="78">
        <f t="shared" si="142"/>
        <v>0</v>
      </c>
      <c r="BF145" s="79"/>
      <c r="BG145" s="80"/>
      <c r="BH145" s="81"/>
      <c r="BI145" s="70">
        <f t="shared" si="97"/>
        <v>0</v>
      </c>
      <c r="BJ145" s="71">
        <f t="shared" si="127"/>
        <v>0</v>
      </c>
      <c r="BK145" s="72">
        <f t="shared" si="134"/>
        <v>0</v>
      </c>
      <c r="BL145" s="134">
        <f t="shared" si="149"/>
        <v>0</v>
      </c>
    </row>
    <row r="146" spans="1:64" s="138" customFormat="1" ht="12.45" x14ac:dyDescent="0.3">
      <c r="A146" s="135"/>
      <c r="B146" s="136" t="s">
        <v>11</v>
      </c>
      <c r="C146" s="42" t="s">
        <v>108</v>
      </c>
      <c r="D146" s="137"/>
      <c r="E146" s="73">
        <f t="shared" si="69"/>
        <v>775.18099999999993</v>
      </c>
      <c r="F146" s="74">
        <f>SUM(F148:F157)</f>
        <v>771.07399999999996</v>
      </c>
      <c r="G146" s="75">
        <f>SUM(G148:G157)</f>
        <v>624.49</v>
      </c>
      <c r="H146" s="133">
        <f>SUM(H148:H157)</f>
        <v>4.1070000000000002</v>
      </c>
      <c r="I146" s="73">
        <f t="shared" si="136"/>
        <v>0</v>
      </c>
      <c r="J146" s="74">
        <f>SUM(J148:J157)</f>
        <v>0</v>
      </c>
      <c r="K146" s="75">
        <f>SUM(K148:K157)</f>
        <v>0</v>
      </c>
      <c r="L146" s="133">
        <f>SUM(L148:L157)</f>
        <v>0</v>
      </c>
      <c r="M146" s="73">
        <f t="shared" si="99"/>
        <v>775.18099999999993</v>
      </c>
      <c r="N146" s="74">
        <f t="shared" si="100"/>
        <v>771.07399999999996</v>
      </c>
      <c r="O146" s="75">
        <f t="shared" si="101"/>
        <v>624.49</v>
      </c>
      <c r="P146" s="133">
        <f t="shared" si="102"/>
        <v>4.1070000000000002</v>
      </c>
      <c r="Q146" s="73">
        <f t="shared" si="137"/>
        <v>0</v>
      </c>
      <c r="R146" s="74">
        <f>SUM(R148:R157)</f>
        <v>0</v>
      </c>
      <c r="S146" s="75">
        <f>SUM(S148:S157)</f>
        <v>0</v>
      </c>
      <c r="T146" s="133">
        <f>SUM(T148:T157)</f>
        <v>0</v>
      </c>
      <c r="U146" s="73">
        <f t="shared" si="87"/>
        <v>775.18099999999993</v>
      </c>
      <c r="V146" s="74">
        <f t="shared" si="88"/>
        <v>771.07399999999996</v>
      </c>
      <c r="W146" s="75">
        <f t="shared" si="103"/>
        <v>624.49</v>
      </c>
      <c r="X146" s="133">
        <f t="shared" si="104"/>
        <v>4.1070000000000002</v>
      </c>
      <c r="Y146" s="73">
        <f t="shared" si="138"/>
        <v>1.079</v>
      </c>
      <c r="Z146" s="74">
        <f>SUM(Z148:Z157)</f>
        <v>1.079</v>
      </c>
      <c r="AA146" s="75">
        <f>SUM(AA148:AA157)</f>
        <v>1.048</v>
      </c>
      <c r="AB146" s="133">
        <f>SUM(AB148:AB157)</f>
        <v>0</v>
      </c>
      <c r="AC146" s="73">
        <f t="shared" si="89"/>
        <v>776.25999999999988</v>
      </c>
      <c r="AD146" s="74">
        <f t="shared" si="90"/>
        <v>772.15299999999991</v>
      </c>
      <c r="AE146" s="75">
        <f>W146+AA146</f>
        <v>625.53800000000001</v>
      </c>
      <c r="AF146" s="133">
        <f t="shared" si="106"/>
        <v>4.1070000000000002</v>
      </c>
      <c r="AG146" s="73">
        <f t="shared" si="139"/>
        <v>0.32</v>
      </c>
      <c r="AH146" s="74">
        <f>SUM(AH148:AH157)</f>
        <v>0.32</v>
      </c>
      <c r="AI146" s="75">
        <f>SUM(AI148:AI157)</f>
        <v>-4.5</v>
      </c>
      <c r="AJ146" s="133">
        <f>SUM(AJ148:AJ157)</f>
        <v>0</v>
      </c>
      <c r="AK146" s="73">
        <f t="shared" si="91"/>
        <v>776.57999999999993</v>
      </c>
      <c r="AL146" s="74">
        <f t="shared" si="92"/>
        <v>772.47299999999996</v>
      </c>
      <c r="AM146" s="75">
        <f>AE146+AI146</f>
        <v>621.03800000000001</v>
      </c>
      <c r="AN146" s="133">
        <f t="shared" si="146"/>
        <v>4.1070000000000002</v>
      </c>
      <c r="AO146" s="73">
        <f t="shared" si="140"/>
        <v>0</v>
      </c>
      <c r="AP146" s="74">
        <f>SUM(AP148:AP157)</f>
        <v>0</v>
      </c>
      <c r="AQ146" s="75">
        <f>SUM(AQ148:AQ157)</f>
        <v>0</v>
      </c>
      <c r="AR146" s="133">
        <f>SUM(AR148:AR157)</f>
        <v>0</v>
      </c>
      <c r="AS146" s="73">
        <f t="shared" si="93"/>
        <v>776.57999999999993</v>
      </c>
      <c r="AT146" s="74">
        <f t="shared" si="123"/>
        <v>772.47299999999996</v>
      </c>
      <c r="AU146" s="75">
        <f>AM146+AQ146</f>
        <v>621.03800000000001</v>
      </c>
      <c r="AV146" s="133">
        <f t="shared" si="147"/>
        <v>4.1070000000000002</v>
      </c>
      <c r="AW146" s="73">
        <f t="shared" si="141"/>
        <v>0.23700000000000082</v>
      </c>
      <c r="AX146" s="74">
        <f>SUM(AX148:AX157)</f>
        <v>0.53700000000000081</v>
      </c>
      <c r="AY146" s="75">
        <f>SUM(AY148:AY157)</f>
        <v>4.5010000000000003</v>
      </c>
      <c r="AZ146" s="133">
        <f>SUM(AZ148:AZ157)</f>
        <v>-0.3</v>
      </c>
      <c r="BA146" s="73">
        <f t="shared" si="95"/>
        <v>776.81700000000001</v>
      </c>
      <c r="BB146" s="74">
        <f t="shared" si="125"/>
        <v>773.01</v>
      </c>
      <c r="BC146" s="75">
        <f>AU146+AY146</f>
        <v>625.53899999999999</v>
      </c>
      <c r="BD146" s="133">
        <f t="shared" si="148"/>
        <v>3.8070000000000004</v>
      </c>
      <c r="BE146" s="73">
        <f t="shared" si="142"/>
        <v>-1.6560000000000006</v>
      </c>
      <c r="BF146" s="74">
        <f>SUM(BF148:BF157)</f>
        <v>-6.9560000000000004</v>
      </c>
      <c r="BG146" s="75">
        <f>SUM(BG148:BG157)</f>
        <v>-5.0810000000000004</v>
      </c>
      <c r="BH146" s="133">
        <f>SUM(BH148:BH157)</f>
        <v>5.3</v>
      </c>
      <c r="BI146" s="73">
        <f t="shared" si="97"/>
        <v>775.16099999999994</v>
      </c>
      <c r="BJ146" s="74">
        <f t="shared" si="127"/>
        <v>766.05399999999997</v>
      </c>
      <c r="BK146" s="75">
        <f>BC146+BG146</f>
        <v>620.45799999999997</v>
      </c>
      <c r="BL146" s="133">
        <f>BD146+BH146</f>
        <v>9.1069999999999993</v>
      </c>
    </row>
    <row r="147" spans="1:64" ht="12.9" x14ac:dyDescent="0.35">
      <c r="A147" s="43"/>
      <c r="B147" s="4" t="s">
        <v>2</v>
      </c>
      <c r="C147" s="44"/>
      <c r="D147" s="28"/>
      <c r="E147" s="78">
        <f t="shared" si="69"/>
        <v>0</v>
      </c>
      <c r="F147" s="79">
        <v>0</v>
      </c>
      <c r="G147" s="80">
        <v>0</v>
      </c>
      <c r="H147" s="81">
        <v>0</v>
      </c>
      <c r="I147" s="78">
        <f t="shared" si="136"/>
        <v>0</v>
      </c>
      <c r="J147" s="79">
        <v>0</v>
      </c>
      <c r="K147" s="80">
        <v>0</v>
      </c>
      <c r="L147" s="81">
        <v>0</v>
      </c>
      <c r="M147" s="70">
        <f t="shared" si="99"/>
        <v>0</v>
      </c>
      <c r="N147" s="71">
        <f t="shared" si="100"/>
        <v>0</v>
      </c>
      <c r="O147" s="72">
        <f t="shared" si="101"/>
        <v>0</v>
      </c>
      <c r="P147" s="134">
        <f t="shared" si="102"/>
        <v>0</v>
      </c>
      <c r="Q147" s="78">
        <f t="shared" si="137"/>
        <v>0</v>
      </c>
      <c r="R147" s="79">
        <v>0</v>
      </c>
      <c r="S147" s="80">
        <v>0</v>
      </c>
      <c r="T147" s="81">
        <v>0</v>
      </c>
      <c r="U147" s="70">
        <f t="shared" si="87"/>
        <v>0</v>
      </c>
      <c r="V147" s="71">
        <f t="shared" si="88"/>
        <v>0</v>
      </c>
      <c r="W147" s="72">
        <f t="shared" si="103"/>
        <v>0</v>
      </c>
      <c r="X147" s="134">
        <f t="shared" si="104"/>
        <v>0</v>
      </c>
      <c r="Y147" s="78">
        <f t="shared" si="138"/>
        <v>0</v>
      </c>
      <c r="Z147" s="79">
        <v>0</v>
      </c>
      <c r="AA147" s="80">
        <v>0</v>
      </c>
      <c r="AB147" s="81">
        <v>0</v>
      </c>
      <c r="AC147" s="70">
        <f t="shared" si="89"/>
        <v>0</v>
      </c>
      <c r="AD147" s="71">
        <f t="shared" si="90"/>
        <v>0</v>
      </c>
      <c r="AE147" s="72">
        <f t="shared" si="105"/>
        <v>0</v>
      </c>
      <c r="AF147" s="134">
        <f t="shared" si="106"/>
        <v>0</v>
      </c>
      <c r="AG147" s="78">
        <f t="shared" si="139"/>
        <v>0</v>
      </c>
      <c r="AH147" s="79">
        <v>0</v>
      </c>
      <c r="AI147" s="80">
        <v>0</v>
      </c>
      <c r="AJ147" s="81">
        <v>0</v>
      </c>
      <c r="AK147" s="70">
        <f t="shared" si="91"/>
        <v>0</v>
      </c>
      <c r="AL147" s="71">
        <f t="shared" si="92"/>
        <v>0</v>
      </c>
      <c r="AM147" s="72">
        <f t="shared" ref="AM147:AM211" si="150">AE147+AI147</f>
        <v>0</v>
      </c>
      <c r="AN147" s="134">
        <f t="shared" si="146"/>
        <v>0</v>
      </c>
      <c r="AO147" s="78">
        <f t="shared" si="140"/>
        <v>0</v>
      </c>
      <c r="AP147" s="79">
        <v>0</v>
      </c>
      <c r="AQ147" s="80">
        <v>0</v>
      </c>
      <c r="AR147" s="81">
        <v>0</v>
      </c>
      <c r="AS147" s="70">
        <f t="shared" si="93"/>
        <v>0</v>
      </c>
      <c r="AT147" s="71">
        <f t="shared" si="123"/>
        <v>0</v>
      </c>
      <c r="AU147" s="72">
        <f t="shared" ref="AU147:AU211" si="151">AM147+AQ147</f>
        <v>0</v>
      </c>
      <c r="AV147" s="134">
        <f t="shared" si="147"/>
        <v>0</v>
      </c>
      <c r="AW147" s="78">
        <f t="shared" si="141"/>
        <v>0</v>
      </c>
      <c r="AX147" s="79">
        <v>0</v>
      </c>
      <c r="AY147" s="80">
        <v>0</v>
      </c>
      <c r="AZ147" s="81">
        <v>0</v>
      </c>
      <c r="BA147" s="70">
        <f t="shared" si="95"/>
        <v>0</v>
      </c>
      <c r="BB147" s="71">
        <f t="shared" si="125"/>
        <v>0</v>
      </c>
      <c r="BC147" s="72">
        <f t="shared" ref="BC147:BC211" si="152">AU147+AY147</f>
        <v>0</v>
      </c>
      <c r="BD147" s="134">
        <f t="shared" si="148"/>
        <v>0</v>
      </c>
      <c r="BE147" s="78">
        <f t="shared" si="142"/>
        <v>0</v>
      </c>
      <c r="BF147" s="79">
        <v>0</v>
      </c>
      <c r="BG147" s="80">
        <v>0</v>
      </c>
      <c r="BH147" s="81">
        <v>0</v>
      </c>
      <c r="BI147" s="70">
        <f t="shared" si="97"/>
        <v>0</v>
      </c>
      <c r="BJ147" s="71">
        <f t="shared" si="127"/>
        <v>0</v>
      </c>
      <c r="BK147" s="72">
        <f t="shared" ref="BK147:BK211" si="153">BC147+BG147</f>
        <v>0</v>
      </c>
      <c r="BL147" s="134">
        <f t="shared" si="149"/>
        <v>0</v>
      </c>
    </row>
    <row r="148" spans="1:64" ht="12.9" x14ac:dyDescent="0.35">
      <c r="A148" s="25" t="s">
        <v>22</v>
      </c>
      <c r="B148" s="26" t="s">
        <v>34</v>
      </c>
      <c r="C148" s="27" t="s">
        <v>73</v>
      </c>
      <c r="D148" s="40" t="s">
        <v>125</v>
      </c>
      <c r="E148" s="78">
        <f t="shared" si="69"/>
        <v>0.4</v>
      </c>
      <c r="F148" s="79">
        <v>0.4</v>
      </c>
      <c r="G148" s="80"/>
      <c r="H148" s="81"/>
      <c r="I148" s="78">
        <f t="shared" si="136"/>
        <v>0</v>
      </c>
      <c r="J148" s="79"/>
      <c r="K148" s="80"/>
      <c r="L148" s="81"/>
      <c r="M148" s="70">
        <f t="shared" si="99"/>
        <v>0.4</v>
      </c>
      <c r="N148" s="71">
        <f t="shared" si="100"/>
        <v>0.4</v>
      </c>
      <c r="O148" s="72">
        <f t="shared" si="101"/>
        <v>0</v>
      </c>
      <c r="P148" s="134">
        <f t="shared" si="102"/>
        <v>0</v>
      </c>
      <c r="Q148" s="78">
        <f t="shared" si="137"/>
        <v>0</v>
      </c>
      <c r="R148" s="79"/>
      <c r="S148" s="80"/>
      <c r="T148" s="81"/>
      <c r="U148" s="70">
        <f t="shared" si="87"/>
        <v>0.4</v>
      </c>
      <c r="V148" s="71">
        <f t="shared" si="88"/>
        <v>0.4</v>
      </c>
      <c r="W148" s="72">
        <f t="shared" si="103"/>
        <v>0</v>
      </c>
      <c r="X148" s="134">
        <f t="shared" si="104"/>
        <v>0</v>
      </c>
      <c r="Y148" s="78">
        <f t="shared" si="138"/>
        <v>0</v>
      </c>
      <c r="Z148" s="79"/>
      <c r="AA148" s="80"/>
      <c r="AB148" s="81"/>
      <c r="AC148" s="70">
        <f t="shared" si="89"/>
        <v>0.4</v>
      </c>
      <c r="AD148" s="71">
        <f t="shared" si="90"/>
        <v>0.4</v>
      </c>
      <c r="AE148" s="72">
        <f t="shared" si="105"/>
        <v>0</v>
      </c>
      <c r="AF148" s="134">
        <f t="shared" si="106"/>
        <v>0</v>
      </c>
      <c r="AG148" s="78">
        <f t="shared" si="139"/>
        <v>0</v>
      </c>
      <c r="AH148" s="79"/>
      <c r="AI148" s="80"/>
      <c r="AJ148" s="81"/>
      <c r="AK148" s="70">
        <f t="shared" si="91"/>
        <v>0.4</v>
      </c>
      <c r="AL148" s="71">
        <f t="shared" si="92"/>
        <v>0.4</v>
      </c>
      <c r="AM148" s="72">
        <f t="shared" si="150"/>
        <v>0</v>
      </c>
      <c r="AN148" s="134">
        <f t="shared" si="146"/>
        <v>0</v>
      </c>
      <c r="AO148" s="78">
        <f t="shared" si="140"/>
        <v>0</v>
      </c>
      <c r="AP148" s="79"/>
      <c r="AQ148" s="80"/>
      <c r="AR148" s="81"/>
      <c r="AS148" s="70">
        <f t="shared" si="93"/>
        <v>0.4</v>
      </c>
      <c r="AT148" s="71">
        <f t="shared" si="123"/>
        <v>0.4</v>
      </c>
      <c r="AU148" s="72">
        <f t="shared" si="151"/>
        <v>0</v>
      </c>
      <c r="AV148" s="134">
        <f t="shared" si="147"/>
        <v>0</v>
      </c>
      <c r="AW148" s="78">
        <f t="shared" si="141"/>
        <v>0.5</v>
      </c>
      <c r="AX148" s="79">
        <v>0.5</v>
      </c>
      <c r="AY148" s="80"/>
      <c r="AZ148" s="81"/>
      <c r="BA148" s="70">
        <f t="shared" si="95"/>
        <v>0.9</v>
      </c>
      <c r="BB148" s="71">
        <f t="shared" si="125"/>
        <v>0.9</v>
      </c>
      <c r="BC148" s="72">
        <f t="shared" si="152"/>
        <v>0</v>
      </c>
      <c r="BD148" s="134">
        <f t="shared" si="148"/>
        <v>0</v>
      </c>
      <c r="BE148" s="78">
        <f t="shared" si="142"/>
        <v>0</v>
      </c>
      <c r="BF148" s="79"/>
      <c r="BG148" s="80"/>
      <c r="BH148" s="81"/>
      <c r="BI148" s="70">
        <f t="shared" si="97"/>
        <v>0.9</v>
      </c>
      <c r="BJ148" s="71">
        <f t="shared" si="127"/>
        <v>0.9</v>
      </c>
      <c r="BK148" s="72">
        <f t="shared" si="153"/>
        <v>0</v>
      </c>
      <c r="BL148" s="134">
        <f t="shared" si="149"/>
        <v>0</v>
      </c>
    </row>
    <row r="149" spans="1:64" ht="12.9" x14ac:dyDescent="0.35">
      <c r="A149" s="231" t="s">
        <v>25</v>
      </c>
      <c r="B149" s="233" t="s">
        <v>41</v>
      </c>
      <c r="C149" s="27" t="s">
        <v>74</v>
      </c>
      <c r="D149" s="25" t="s">
        <v>125</v>
      </c>
      <c r="E149" s="78">
        <f t="shared" si="69"/>
        <v>434.16600000000005</v>
      </c>
      <c r="F149" s="79">
        <f>374.85+56.816</f>
        <v>431.66600000000005</v>
      </c>
      <c r="G149" s="80">
        <f>318.05-5.35</f>
        <v>312.7</v>
      </c>
      <c r="H149" s="81">
        <v>2.5</v>
      </c>
      <c r="I149" s="78">
        <f t="shared" si="136"/>
        <v>0</v>
      </c>
      <c r="J149" s="79"/>
      <c r="K149" s="80"/>
      <c r="L149" s="81"/>
      <c r="M149" s="70">
        <f t="shared" si="99"/>
        <v>434.16600000000005</v>
      </c>
      <c r="N149" s="71">
        <f t="shared" si="100"/>
        <v>431.66600000000005</v>
      </c>
      <c r="O149" s="72">
        <f t="shared" si="101"/>
        <v>312.7</v>
      </c>
      <c r="P149" s="134">
        <f t="shared" si="102"/>
        <v>2.5</v>
      </c>
      <c r="Q149" s="78">
        <f t="shared" si="137"/>
        <v>0</v>
      </c>
      <c r="R149" s="79"/>
      <c r="S149" s="80"/>
      <c r="T149" s="81"/>
      <c r="U149" s="70">
        <f t="shared" si="87"/>
        <v>434.16600000000005</v>
      </c>
      <c r="V149" s="71">
        <f t="shared" si="88"/>
        <v>431.66600000000005</v>
      </c>
      <c r="W149" s="72">
        <f t="shared" si="103"/>
        <v>312.7</v>
      </c>
      <c r="X149" s="134">
        <f t="shared" si="104"/>
        <v>2.5</v>
      </c>
      <c r="Y149" s="78">
        <f t="shared" si="138"/>
        <v>0</v>
      </c>
      <c r="Z149" s="79"/>
      <c r="AA149" s="80"/>
      <c r="AB149" s="81"/>
      <c r="AC149" s="70">
        <f t="shared" si="89"/>
        <v>434.16600000000005</v>
      </c>
      <c r="AD149" s="71">
        <f t="shared" si="90"/>
        <v>431.66600000000005</v>
      </c>
      <c r="AE149" s="72">
        <f t="shared" si="105"/>
        <v>312.7</v>
      </c>
      <c r="AF149" s="134">
        <f t="shared" si="106"/>
        <v>2.5</v>
      </c>
      <c r="AG149" s="78">
        <f t="shared" si="139"/>
        <v>0.32</v>
      </c>
      <c r="AH149" s="79">
        <v>0.32</v>
      </c>
      <c r="AI149" s="80">
        <v>-4.4000000000000004</v>
      </c>
      <c r="AJ149" s="81"/>
      <c r="AK149" s="70">
        <f t="shared" si="91"/>
        <v>434.48600000000005</v>
      </c>
      <c r="AL149" s="71">
        <f t="shared" si="92"/>
        <v>431.98600000000005</v>
      </c>
      <c r="AM149" s="72">
        <f t="shared" si="150"/>
        <v>308.3</v>
      </c>
      <c r="AN149" s="134">
        <f t="shared" si="146"/>
        <v>2.5</v>
      </c>
      <c r="AO149" s="78">
        <f t="shared" si="140"/>
        <v>0</v>
      </c>
      <c r="AP149" s="79"/>
      <c r="AQ149" s="80"/>
      <c r="AR149" s="81"/>
      <c r="AS149" s="70">
        <f t="shared" si="93"/>
        <v>434.48600000000005</v>
      </c>
      <c r="AT149" s="71">
        <f t="shared" si="123"/>
        <v>431.98600000000005</v>
      </c>
      <c r="AU149" s="72">
        <f t="shared" si="151"/>
        <v>308.3</v>
      </c>
      <c r="AV149" s="134">
        <f t="shared" si="147"/>
        <v>2.5</v>
      </c>
      <c r="AW149" s="78">
        <f t="shared" si="141"/>
        <v>-3.6599999999999993</v>
      </c>
      <c r="AX149" s="79">
        <f>0.45+4.39-8.2</f>
        <v>-3.3599999999999994</v>
      </c>
      <c r="AY149" s="80">
        <v>-1.29</v>
      </c>
      <c r="AZ149" s="81">
        <v>-0.3</v>
      </c>
      <c r="BA149" s="70">
        <f t="shared" si="95"/>
        <v>430.82600000000002</v>
      </c>
      <c r="BB149" s="71">
        <f t="shared" si="125"/>
        <v>428.62600000000003</v>
      </c>
      <c r="BC149" s="72">
        <f t="shared" si="152"/>
        <v>307.01</v>
      </c>
      <c r="BD149" s="134">
        <f t="shared" si="148"/>
        <v>2.2000000000000002</v>
      </c>
      <c r="BE149" s="78">
        <f t="shared" si="142"/>
        <v>-2.9490000000000007</v>
      </c>
      <c r="BF149" s="79">
        <f>-3-2.249</f>
        <v>-5.2490000000000006</v>
      </c>
      <c r="BG149" s="80">
        <f>-3-0.156</f>
        <v>-3.1560000000000001</v>
      </c>
      <c r="BH149" s="81">
        <v>2.2999999999999998</v>
      </c>
      <c r="BI149" s="70">
        <f t="shared" si="97"/>
        <v>427.87700000000001</v>
      </c>
      <c r="BJ149" s="71">
        <f t="shared" si="127"/>
        <v>423.37700000000001</v>
      </c>
      <c r="BK149" s="72">
        <f t="shared" si="153"/>
        <v>303.85399999999998</v>
      </c>
      <c r="BL149" s="134">
        <f t="shared" si="149"/>
        <v>4.5</v>
      </c>
    </row>
    <row r="150" spans="1:64" ht="12.65" customHeight="1" x14ac:dyDescent="0.35">
      <c r="A150" s="241"/>
      <c r="B150" s="242"/>
      <c r="C150" s="27" t="s">
        <v>75</v>
      </c>
      <c r="D150" s="25" t="s">
        <v>49</v>
      </c>
      <c r="E150" s="78">
        <f t="shared" si="69"/>
        <v>324.95500000000004</v>
      </c>
      <c r="F150" s="79">
        <v>323.34800000000001</v>
      </c>
      <c r="G150" s="80">
        <f>313.79-2</f>
        <v>311.79000000000002</v>
      </c>
      <c r="H150" s="81">
        <v>1.607</v>
      </c>
      <c r="I150" s="78">
        <f t="shared" si="136"/>
        <v>0</v>
      </c>
      <c r="J150" s="79"/>
      <c r="K150" s="80"/>
      <c r="L150" s="81"/>
      <c r="M150" s="70">
        <f t="shared" si="99"/>
        <v>324.95500000000004</v>
      </c>
      <c r="N150" s="71">
        <f t="shared" si="100"/>
        <v>323.34800000000001</v>
      </c>
      <c r="O150" s="72">
        <f t="shared" si="101"/>
        <v>311.79000000000002</v>
      </c>
      <c r="P150" s="134">
        <f t="shared" si="102"/>
        <v>1.607</v>
      </c>
      <c r="Q150" s="78">
        <f t="shared" si="137"/>
        <v>0</v>
      </c>
      <c r="R150" s="79"/>
      <c r="S150" s="80"/>
      <c r="T150" s="81"/>
      <c r="U150" s="70">
        <f t="shared" si="87"/>
        <v>324.95500000000004</v>
      </c>
      <c r="V150" s="71">
        <f t="shared" si="88"/>
        <v>323.34800000000001</v>
      </c>
      <c r="W150" s="72">
        <f t="shared" si="103"/>
        <v>311.79000000000002</v>
      </c>
      <c r="X150" s="134">
        <f t="shared" si="104"/>
        <v>1.607</v>
      </c>
      <c r="Y150" s="78">
        <f t="shared" si="138"/>
        <v>-1.2969999999999999</v>
      </c>
      <c r="Z150" s="79">
        <v>-1.2969999999999999</v>
      </c>
      <c r="AA150" s="80">
        <v>-1.278</v>
      </c>
      <c r="AB150" s="81"/>
      <c r="AC150" s="70">
        <f t="shared" si="89"/>
        <v>323.65800000000002</v>
      </c>
      <c r="AD150" s="71">
        <f t="shared" si="90"/>
        <v>322.05099999999999</v>
      </c>
      <c r="AE150" s="72">
        <f t="shared" si="105"/>
        <v>310.512</v>
      </c>
      <c r="AF150" s="134">
        <f t="shared" si="106"/>
        <v>1.607</v>
      </c>
      <c r="AG150" s="78">
        <f t="shared" si="139"/>
        <v>0</v>
      </c>
      <c r="AH150" s="79"/>
      <c r="AI150" s="80">
        <v>-0.1</v>
      </c>
      <c r="AJ150" s="81"/>
      <c r="AK150" s="70">
        <f t="shared" si="91"/>
        <v>323.65800000000002</v>
      </c>
      <c r="AL150" s="71">
        <f t="shared" si="92"/>
        <v>322.05099999999999</v>
      </c>
      <c r="AM150" s="72">
        <f t="shared" si="150"/>
        <v>310.41199999999998</v>
      </c>
      <c r="AN150" s="134">
        <f t="shared" si="146"/>
        <v>1.607</v>
      </c>
      <c r="AO150" s="78">
        <f t="shared" si="140"/>
        <v>0</v>
      </c>
      <c r="AP150" s="79"/>
      <c r="AQ150" s="80"/>
      <c r="AR150" s="81"/>
      <c r="AS150" s="70">
        <f t="shared" si="93"/>
        <v>323.65800000000002</v>
      </c>
      <c r="AT150" s="71">
        <f t="shared" si="123"/>
        <v>322.05099999999999</v>
      </c>
      <c r="AU150" s="72">
        <f t="shared" si="151"/>
        <v>310.41199999999998</v>
      </c>
      <c r="AV150" s="134">
        <f t="shared" si="147"/>
        <v>1.607</v>
      </c>
      <c r="AW150" s="78">
        <f t="shared" si="141"/>
        <v>5.04</v>
      </c>
      <c r="AX150" s="79">
        <v>5.04</v>
      </c>
      <c r="AY150" s="80">
        <v>5.12</v>
      </c>
      <c r="AZ150" s="81"/>
      <c r="BA150" s="70">
        <f t="shared" si="95"/>
        <v>328.69800000000004</v>
      </c>
      <c r="BB150" s="71">
        <f t="shared" si="125"/>
        <v>327.09100000000001</v>
      </c>
      <c r="BC150" s="72">
        <f t="shared" si="152"/>
        <v>315.53199999999998</v>
      </c>
      <c r="BD150" s="134">
        <f t="shared" si="148"/>
        <v>1.607</v>
      </c>
      <c r="BE150" s="78">
        <f t="shared" si="142"/>
        <v>-1.7070000000000001</v>
      </c>
      <c r="BF150" s="79">
        <v>-1.7070000000000001</v>
      </c>
      <c r="BG150" s="80">
        <v>-1.925</v>
      </c>
      <c r="BH150" s="81"/>
      <c r="BI150" s="70">
        <f t="shared" si="97"/>
        <v>326.99100000000004</v>
      </c>
      <c r="BJ150" s="71">
        <f t="shared" si="127"/>
        <v>325.38400000000001</v>
      </c>
      <c r="BK150" s="72">
        <f t="shared" si="153"/>
        <v>313.60699999999997</v>
      </c>
      <c r="BL150" s="134">
        <f t="shared" si="149"/>
        <v>1.607</v>
      </c>
    </row>
    <row r="151" spans="1:64" ht="12.9" x14ac:dyDescent="0.35">
      <c r="A151" s="232"/>
      <c r="B151" s="234"/>
      <c r="C151" s="27" t="s">
        <v>165</v>
      </c>
      <c r="D151" s="25" t="s">
        <v>137</v>
      </c>
      <c r="E151" s="78">
        <f t="shared" ref="E151:E215" si="154">SUM(H151,F151)</f>
        <v>0</v>
      </c>
      <c r="F151" s="79"/>
      <c r="G151" s="80"/>
      <c r="H151" s="81"/>
      <c r="I151" s="78">
        <f t="shared" si="136"/>
        <v>0</v>
      </c>
      <c r="J151" s="79"/>
      <c r="K151" s="80"/>
      <c r="L151" s="81"/>
      <c r="M151" s="70">
        <f t="shared" si="99"/>
        <v>0</v>
      </c>
      <c r="N151" s="71">
        <f t="shared" si="100"/>
        <v>0</v>
      </c>
      <c r="O151" s="72">
        <f t="shared" si="101"/>
        <v>0</v>
      </c>
      <c r="P151" s="134">
        <f t="shared" si="102"/>
        <v>0</v>
      </c>
      <c r="Q151" s="78">
        <f t="shared" si="137"/>
        <v>0</v>
      </c>
      <c r="R151" s="79"/>
      <c r="S151" s="80"/>
      <c r="T151" s="81"/>
      <c r="U151" s="70">
        <f t="shared" ref="U151:U214" si="155">SUM(X151,V151)</f>
        <v>0</v>
      </c>
      <c r="V151" s="71">
        <f t="shared" ref="V151:V214" si="156">N151+R151</f>
        <v>0</v>
      </c>
      <c r="W151" s="72">
        <f t="shared" si="103"/>
        <v>0</v>
      </c>
      <c r="X151" s="134">
        <f t="shared" si="104"/>
        <v>0</v>
      </c>
      <c r="Y151" s="78">
        <f t="shared" si="138"/>
        <v>2.3759999999999999</v>
      </c>
      <c r="Z151" s="79">
        <v>2.3759999999999999</v>
      </c>
      <c r="AA151" s="80">
        <v>2.3260000000000001</v>
      </c>
      <c r="AB151" s="81"/>
      <c r="AC151" s="70">
        <f t="shared" ref="AC151:AC214" si="157">SUM(AF151,AD151)</f>
        <v>2.3759999999999999</v>
      </c>
      <c r="AD151" s="71">
        <f t="shared" ref="AD151:AD205" si="158">V151+Z151</f>
        <v>2.3759999999999999</v>
      </c>
      <c r="AE151" s="72">
        <f t="shared" si="105"/>
        <v>2.3260000000000001</v>
      </c>
      <c r="AF151" s="134">
        <f t="shared" si="106"/>
        <v>0</v>
      </c>
      <c r="AG151" s="78">
        <f t="shared" si="139"/>
        <v>0</v>
      </c>
      <c r="AH151" s="79"/>
      <c r="AI151" s="80"/>
      <c r="AJ151" s="81"/>
      <c r="AK151" s="70">
        <f t="shared" ref="AK151:AK169" si="159">SUM(AN151,AL151)</f>
        <v>2.3759999999999999</v>
      </c>
      <c r="AL151" s="71">
        <f t="shared" ref="AL151:AL169" si="160">AD151+AH151</f>
        <v>2.3759999999999999</v>
      </c>
      <c r="AM151" s="72">
        <f t="shared" si="150"/>
        <v>2.3260000000000001</v>
      </c>
      <c r="AN151" s="134">
        <f t="shared" si="146"/>
        <v>0</v>
      </c>
      <c r="AO151" s="78">
        <f t="shared" si="140"/>
        <v>0</v>
      </c>
      <c r="AP151" s="79"/>
      <c r="AQ151" s="80"/>
      <c r="AR151" s="81"/>
      <c r="AS151" s="70">
        <f t="shared" ref="AS151:AS169" si="161">SUM(AV151,AT151)</f>
        <v>2.3759999999999999</v>
      </c>
      <c r="AT151" s="71">
        <f t="shared" si="123"/>
        <v>2.3759999999999999</v>
      </c>
      <c r="AU151" s="72">
        <f t="shared" si="151"/>
        <v>2.3260000000000001</v>
      </c>
      <c r="AV151" s="134">
        <f t="shared" si="147"/>
        <v>0</v>
      </c>
      <c r="AW151" s="78">
        <f t="shared" si="141"/>
        <v>0.68</v>
      </c>
      <c r="AX151" s="79">
        <v>0.68</v>
      </c>
      <c r="AY151" s="80">
        <v>0.67100000000000004</v>
      </c>
      <c r="AZ151" s="81"/>
      <c r="BA151" s="70">
        <f t="shared" ref="BA151:BA169" si="162">SUM(BD151,BB151)</f>
        <v>3.056</v>
      </c>
      <c r="BB151" s="71">
        <f t="shared" si="125"/>
        <v>3.056</v>
      </c>
      <c r="BC151" s="72">
        <f t="shared" si="152"/>
        <v>2.9969999999999999</v>
      </c>
      <c r="BD151" s="134">
        <f t="shared" si="148"/>
        <v>0</v>
      </c>
      <c r="BE151" s="78">
        <f t="shared" si="142"/>
        <v>0</v>
      </c>
      <c r="BF151" s="79"/>
      <c r="BG151" s="80"/>
      <c r="BH151" s="81"/>
      <c r="BI151" s="70">
        <f t="shared" ref="BI151:BI169" si="163">SUM(BL151,BJ151)</f>
        <v>3.056</v>
      </c>
      <c r="BJ151" s="71">
        <f t="shared" si="127"/>
        <v>3.056</v>
      </c>
      <c r="BK151" s="72">
        <f t="shared" si="153"/>
        <v>2.9969999999999999</v>
      </c>
      <c r="BL151" s="134">
        <f t="shared" si="149"/>
        <v>0</v>
      </c>
    </row>
    <row r="152" spans="1:64" ht="12.9" x14ac:dyDescent="0.35">
      <c r="A152" s="45" t="s">
        <v>23</v>
      </c>
      <c r="B152" s="46" t="s">
        <v>44</v>
      </c>
      <c r="C152" s="27" t="s">
        <v>166</v>
      </c>
      <c r="D152" s="25" t="s">
        <v>38</v>
      </c>
      <c r="E152" s="78">
        <f t="shared" si="154"/>
        <v>14.16</v>
      </c>
      <c r="F152" s="79">
        <v>14.16</v>
      </c>
      <c r="G152" s="80"/>
      <c r="H152" s="81"/>
      <c r="I152" s="78">
        <f t="shared" si="136"/>
        <v>0</v>
      </c>
      <c r="J152" s="79"/>
      <c r="K152" s="80"/>
      <c r="L152" s="81"/>
      <c r="M152" s="70">
        <f t="shared" ref="M152:M215" si="164">SUM(P152,N152)</f>
        <v>14.16</v>
      </c>
      <c r="N152" s="71">
        <f t="shared" ref="N152:N215" si="165">F152+J152</f>
        <v>14.16</v>
      </c>
      <c r="O152" s="72">
        <f t="shared" ref="O152:O215" si="166">G152+K152</f>
        <v>0</v>
      </c>
      <c r="P152" s="134">
        <f t="shared" ref="P152:P215" si="167">H152+L152</f>
        <v>0</v>
      </c>
      <c r="Q152" s="78">
        <f t="shared" si="137"/>
        <v>0</v>
      </c>
      <c r="R152" s="79"/>
      <c r="S152" s="80"/>
      <c r="T152" s="81"/>
      <c r="U152" s="70">
        <f t="shared" si="155"/>
        <v>14.16</v>
      </c>
      <c r="V152" s="71">
        <f t="shared" si="156"/>
        <v>14.16</v>
      </c>
      <c r="W152" s="72">
        <f t="shared" ref="W152:W215" si="168">O152+S152</f>
        <v>0</v>
      </c>
      <c r="X152" s="134">
        <f t="shared" ref="X152:X215" si="169">P152+T152</f>
        <v>0</v>
      </c>
      <c r="Y152" s="78">
        <f t="shared" si="138"/>
        <v>0</v>
      </c>
      <c r="Z152" s="79"/>
      <c r="AA152" s="80"/>
      <c r="AB152" s="81"/>
      <c r="AC152" s="70">
        <f t="shared" si="157"/>
        <v>14.16</v>
      </c>
      <c r="AD152" s="71">
        <f t="shared" si="158"/>
        <v>14.16</v>
      </c>
      <c r="AE152" s="72">
        <f t="shared" ref="AE152:AE215" si="170">W152+AA152</f>
        <v>0</v>
      </c>
      <c r="AF152" s="134">
        <f t="shared" ref="AF152:AF215" si="171">X152+AB152</f>
        <v>0</v>
      </c>
      <c r="AG152" s="78">
        <f t="shared" si="139"/>
        <v>0</v>
      </c>
      <c r="AH152" s="79"/>
      <c r="AI152" s="80"/>
      <c r="AJ152" s="81"/>
      <c r="AK152" s="70">
        <f t="shared" si="159"/>
        <v>14.16</v>
      </c>
      <c r="AL152" s="71">
        <f t="shared" si="160"/>
        <v>14.16</v>
      </c>
      <c r="AM152" s="72">
        <f t="shared" si="150"/>
        <v>0</v>
      </c>
      <c r="AN152" s="134">
        <f t="shared" si="146"/>
        <v>0</v>
      </c>
      <c r="AO152" s="78">
        <f t="shared" si="140"/>
        <v>0</v>
      </c>
      <c r="AP152" s="79"/>
      <c r="AQ152" s="80"/>
      <c r="AR152" s="81"/>
      <c r="AS152" s="70">
        <f t="shared" si="161"/>
        <v>14.16</v>
      </c>
      <c r="AT152" s="71">
        <f t="shared" si="123"/>
        <v>14.16</v>
      </c>
      <c r="AU152" s="72">
        <f t="shared" si="151"/>
        <v>0</v>
      </c>
      <c r="AV152" s="134">
        <f t="shared" si="147"/>
        <v>0</v>
      </c>
      <c r="AW152" s="78">
        <f t="shared" si="141"/>
        <v>-3</v>
      </c>
      <c r="AX152" s="79">
        <v>-3</v>
      </c>
      <c r="AY152" s="80"/>
      <c r="AZ152" s="81"/>
      <c r="BA152" s="70">
        <f t="shared" si="162"/>
        <v>11.16</v>
      </c>
      <c r="BB152" s="71">
        <f t="shared" si="125"/>
        <v>11.16</v>
      </c>
      <c r="BC152" s="72">
        <f t="shared" si="152"/>
        <v>0</v>
      </c>
      <c r="BD152" s="134">
        <f t="shared" si="148"/>
        <v>0</v>
      </c>
      <c r="BE152" s="78">
        <f t="shared" si="142"/>
        <v>0</v>
      </c>
      <c r="BF152" s="79"/>
      <c r="BG152" s="80"/>
      <c r="BH152" s="81"/>
      <c r="BI152" s="70">
        <f t="shared" si="163"/>
        <v>11.16</v>
      </c>
      <c r="BJ152" s="71">
        <f t="shared" si="127"/>
        <v>11.16</v>
      </c>
      <c r="BK152" s="72">
        <f t="shared" si="153"/>
        <v>0</v>
      </c>
      <c r="BL152" s="134">
        <f t="shared" si="149"/>
        <v>0</v>
      </c>
    </row>
    <row r="153" spans="1:64" ht="12.9" x14ac:dyDescent="0.35">
      <c r="A153" s="283" t="s">
        <v>33</v>
      </c>
      <c r="B153" s="233" t="s">
        <v>45</v>
      </c>
      <c r="C153" s="27" t="s">
        <v>224</v>
      </c>
      <c r="D153" s="25" t="s">
        <v>125</v>
      </c>
      <c r="E153" s="78">
        <f t="shared" si="154"/>
        <v>1</v>
      </c>
      <c r="F153" s="79">
        <v>1</v>
      </c>
      <c r="G153" s="80"/>
      <c r="H153" s="81"/>
      <c r="I153" s="78">
        <f t="shared" si="136"/>
        <v>0</v>
      </c>
      <c r="J153" s="79"/>
      <c r="K153" s="80"/>
      <c r="L153" s="81"/>
      <c r="M153" s="70">
        <f t="shared" si="164"/>
        <v>1</v>
      </c>
      <c r="N153" s="71">
        <f t="shared" si="165"/>
        <v>1</v>
      </c>
      <c r="O153" s="72">
        <f t="shared" si="166"/>
        <v>0</v>
      </c>
      <c r="P153" s="134">
        <f t="shared" si="167"/>
        <v>0</v>
      </c>
      <c r="Q153" s="78">
        <f t="shared" si="137"/>
        <v>0</v>
      </c>
      <c r="R153" s="79"/>
      <c r="S153" s="80"/>
      <c r="T153" s="81"/>
      <c r="U153" s="70">
        <f t="shared" si="155"/>
        <v>1</v>
      </c>
      <c r="V153" s="71">
        <f t="shared" si="156"/>
        <v>1</v>
      </c>
      <c r="W153" s="72">
        <f t="shared" si="168"/>
        <v>0</v>
      </c>
      <c r="X153" s="134">
        <f t="shared" si="169"/>
        <v>0</v>
      </c>
      <c r="Y153" s="78">
        <f t="shared" si="138"/>
        <v>0</v>
      </c>
      <c r="Z153" s="79"/>
      <c r="AA153" s="80"/>
      <c r="AB153" s="81"/>
      <c r="AC153" s="70">
        <f t="shared" si="157"/>
        <v>1</v>
      </c>
      <c r="AD153" s="71">
        <f t="shared" si="158"/>
        <v>1</v>
      </c>
      <c r="AE153" s="72">
        <f t="shared" si="170"/>
        <v>0</v>
      </c>
      <c r="AF153" s="134">
        <f t="shared" si="171"/>
        <v>0</v>
      </c>
      <c r="AG153" s="78">
        <f t="shared" si="139"/>
        <v>0</v>
      </c>
      <c r="AH153" s="79"/>
      <c r="AI153" s="80"/>
      <c r="AJ153" s="81"/>
      <c r="AK153" s="70">
        <f t="shared" si="159"/>
        <v>1</v>
      </c>
      <c r="AL153" s="71">
        <f t="shared" si="160"/>
        <v>1</v>
      </c>
      <c r="AM153" s="72">
        <f t="shared" si="150"/>
        <v>0</v>
      </c>
      <c r="AN153" s="134">
        <f t="shared" si="146"/>
        <v>0</v>
      </c>
      <c r="AO153" s="78">
        <f t="shared" si="140"/>
        <v>0</v>
      </c>
      <c r="AP153" s="79"/>
      <c r="AQ153" s="80"/>
      <c r="AR153" s="81"/>
      <c r="AS153" s="70">
        <f t="shared" si="161"/>
        <v>1</v>
      </c>
      <c r="AT153" s="71">
        <f t="shared" si="123"/>
        <v>1</v>
      </c>
      <c r="AU153" s="72">
        <f t="shared" si="151"/>
        <v>0</v>
      </c>
      <c r="AV153" s="134">
        <f t="shared" si="147"/>
        <v>0</v>
      </c>
      <c r="AW153" s="78">
        <f t="shared" si="141"/>
        <v>0</v>
      </c>
      <c r="AX153" s="79"/>
      <c r="AY153" s="80"/>
      <c r="AZ153" s="81"/>
      <c r="BA153" s="70">
        <f t="shared" si="162"/>
        <v>1</v>
      </c>
      <c r="BB153" s="71">
        <f t="shared" si="125"/>
        <v>1</v>
      </c>
      <c r="BC153" s="72">
        <f t="shared" si="152"/>
        <v>0</v>
      </c>
      <c r="BD153" s="134">
        <f t="shared" si="148"/>
        <v>0</v>
      </c>
      <c r="BE153" s="78">
        <f t="shared" si="142"/>
        <v>0</v>
      </c>
      <c r="BF153" s="79"/>
      <c r="BG153" s="80"/>
      <c r="BH153" s="81"/>
      <c r="BI153" s="70">
        <f t="shared" si="163"/>
        <v>1</v>
      </c>
      <c r="BJ153" s="71">
        <f t="shared" si="127"/>
        <v>1</v>
      </c>
      <c r="BK153" s="72">
        <f t="shared" si="153"/>
        <v>0</v>
      </c>
      <c r="BL153" s="134">
        <f t="shared" si="149"/>
        <v>0</v>
      </c>
    </row>
    <row r="154" spans="1:64" ht="12.9" x14ac:dyDescent="0.35">
      <c r="A154" s="284"/>
      <c r="B154" s="234"/>
      <c r="C154" s="27" t="s">
        <v>229</v>
      </c>
      <c r="D154" s="25" t="s">
        <v>137</v>
      </c>
      <c r="E154" s="78">
        <f t="shared" si="154"/>
        <v>0</v>
      </c>
      <c r="F154" s="79"/>
      <c r="G154" s="80"/>
      <c r="H154" s="81"/>
      <c r="I154" s="78">
        <f t="shared" si="136"/>
        <v>0</v>
      </c>
      <c r="J154" s="79"/>
      <c r="K154" s="80"/>
      <c r="L154" s="81"/>
      <c r="M154" s="70">
        <f t="shared" si="164"/>
        <v>0</v>
      </c>
      <c r="N154" s="71">
        <f t="shared" si="165"/>
        <v>0</v>
      </c>
      <c r="O154" s="72">
        <f t="shared" si="166"/>
        <v>0</v>
      </c>
      <c r="P154" s="134">
        <f t="shared" si="167"/>
        <v>0</v>
      </c>
      <c r="Q154" s="78">
        <f t="shared" si="137"/>
        <v>0</v>
      </c>
      <c r="R154" s="79"/>
      <c r="S154" s="80"/>
      <c r="T154" s="81"/>
      <c r="U154" s="70">
        <f t="shared" si="155"/>
        <v>0</v>
      </c>
      <c r="V154" s="71">
        <f t="shared" si="156"/>
        <v>0</v>
      </c>
      <c r="W154" s="72">
        <f t="shared" si="168"/>
        <v>0</v>
      </c>
      <c r="X154" s="134">
        <f t="shared" si="169"/>
        <v>0</v>
      </c>
      <c r="Y154" s="78">
        <f t="shared" si="138"/>
        <v>0</v>
      </c>
      <c r="Z154" s="79"/>
      <c r="AA154" s="80"/>
      <c r="AB154" s="81"/>
      <c r="AC154" s="70">
        <f t="shared" si="157"/>
        <v>0</v>
      </c>
      <c r="AD154" s="71">
        <f t="shared" si="158"/>
        <v>0</v>
      </c>
      <c r="AE154" s="72">
        <f t="shared" si="170"/>
        <v>0</v>
      </c>
      <c r="AF154" s="134">
        <f t="shared" si="171"/>
        <v>0</v>
      </c>
      <c r="AG154" s="78">
        <f t="shared" si="139"/>
        <v>0</v>
      </c>
      <c r="AH154" s="79"/>
      <c r="AI154" s="80"/>
      <c r="AJ154" s="81"/>
      <c r="AK154" s="70">
        <f t="shared" si="159"/>
        <v>0</v>
      </c>
      <c r="AL154" s="71">
        <f t="shared" si="160"/>
        <v>0</v>
      </c>
      <c r="AM154" s="72">
        <f t="shared" si="150"/>
        <v>0</v>
      </c>
      <c r="AN154" s="134">
        <f t="shared" si="146"/>
        <v>0</v>
      </c>
      <c r="AO154" s="78">
        <f t="shared" si="140"/>
        <v>0</v>
      </c>
      <c r="AP154" s="79"/>
      <c r="AQ154" s="80"/>
      <c r="AR154" s="81"/>
      <c r="AS154" s="70">
        <f t="shared" si="161"/>
        <v>0</v>
      </c>
      <c r="AT154" s="71">
        <f t="shared" si="123"/>
        <v>0</v>
      </c>
      <c r="AU154" s="72">
        <f t="shared" si="151"/>
        <v>0</v>
      </c>
      <c r="AV154" s="134">
        <f t="shared" si="147"/>
        <v>0</v>
      </c>
      <c r="AW154" s="78">
        <f t="shared" si="141"/>
        <v>0.67700000000000005</v>
      </c>
      <c r="AX154" s="79">
        <v>0.67700000000000005</v>
      </c>
      <c r="AY154" s="80"/>
      <c r="AZ154" s="81"/>
      <c r="BA154" s="70">
        <f t="shared" si="162"/>
        <v>0.67700000000000005</v>
      </c>
      <c r="BB154" s="71">
        <f t="shared" si="125"/>
        <v>0.67700000000000005</v>
      </c>
      <c r="BC154" s="72">
        <f t="shared" si="152"/>
        <v>0</v>
      </c>
      <c r="BD154" s="134">
        <f t="shared" si="148"/>
        <v>0</v>
      </c>
      <c r="BE154" s="78">
        <f t="shared" si="142"/>
        <v>0</v>
      </c>
      <c r="BF154" s="79"/>
      <c r="BG154" s="80"/>
      <c r="BH154" s="81"/>
      <c r="BI154" s="70">
        <f t="shared" si="163"/>
        <v>0.67700000000000005</v>
      </c>
      <c r="BJ154" s="71">
        <f t="shared" si="127"/>
        <v>0.67700000000000005</v>
      </c>
      <c r="BK154" s="72">
        <f t="shared" si="153"/>
        <v>0</v>
      </c>
      <c r="BL154" s="134">
        <f t="shared" si="149"/>
        <v>0</v>
      </c>
    </row>
    <row r="155" spans="1:64" ht="12.9" x14ac:dyDescent="0.35">
      <c r="A155" s="45" t="s">
        <v>32</v>
      </c>
      <c r="B155" s="237" t="s">
        <v>46</v>
      </c>
      <c r="C155" s="27" t="s">
        <v>288</v>
      </c>
      <c r="D155" s="25" t="s">
        <v>125</v>
      </c>
      <c r="E155" s="78">
        <f t="shared" si="154"/>
        <v>0.5</v>
      </c>
      <c r="F155" s="79">
        <v>0.5</v>
      </c>
      <c r="G155" s="80"/>
      <c r="H155" s="81"/>
      <c r="I155" s="78">
        <f t="shared" si="136"/>
        <v>0</v>
      </c>
      <c r="J155" s="79"/>
      <c r="K155" s="80"/>
      <c r="L155" s="81"/>
      <c r="M155" s="70">
        <f t="shared" si="164"/>
        <v>0.5</v>
      </c>
      <c r="N155" s="71">
        <f t="shared" si="165"/>
        <v>0.5</v>
      </c>
      <c r="O155" s="72">
        <f t="shared" si="166"/>
        <v>0</v>
      </c>
      <c r="P155" s="134">
        <f t="shared" si="167"/>
        <v>0</v>
      </c>
      <c r="Q155" s="78">
        <f t="shared" si="137"/>
        <v>0</v>
      </c>
      <c r="R155" s="79"/>
      <c r="S155" s="80"/>
      <c r="T155" s="81"/>
      <c r="U155" s="70">
        <f t="shared" si="155"/>
        <v>0.5</v>
      </c>
      <c r="V155" s="71">
        <f t="shared" si="156"/>
        <v>0.5</v>
      </c>
      <c r="W155" s="72">
        <f t="shared" si="168"/>
        <v>0</v>
      </c>
      <c r="X155" s="134">
        <f t="shared" si="169"/>
        <v>0</v>
      </c>
      <c r="Y155" s="78">
        <f t="shared" si="138"/>
        <v>0</v>
      </c>
      <c r="Z155" s="79"/>
      <c r="AA155" s="80"/>
      <c r="AB155" s="81"/>
      <c r="AC155" s="70">
        <f t="shared" si="157"/>
        <v>0.5</v>
      </c>
      <c r="AD155" s="71">
        <f t="shared" si="158"/>
        <v>0.5</v>
      </c>
      <c r="AE155" s="72">
        <f t="shared" si="170"/>
        <v>0</v>
      </c>
      <c r="AF155" s="134">
        <f t="shared" si="171"/>
        <v>0</v>
      </c>
      <c r="AG155" s="78">
        <f t="shared" si="139"/>
        <v>0</v>
      </c>
      <c r="AH155" s="79"/>
      <c r="AI155" s="80"/>
      <c r="AJ155" s="81"/>
      <c r="AK155" s="70">
        <f t="shared" si="159"/>
        <v>0.5</v>
      </c>
      <c r="AL155" s="71">
        <f t="shared" si="160"/>
        <v>0.5</v>
      </c>
      <c r="AM155" s="72">
        <f t="shared" si="150"/>
        <v>0</v>
      </c>
      <c r="AN155" s="134">
        <f t="shared" si="146"/>
        <v>0</v>
      </c>
      <c r="AO155" s="78">
        <f t="shared" si="140"/>
        <v>0</v>
      </c>
      <c r="AP155" s="79"/>
      <c r="AQ155" s="80"/>
      <c r="AR155" s="81"/>
      <c r="AS155" s="70">
        <f t="shared" si="161"/>
        <v>0.5</v>
      </c>
      <c r="AT155" s="71">
        <f t="shared" si="123"/>
        <v>0.5</v>
      </c>
      <c r="AU155" s="72">
        <f t="shared" si="151"/>
        <v>0</v>
      </c>
      <c r="AV155" s="134">
        <f t="shared" si="147"/>
        <v>0</v>
      </c>
      <c r="AW155" s="78">
        <f t="shared" si="141"/>
        <v>0</v>
      </c>
      <c r="AX155" s="79"/>
      <c r="AY155" s="80"/>
      <c r="AZ155" s="81"/>
      <c r="BA155" s="70">
        <f t="shared" si="162"/>
        <v>0.5</v>
      </c>
      <c r="BB155" s="71">
        <f t="shared" si="125"/>
        <v>0.5</v>
      </c>
      <c r="BC155" s="72">
        <f t="shared" si="152"/>
        <v>0</v>
      </c>
      <c r="BD155" s="134">
        <f t="shared" si="148"/>
        <v>0</v>
      </c>
      <c r="BE155" s="78">
        <f t="shared" si="142"/>
        <v>0</v>
      </c>
      <c r="BF155" s="79"/>
      <c r="BG155" s="80"/>
      <c r="BH155" s="81"/>
      <c r="BI155" s="70">
        <f t="shared" si="163"/>
        <v>0.5</v>
      </c>
      <c r="BJ155" s="71">
        <f t="shared" si="127"/>
        <v>0.5</v>
      </c>
      <c r="BK155" s="72">
        <f t="shared" si="153"/>
        <v>0</v>
      </c>
      <c r="BL155" s="134">
        <f t="shared" si="149"/>
        <v>0</v>
      </c>
    </row>
    <row r="156" spans="1:64" ht="12.9" hidden="1" x14ac:dyDescent="0.35">
      <c r="A156" s="118"/>
      <c r="B156" s="238"/>
      <c r="C156" s="27" t="s">
        <v>229</v>
      </c>
      <c r="D156" s="25" t="s">
        <v>50</v>
      </c>
      <c r="E156" s="78">
        <f t="shared" si="154"/>
        <v>0</v>
      </c>
      <c r="F156" s="79"/>
      <c r="G156" s="80"/>
      <c r="H156" s="81"/>
      <c r="I156" s="78">
        <f t="shared" si="136"/>
        <v>0</v>
      </c>
      <c r="J156" s="79"/>
      <c r="K156" s="80"/>
      <c r="L156" s="81"/>
      <c r="M156" s="70">
        <f t="shared" si="164"/>
        <v>0</v>
      </c>
      <c r="N156" s="71">
        <f t="shared" si="165"/>
        <v>0</v>
      </c>
      <c r="O156" s="72">
        <f t="shared" si="166"/>
        <v>0</v>
      </c>
      <c r="P156" s="134">
        <f t="shared" si="167"/>
        <v>0</v>
      </c>
      <c r="Q156" s="78">
        <f t="shared" si="137"/>
        <v>0</v>
      </c>
      <c r="R156" s="79"/>
      <c r="S156" s="80"/>
      <c r="T156" s="81"/>
      <c r="U156" s="70">
        <f t="shared" si="155"/>
        <v>0</v>
      </c>
      <c r="V156" s="71">
        <f t="shared" si="156"/>
        <v>0</v>
      </c>
      <c r="W156" s="72">
        <f t="shared" si="168"/>
        <v>0</v>
      </c>
      <c r="X156" s="134">
        <f t="shared" si="169"/>
        <v>0</v>
      </c>
      <c r="Y156" s="78">
        <f t="shared" si="138"/>
        <v>0</v>
      </c>
      <c r="Z156" s="79"/>
      <c r="AA156" s="80"/>
      <c r="AB156" s="81"/>
      <c r="AC156" s="70">
        <f t="shared" si="157"/>
        <v>0</v>
      </c>
      <c r="AD156" s="71">
        <f t="shared" si="158"/>
        <v>0</v>
      </c>
      <c r="AE156" s="72">
        <f t="shared" si="170"/>
        <v>0</v>
      </c>
      <c r="AF156" s="134">
        <f t="shared" si="171"/>
        <v>0</v>
      </c>
      <c r="AG156" s="78">
        <f t="shared" si="139"/>
        <v>0</v>
      </c>
      <c r="AH156" s="79"/>
      <c r="AI156" s="80"/>
      <c r="AJ156" s="81"/>
      <c r="AK156" s="70">
        <f t="shared" si="159"/>
        <v>0</v>
      </c>
      <c r="AL156" s="71">
        <f t="shared" si="160"/>
        <v>0</v>
      </c>
      <c r="AM156" s="72">
        <f t="shared" si="150"/>
        <v>0</v>
      </c>
      <c r="AN156" s="134">
        <f t="shared" si="146"/>
        <v>0</v>
      </c>
      <c r="AO156" s="78">
        <f t="shared" si="140"/>
        <v>0</v>
      </c>
      <c r="AP156" s="79"/>
      <c r="AQ156" s="80"/>
      <c r="AR156" s="81"/>
      <c r="AS156" s="70">
        <f t="shared" si="161"/>
        <v>0</v>
      </c>
      <c r="AT156" s="71">
        <f t="shared" si="123"/>
        <v>0</v>
      </c>
      <c r="AU156" s="72">
        <f t="shared" si="151"/>
        <v>0</v>
      </c>
      <c r="AV156" s="134">
        <f t="shared" si="147"/>
        <v>0</v>
      </c>
      <c r="AW156" s="78">
        <f t="shared" si="141"/>
        <v>0</v>
      </c>
      <c r="AX156" s="79"/>
      <c r="AY156" s="80"/>
      <c r="AZ156" s="81"/>
      <c r="BA156" s="70">
        <f t="shared" si="162"/>
        <v>0</v>
      </c>
      <c r="BB156" s="71">
        <f t="shared" si="125"/>
        <v>0</v>
      </c>
      <c r="BC156" s="72">
        <f t="shared" si="152"/>
        <v>0</v>
      </c>
      <c r="BD156" s="134">
        <f t="shared" si="148"/>
        <v>0</v>
      </c>
      <c r="BE156" s="78">
        <f t="shared" si="142"/>
        <v>0</v>
      </c>
      <c r="BF156" s="79"/>
      <c r="BG156" s="80"/>
      <c r="BH156" s="81"/>
      <c r="BI156" s="70">
        <f t="shared" si="163"/>
        <v>0</v>
      </c>
      <c r="BJ156" s="71">
        <f t="shared" si="127"/>
        <v>0</v>
      </c>
      <c r="BK156" s="72">
        <f t="shared" si="153"/>
        <v>0</v>
      </c>
      <c r="BL156" s="134">
        <f t="shared" si="149"/>
        <v>0</v>
      </c>
    </row>
    <row r="157" spans="1:64" ht="12.9" x14ac:dyDescent="0.35">
      <c r="A157" s="118" t="s">
        <v>7</v>
      </c>
      <c r="B157" s="23" t="s">
        <v>48</v>
      </c>
      <c r="C157" s="27" t="s">
        <v>303</v>
      </c>
      <c r="D157" s="25" t="s">
        <v>125</v>
      </c>
      <c r="E157" s="78">
        <f t="shared" si="154"/>
        <v>0</v>
      </c>
      <c r="F157" s="79"/>
      <c r="G157" s="80"/>
      <c r="H157" s="81"/>
      <c r="I157" s="78">
        <f t="shared" si="136"/>
        <v>0</v>
      </c>
      <c r="J157" s="79"/>
      <c r="K157" s="80"/>
      <c r="L157" s="81"/>
      <c r="M157" s="70">
        <f t="shared" si="164"/>
        <v>0</v>
      </c>
      <c r="N157" s="71">
        <f t="shared" si="165"/>
        <v>0</v>
      </c>
      <c r="O157" s="72">
        <f t="shared" si="166"/>
        <v>0</v>
      </c>
      <c r="P157" s="134">
        <f t="shared" si="167"/>
        <v>0</v>
      </c>
      <c r="Q157" s="78">
        <f t="shared" si="137"/>
        <v>0</v>
      </c>
      <c r="R157" s="79"/>
      <c r="S157" s="80"/>
      <c r="T157" s="81"/>
      <c r="U157" s="70">
        <f t="shared" si="155"/>
        <v>0</v>
      </c>
      <c r="V157" s="71">
        <f t="shared" si="156"/>
        <v>0</v>
      </c>
      <c r="W157" s="72">
        <f t="shared" si="168"/>
        <v>0</v>
      </c>
      <c r="X157" s="134">
        <f t="shared" si="169"/>
        <v>0</v>
      </c>
      <c r="Y157" s="78">
        <f t="shared" si="138"/>
        <v>0</v>
      </c>
      <c r="Z157" s="79"/>
      <c r="AA157" s="80"/>
      <c r="AB157" s="81"/>
      <c r="AC157" s="70">
        <f t="shared" si="157"/>
        <v>0</v>
      </c>
      <c r="AD157" s="71">
        <f t="shared" si="158"/>
        <v>0</v>
      </c>
      <c r="AE157" s="72">
        <f t="shared" si="170"/>
        <v>0</v>
      </c>
      <c r="AF157" s="134">
        <f t="shared" si="171"/>
        <v>0</v>
      </c>
      <c r="AG157" s="78">
        <f t="shared" si="139"/>
        <v>0</v>
      </c>
      <c r="AH157" s="79"/>
      <c r="AI157" s="80"/>
      <c r="AJ157" s="81"/>
      <c r="AK157" s="70">
        <f t="shared" si="159"/>
        <v>0</v>
      </c>
      <c r="AL157" s="71">
        <f t="shared" si="160"/>
        <v>0</v>
      </c>
      <c r="AM157" s="72">
        <f t="shared" si="150"/>
        <v>0</v>
      </c>
      <c r="AN157" s="134">
        <f t="shared" si="146"/>
        <v>0</v>
      </c>
      <c r="AO157" s="78">
        <f t="shared" si="140"/>
        <v>0</v>
      </c>
      <c r="AP157" s="79"/>
      <c r="AQ157" s="80"/>
      <c r="AR157" s="81"/>
      <c r="AS157" s="70">
        <f t="shared" si="161"/>
        <v>0</v>
      </c>
      <c r="AT157" s="71">
        <f t="shared" si="123"/>
        <v>0</v>
      </c>
      <c r="AU157" s="72">
        <f t="shared" si="151"/>
        <v>0</v>
      </c>
      <c r="AV157" s="134">
        <f t="shared" si="147"/>
        <v>0</v>
      </c>
      <c r="AW157" s="78">
        <f t="shared" si="141"/>
        <v>0</v>
      </c>
      <c r="AX157" s="79"/>
      <c r="AY157" s="80"/>
      <c r="AZ157" s="81"/>
      <c r="BA157" s="70">
        <f t="shared" si="162"/>
        <v>0</v>
      </c>
      <c r="BB157" s="71">
        <f t="shared" si="125"/>
        <v>0</v>
      </c>
      <c r="BC157" s="72">
        <f t="shared" si="152"/>
        <v>0</v>
      </c>
      <c r="BD157" s="134">
        <f t="shared" si="148"/>
        <v>0</v>
      </c>
      <c r="BE157" s="78">
        <f t="shared" si="142"/>
        <v>3</v>
      </c>
      <c r="BF157" s="79"/>
      <c r="BG157" s="80"/>
      <c r="BH157" s="81">
        <v>3</v>
      </c>
      <c r="BI157" s="70">
        <f t="shared" si="163"/>
        <v>3</v>
      </c>
      <c r="BJ157" s="71">
        <f t="shared" si="127"/>
        <v>0</v>
      </c>
      <c r="BK157" s="72">
        <f t="shared" si="153"/>
        <v>0</v>
      </c>
      <c r="BL157" s="134">
        <f t="shared" si="149"/>
        <v>3</v>
      </c>
    </row>
    <row r="158" spans="1:64" s="138" customFormat="1" ht="12.45" x14ac:dyDescent="0.3">
      <c r="A158" s="135"/>
      <c r="B158" s="136" t="s">
        <v>12</v>
      </c>
      <c r="C158" s="42" t="s">
        <v>109</v>
      </c>
      <c r="D158" s="137"/>
      <c r="E158" s="73">
        <f t="shared" si="154"/>
        <v>789.55399999999997</v>
      </c>
      <c r="F158" s="74">
        <f>SUM(F160:F169)</f>
        <v>785.64699999999993</v>
      </c>
      <c r="G158" s="75">
        <f>SUM(G160:G169)</f>
        <v>643.05999999999995</v>
      </c>
      <c r="H158" s="133">
        <f>SUM(H160:H169)</f>
        <v>3.907</v>
      </c>
      <c r="I158" s="73">
        <f t="shared" si="136"/>
        <v>0</v>
      </c>
      <c r="J158" s="74">
        <f>SUM(J160:J169)</f>
        <v>-4.2590000000000003</v>
      </c>
      <c r="K158" s="75">
        <f>SUM(K160:K169)</f>
        <v>0</v>
      </c>
      <c r="L158" s="133">
        <f>SUM(L160:L169)</f>
        <v>4.2590000000000003</v>
      </c>
      <c r="M158" s="73">
        <f t="shared" si="164"/>
        <v>789.55399999999997</v>
      </c>
      <c r="N158" s="74">
        <f t="shared" si="165"/>
        <v>781.38799999999992</v>
      </c>
      <c r="O158" s="75">
        <f t="shared" si="166"/>
        <v>643.05999999999995</v>
      </c>
      <c r="P158" s="133">
        <f t="shared" si="167"/>
        <v>8.1660000000000004</v>
      </c>
      <c r="Q158" s="73">
        <f t="shared" si="137"/>
        <v>0.159</v>
      </c>
      <c r="R158" s="74">
        <f>SUM(R160:R169)</f>
        <v>0.159</v>
      </c>
      <c r="S158" s="75">
        <f>SUM(S160:S169)</f>
        <v>0</v>
      </c>
      <c r="T158" s="133">
        <f>SUM(T160:T169)</f>
        <v>0</v>
      </c>
      <c r="U158" s="73">
        <f t="shared" si="155"/>
        <v>789.71299999999997</v>
      </c>
      <c r="V158" s="74">
        <f t="shared" si="156"/>
        <v>781.54699999999991</v>
      </c>
      <c r="W158" s="75">
        <f t="shared" si="168"/>
        <v>643.05999999999995</v>
      </c>
      <c r="X158" s="133">
        <f t="shared" si="169"/>
        <v>8.1660000000000004</v>
      </c>
      <c r="Y158" s="73">
        <f t="shared" si="138"/>
        <v>2.7</v>
      </c>
      <c r="Z158" s="74">
        <f>SUM(Z160:Z169)</f>
        <v>2.7</v>
      </c>
      <c r="AA158" s="75">
        <f>SUM(AA160:AA169)</f>
        <v>0.86099999999999988</v>
      </c>
      <c r="AB158" s="133">
        <f>SUM(AB160:AB169)</f>
        <v>0</v>
      </c>
      <c r="AC158" s="73">
        <f t="shared" si="157"/>
        <v>792.41300000000001</v>
      </c>
      <c r="AD158" s="74">
        <f t="shared" si="158"/>
        <v>784.24699999999996</v>
      </c>
      <c r="AE158" s="75">
        <f t="shared" si="170"/>
        <v>643.92099999999994</v>
      </c>
      <c r="AF158" s="133">
        <f t="shared" si="171"/>
        <v>8.1660000000000004</v>
      </c>
      <c r="AG158" s="73">
        <f t="shared" si="139"/>
        <v>0</v>
      </c>
      <c r="AH158" s="74">
        <f>SUM(AH160:AH169)</f>
        <v>0</v>
      </c>
      <c r="AI158" s="75">
        <f>SUM(AI160:AI169)</f>
        <v>0</v>
      </c>
      <c r="AJ158" s="133">
        <f>SUM(AJ160:AJ169)</f>
        <v>0</v>
      </c>
      <c r="AK158" s="73">
        <f t="shared" si="159"/>
        <v>792.41300000000001</v>
      </c>
      <c r="AL158" s="74">
        <f t="shared" si="160"/>
        <v>784.24699999999996</v>
      </c>
      <c r="AM158" s="75">
        <f t="shared" si="150"/>
        <v>643.92099999999994</v>
      </c>
      <c r="AN158" s="133">
        <f t="shared" si="146"/>
        <v>8.1660000000000004</v>
      </c>
      <c r="AO158" s="73">
        <f t="shared" si="140"/>
        <v>0</v>
      </c>
      <c r="AP158" s="74">
        <f>SUM(AP160:AP169)</f>
        <v>0</v>
      </c>
      <c r="AQ158" s="75">
        <f>SUM(AQ160:AQ169)</f>
        <v>-1.1700000000000002</v>
      </c>
      <c r="AR158" s="133">
        <f>SUM(AR160:AR169)</f>
        <v>0</v>
      </c>
      <c r="AS158" s="73">
        <f t="shared" si="161"/>
        <v>792.41300000000001</v>
      </c>
      <c r="AT158" s="74">
        <f t="shared" si="123"/>
        <v>784.24699999999996</v>
      </c>
      <c r="AU158" s="75">
        <f t="shared" si="151"/>
        <v>642.75099999999998</v>
      </c>
      <c r="AV158" s="133">
        <f t="shared" si="147"/>
        <v>8.1660000000000004</v>
      </c>
      <c r="AW158" s="73">
        <f t="shared" si="141"/>
        <v>8.9219999999999988</v>
      </c>
      <c r="AX158" s="74">
        <f>SUM(AX160:AX169)</f>
        <v>8.9219999999999988</v>
      </c>
      <c r="AY158" s="75">
        <f>SUM(AY160:AY169)</f>
        <v>7.7909999999999995</v>
      </c>
      <c r="AZ158" s="133">
        <f>SUM(AZ160:AZ169)</f>
        <v>0</v>
      </c>
      <c r="BA158" s="73">
        <f t="shared" si="162"/>
        <v>801.33500000000004</v>
      </c>
      <c r="BB158" s="74">
        <f t="shared" si="125"/>
        <v>793.16899999999998</v>
      </c>
      <c r="BC158" s="75">
        <f t="shared" si="152"/>
        <v>650.54200000000003</v>
      </c>
      <c r="BD158" s="133">
        <f t="shared" si="148"/>
        <v>8.1660000000000004</v>
      </c>
      <c r="BE158" s="73">
        <f t="shared" si="142"/>
        <v>-1.4849999999999999</v>
      </c>
      <c r="BF158" s="74">
        <f>SUM(BF160:BF169)</f>
        <v>-1.9049999999999998</v>
      </c>
      <c r="BG158" s="75">
        <f>SUM(BG160:BG169)</f>
        <v>0.186</v>
      </c>
      <c r="BH158" s="133">
        <f>SUM(BH160:BH169)</f>
        <v>0.42</v>
      </c>
      <c r="BI158" s="73">
        <f t="shared" si="163"/>
        <v>799.85</v>
      </c>
      <c r="BJ158" s="74">
        <f t="shared" si="127"/>
        <v>791.26400000000001</v>
      </c>
      <c r="BK158" s="75">
        <f t="shared" si="153"/>
        <v>650.72800000000007</v>
      </c>
      <c r="BL158" s="133">
        <f t="shared" si="149"/>
        <v>8.5860000000000003</v>
      </c>
    </row>
    <row r="159" spans="1:64" ht="12.9" x14ac:dyDescent="0.35">
      <c r="A159" s="43"/>
      <c r="B159" s="4" t="s">
        <v>2</v>
      </c>
      <c r="C159" s="44"/>
      <c r="D159" s="28"/>
      <c r="E159" s="78">
        <f t="shared" si="154"/>
        <v>0</v>
      </c>
      <c r="F159" s="79">
        <v>0</v>
      </c>
      <c r="G159" s="80">
        <v>0</v>
      </c>
      <c r="H159" s="81">
        <v>0</v>
      </c>
      <c r="I159" s="78">
        <f t="shared" si="136"/>
        <v>0</v>
      </c>
      <c r="J159" s="79">
        <v>0</v>
      </c>
      <c r="K159" s="80">
        <v>0</v>
      </c>
      <c r="L159" s="81">
        <v>0</v>
      </c>
      <c r="M159" s="70">
        <f t="shared" si="164"/>
        <v>0</v>
      </c>
      <c r="N159" s="71">
        <f t="shared" si="165"/>
        <v>0</v>
      </c>
      <c r="O159" s="72">
        <f t="shared" si="166"/>
        <v>0</v>
      </c>
      <c r="P159" s="134">
        <f t="shared" si="167"/>
        <v>0</v>
      </c>
      <c r="Q159" s="78">
        <f t="shared" si="137"/>
        <v>0</v>
      </c>
      <c r="R159" s="79">
        <v>0</v>
      </c>
      <c r="S159" s="80">
        <v>0</v>
      </c>
      <c r="T159" s="81">
        <v>0</v>
      </c>
      <c r="U159" s="70">
        <f t="shared" si="155"/>
        <v>0</v>
      </c>
      <c r="V159" s="71">
        <f t="shared" si="156"/>
        <v>0</v>
      </c>
      <c r="W159" s="72">
        <f t="shared" si="168"/>
        <v>0</v>
      </c>
      <c r="X159" s="134">
        <f t="shared" si="169"/>
        <v>0</v>
      </c>
      <c r="Y159" s="78">
        <f t="shared" si="138"/>
        <v>0</v>
      </c>
      <c r="Z159" s="79">
        <v>0</v>
      </c>
      <c r="AA159" s="80">
        <v>0</v>
      </c>
      <c r="AB159" s="81">
        <v>0</v>
      </c>
      <c r="AC159" s="70">
        <f t="shared" si="157"/>
        <v>0</v>
      </c>
      <c r="AD159" s="71">
        <f t="shared" si="158"/>
        <v>0</v>
      </c>
      <c r="AE159" s="72">
        <f t="shared" si="170"/>
        <v>0</v>
      </c>
      <c r="AF159" s="134">
        <f t="shared" si="171"/>
        <v>0</v>
      </c>
      <c r="AG159" s="78">
        <f t="shared" si="139"/>
        <v>0</v>
      </c>
      <c r="AH159" s="79">
        <v>0</v>
      </c>
      <c r="AI159" s="80">
        <v>0</v>
      </c>
      <c r="AJ159" s="81">
        <v>0</v>
      </c>
      <c r="AK159" s="70">
        <f t="shared" si="159"/>
        <v>0</v>
      </c>
      <c r="AL159" s="71">
        <f t="shared" si="160"/>
        <v>0</v>
      </c>
      <c r="AM159" s="72">
        <f t="shared" si="150"/>
        <v>0</v>
      </c>
      <c r="AN159" s="134">
        <f t="shared" si="146"/>
        <v>0</v>
      </c>
      <c r="AO159" s="78">
        <f t="shared" si="140"/>
        <v>0</v>
      </c>
      <c r="AP159" s="79">
        <v>0</v>
      </c>
      <c r="AQ159" s="80">
        <v>0</v>
      </c>
      <c r="AR159" s="81">
        <v>0</v>
      </c>
      <c r="AS159" s="70">
        <f t="shared" si="161"/>
        <v>0</v>
      </c>
      <c r="AT159" s="71">
        <f t="shared" si="123"/>
        <v>0</v>
      </c>
      <c r="AU159" s="72">
        <f t="shared" si="151"/>
        <v>0</v>
      </c>
      <c r="AV159" s="134">
        <f t="shared" si="147"/>
        <v>0</v>
      </c>
      <c r="AW159" s="78">
        <f t="shared" si="141"/>
        <v>0</v>
      </c>
      <c r="AX159" s="79">
        <v>0</v>
      </c>
      <c r="AY159" s="80">
        <v>0</v>
      </c>
      <c r="AZ159" s="81">
        <v>0</v>
      </c>
      <c r="BA159" s="70">
        <f t="shared" si="162"/>
        <v>0</v>
      </c>
      <c r="BB159" s="71">
        <f t="shared" si="125"/>
        <v>0</v>
      </c>
      <c r="BC159" s="72">
        <f t="shared" si="152"/>
        <v>0</v>
      </c>
      <c r="BD159" s="134">
        <f t="shared" si="148"/>
        <v>0</v>
      </c>
      <c r="BE159" s="78">
        <f t="shared" si="142"/>
        <v>0</v>
      </c>
      <c r="BF159" s="79">
        <v>0</v>
      </c>
      <c r="BG159" s="80">
        <v>0</v>
      </c>
      <c r="BH159" s="81">
        <v>0</v>
      </c>
      <c r="BI159" s="70">
        <f t="shared" si="163"/>
        <v>0</v>
      </c>
      <c r="BJ159" s="71">
        <f t="shared" si="127"/>
        <v>0</v>
      </c>
      <c r="BK159" s="72">
        <f t="shared" si="153"/>
        <v>0</v>
      </c>
      <c r="BL159" s="134">
        <f t="shared" si="149"/>
        <v>0</v>
      </c>
    </row>
    <row r="160" spans="1:64" ht="12.9" x14ac:dyDescent="0.35">
      <c r="A160" s="25" t="s">
        <v>22</v>
      </c>
      <c r="B160" s="26" t="s">
        <v>34</v>
      </c>
      <c r="C160" s="27" t="s">
        <v>76</v>
      </c>
      <c r="D160" s="40" t="s">
        <v>125</v>
      </c>
      <c r="E160" s="78">
        <f t="shared" si="154"/>
        <v>0.4</v>
      </c>
      <c r="F160" s="79">
        <v>0.4</v>
      </c>
      <c r="G160" s="80"/>
      <c r="H160" s="81"/>
      <c r="I160" s="78">
        <f t="shared" si="136"/>
        <v>0</v>
      </c>
      <c r="J160" s="79"/>
      <c r="K160" s="80"/>
      <c r="L160" s="81"/>
      <c r="M160" s="70">
        <f t="shared" si="164"/>
        <v>0.4</v>
      </c>
      <c r="N160" s="71">
        <f t="shared" si="165"/>
        <v>0.4</v>
      </c>
      <c r="O160" s="72">
        <f t="shared" si="166"/>
        <v>0</v>
      </c>
      <c r="P160" s="134">
        <f t="shared" si="167"/>
        <v>0</v>
      </c>
      <c r="Q160" s="78">
        <f t="shared" si="137"/>
        <v>0</v>
      </c>
      <c r="R160" s="79"/>
      <c r="S160" s="80"/>
      <c r="T160" s="81"/>
      <c r="U160" s="70">
        <f t="shared" si="155"/>
        <v>0.4</v>
      </c>
      <c r="V160" s="71">
        <f t="shared" si="156"/>
        <v>0.4</v>
      </c>
      <c r="W160" s="72">
        <f t="shared" si="168"/>
        <v>0</v>
      </c>
      <c r="X160" s="134">
        <f t="shared" si="169"/>
        <v>0</v>
      </c>
      <c r="Y160" s="78">
        <f t="shared" si="138"/>
        <v>0</v>
      </c>
      <c r="Z160" s="79"/>
      <c r="AA160" s="80"/>
      <c r="AB160" s="81"/>
      <c r="AC160" s="70">
        <f t="shared" si="157"/>
        <v>0.4</v>
      </c>
      <c r="AD160" s="71">
        <f t="shared" si="158"/>
        <v>0.4</v>
      </c>
      <c r="AE160" s="72">
        <f t="shared" si="170"/>
        <v>0</v>
      </c>
      <c r="AF160" s="134">
        <f t="shared" si="171"/>
        <v>0</v>
      </c>
      <c r="AG160" s="78">
        <f t="shared" si="139"/>
        <v>0</v>
      </c>
      <c r="AH160" s="79"/>
      <c r="AI160" s="80"/>
      <c r="AJ160" s="81"/>
      <c r="AK160" s="70">
        <f t="shared" si="159"/>
        <v>0.4</v>
      </c>
      <c r="AL160" s="71">
        <f t="shared" si="160"/>
        <v>0.4</v>
      </c>
      <c r="AM160" s="72">
        <f t="shared" si="150"/>
        <v>0</v>
      </c>
      <c r="AN160" s="134">
        <f t="shared" si="146"/>
        <v>0</v>
      </c>
      <c r="AO160" s="78">
        <f t="shared" si="140"/>
        <v>0</v>
      </c>
      <c r="AP160" s="79"/>
      <c r="AQ160" s="80"/>
      <c r="AR160" s="81"/>
      <c r="AS160" s="70">
        <f t="shared" si="161"/>
        <v>0.4</v>
      </c>
      <c r="AT160" s="71">
        <f t="shared" si="123"/>
        <v>0.4</v>
      </c>
      <c r="AU160" s="72">
        <f t="shared" si="151"/>
        <v>0</v>
      </c>
      <c r="AV160" s="134">
        <f t="shared" si="147"/>
        <v>0</v>
      </c>
      <c r="AW160" s="78">
        <f t="shared" si="141"/>
        <v>0.5</v>
      </c>
      <c r="AX160" s="79">
        <v>0.5</v>
      </c>
      <c r="AY160" s="80"/>
      <c r="AZ160" s="81"/>
      <c r="BA160" s="70">
        <f t="shared" si="162"/>
        <v>0.9</v>
      </c>
      <c r="BB160" s="71">
        <f t="shared" si="125"/>
        <v>0.9</v>
      </c>
      <c r="BC160" s="72">
        <f t="shared" si="152"/>
        <v>0</v>
      </c>
      <c r="BD160" s="134">
        <f t="shared" si="148"/>
        <v>0</v>
      </c>
      <c r="BE160" s="78">
        <f t="shared" si="142"/>
        <v>0</v>
      </c>
      <c r="BF160" s="79"/>
      <c r="BG160" s="80"/>
      <c r="BH160" s="81"/>
      <c r="BI160" s="70">
        <f t="shared" si="163"/>
        <v>0.9</v>
      </c>
      <c r="BJ160" s="71">
        <f t="shared" si="127"/>
        <v>0.9</v>
      </c>
      <c r="BK160" s="72">
        <f t="shared" si="153"/>
        <v>0</v>
      </c>
      <c r="BL160" s="134">
        <f t="shared" si="149"/>
        <v>0</v>
      </c>
    </row>
    <row r="161" spans="1:64" ht="12.9" x14ac:dyDescent="0.35">
      <c r="A161" s="231" t="s">
        <v>25</v>
      </c>
      <c r="B161" s="233" t="s">
        <v>41</v>
      </c>
      <c r="C161" s="27" t="s">
        <v>77</v>
      </c>
      <c r="D161" s="25" t="s">
        <v>125</v>
      </c>
      <c r="E161" s="78">
        <f t="shared" si="154"/>
        <v>441.04</v>
      </c>
      <c r="F161" s="79">
        <f>383.64+55.1</f>
        <v>438.74</v>
      </c>
      <c r="G161" s="80">
        <f>328.65-0.9</f>
        <v>327.75</v>
      </c>
      <c r="H161" s="81">
        <v>2.2999999999999998</v>
      </c>
      <c r="I161" s="78">
        <f t="shared" si="136"/>
        <v>0</v>
      </c>
      <c r="J161" s="79"/>
      <c r="K161" s="80"/>
      <c r="L161" s="81"/>
      <c r="M161" s="70">
        <f t="shared" si="164"/>
        <v>441.04</v>
      </c>
      <c r="N161" s="71">
        <f t="shared" si="165"/>
        <v>438.74</v>
      </c>
      <c r="O161" s="72">
        <f t="shared" si="166"/>
        <v>327.75</v>
      </c>
      <c r="P161" s="134">
        <f t="shared" si="167"/>
        <v>2.2999999999999998</v>
      </c>
      <c r="Q161" s="78">
        <f t="shared" si="137"/>
        <v>0</v>
      </c>
      <c r="R161" s="79"/>
      <c r="S161" s="80"/>
      <c r="T161" s="81"/>
      <c r="U161" s="70">
        <f t="shared" si="155"/>
        <v>441.04</v>
      </c>
      <c r="V161" s="71">
        <f t="shared" si="156"/>
        <v>438.74</v>
      </c>
      <c r="W161" s="72">
        <f t="shared" si="168"/>
        <v>327.75</v>
      </c>
      <c r="X161" s="134">
        <f t="shared" si="169"/>
        <v>2.2999999999999998</v>
      </c>
      <c r="Y161" s="78">
        <f t="shared" si="138"/>
        <v>0.87</v>
      </c>
      <c r="Z161" s="79">
        <v>0.87</v>
      </c>
      <c r="AA161" s="80">
        <v>-0.56000000000000005</v>
      </c>
      <c r="AB161" s="81"/>
      <c r="AC161" s="70">
        <f t="shared" si="157"/>
        <v>441.91</v>
      </c>
      <c r="AD161" s="71">
        <f t="shared" si="158"/>
        <v>439.61</v>
      </c>
      <c r="AE161" s="72">
        <f t="shared" si="170"/>
        <v>327.19</v>
      </c>
      <c r="AF161" s="134">
        <f t="shared" si="171"/>
        <v>2.2999999999999998</v>
      </c>
      <c r="AG161" s="78">
        <f t="shared" si="139"/>
        <v>0</v>
      </c>
      <c r="AH161" s="79"/>
      <c r="AI161" s="80"/>
      <c r="AJ161" s="81"/>
      <c r="AK161" s="70">
        <f t="shared" si="159"/>
        <v>441.91</v>
      </c>
      <c r="AL161" s="71">
        <f t="shared" si="160"/>
        <v>439.61</v>
      </c>
      <c r="AM161" s="72">
        <f t="shared" si="150"/>
        <v>327.19</v>
      </c>
      <c r="AN161" s="134">
        <f t="shared" si="146"/>
        <v>2.2999999999999998</v>
      </c>
      <c r="AO161" s="78">
        <f t="shared" si="140"/>
        <v>0</v>
      </c>
      <c r="AP161" s="79"/>
      <c r="AQ161" s="80">
        <v>-1.08</v>
      </c>
      <c r="AR161" s="81"/>
      <c r="AS161" s="70">
        <f t="shared" si="161"/>
        <v>441.91</v>
      </c>
      <c r="AT161" s="71">
        <f t="shared" si="123"/>
        <v>439.61</v>
      </c>
      <c r="AU161" s="72">
        <f t="shared" si="151"/>
        <v>326.11</v>
      </c>
      <c r="AV161" s="134">
        <f t="shared" si="147"/>
        <v>2.2999999999999998</v>
      </c>
      <c r="AW161" s="78">
        <f t="shared" si="141"/>
        <v>2.66</v>
      </c>
      <c r="AX161" s="79">
        <f>5.25-2.59</f>
        <v>2.66</v>
      </c>
      <c r="AY161" s="80">
        <v>1.58</v>
      </c>
      <c r="AZ161" s="81"/>
      <c r="BA161" s="70">
        <f t="shared" si="162"/>
        <v>444.57000000000005</v>
      </c>
      <c r="BB161" s="71">
        <f t="shared" si="125"/>
        <v>442.27000000000004</v>
      </c>
      <c r="BC161" s="72">
        <f t="shared" si="152"/>
        <v>327.69</v>
      </c>
      <c r="BD161" s="134">
        <f t="shared" si="148"/>
        <v>2.2999999999999998</v>
      </c>
      <c r="BE161" s="78">
        <f t="shared" si="142"/>
        <v>0</v>
      </c>
      <c r="BF161" s="79">
        <v>-0.42</v>
      </c>
      <c r="BG161" s="80">
        <v>-0.48</v>
      </c>
      <c r="BH161" s="81">
        <v>0.42</v>
      </c>
      <c r="BI161" s="70">
        <f t="shared" si="163"/>
        <v>444.57000000000005</v>
      </c>
      <c r="BJ161" s="71">
        <f t="shared" si="127"/>
        <v>441.85</v>
      </c>
      <c r="BK161" s="72">
        <f t="shared" si="153"/>
        <v>327.20999999999998</v>
      </c>
      <c r="BL161" s="134">
        <f t="shared" si="149"/>
        <v>2.7199999999999998</v>
      </c>
    </row>
    <row r="162" spans="1:64" ht="12.9" x14ac:dyDescent="0.35">
      <c r="A162" s="241"/>
      <c r="B162" s="242"/>
      <c r="C162" s="27" t="s">
        <v>78</v>
      </c>
      <c r="D162" s="25" t="s">
        <v>49</v>
      </c>
      <c r="E162" s="78">
        <f t="shared" si="154"/>
        <v>327.875</v>
      </c>
      <c r="F162" s="79">
        <v>326.26799999999997</v>
      </c>
      <c r="G162" s="80">
        <f>316.21-0.9</f>
        <v>315.31</v>
      </c>
      <c r="H162" s="81">
        <v>1.607</v>
      </c>
      <c r="I162" s="78">
        <f t="shared" si="136"/>
        <v>0</v>
      </c>
      <c r="J162" s="79"/>
      <c r="K162" s="80"/>
      <c r="L162" s="81"/>
      <c r="M162" s="70">
        <f t="shared" si="164"/>
        <v>327.875</v>
      </c>
      <c r="N162" s="71">
        <f t="shared" si="165"/>
        <v>326.26799999999997</v>
      </c>
      <c r="O162" s="72">
        <f t="shared" si="166"/>
        <v>315.31</v>
      </c>
      <c r="P162" s="134">
        <f t="shared" si="167"/>
        <v>1.607</v>
      </c>
      <c r="Q162" s="78">
        <f t="shared" si="137"/>
        <v>0</v>
      </c>
      <c r="R162" s="79"/>
      <c r="S162" s="80"/>
      <c r="T162" s="81"/>
      <c r="U162" s="70">
        <f t="shared" si="155"/>
        <v>327.875</v>
      </c>
      <c r="V162" s="71">
        <f t="shared" si="156"/>
        <v>326.26799999999997</v>
      </c>
      <c r="W162" s="72">
        <f t="shared" si="168"/>
        <v>315.31</v>
      </c>
      <c r="X162" s="134">
        <f t="shared" si="169"/>
        <v>1.607</v>
      </c>
      <c r="Y162" s="78">
        <f t="shared" si="138"/>
        <v>0</v>
      </c>
      <c r="Z162" s="79"/>
      <c r="AA162" s="80">
        <v>-0.37</v>
      </c>
      <c r="AB162" s="81"/>
      <c r="AC162" s="70">
        <f t="shared" si="157"/>
        <v>327.875</v>
      </c>
      <c r="AD162" s="71">
        <f t="shared" si="158"/>
        <v>326.26799999999997</v>
      </c>
      <c r="AE162" s="72">
        <f t="shared" si="170"/>
        <v>314.94</v>
      </c>
      <c r="AF162" s="134">
        <f t="shared" si="171"/>
        <v>1.607</v>
      </c>
      <c r="AG162" s="78">
        <f t="shared" si="139"/>
        <v>0</v>
      </c>
      <c r="AH162" s="79"/>
      <c r="AI162" s="80"/>
      <c r="AJ162" s="81"/>
      <c r="AK162" s="70">
        <f t="shared" si="159"/>
        <v>327.875</v>
      </c>
      <c r="AL162" s="71">
        <f t="shared" si="160"/>
        <v>326.26799999999997</v>
      </c>
      <c r="AM162" s="72">
        <f t="shared" si="150"/>
        <v>314.94</v>
      </c>
      <c r="AN162" s="134">
        <f t="shared" si="146"/>
        <v>1.607</v>
      </c>
      <c r="AO162" s="78">
        <f t="shared" si="140"/>
        <v>0</v>
      </c>
      <c r="AP162" s="79"/>
      <c r="AQ162" s="80">
        <v>-0.09</v>
      </c>
      <c r="AR162" s="81"/>
      <c r="AS162" s="70">
        <f t="shared" si="161"/>
        <v>327.875</v>
      </c>
      <c r="AT162" s="71">
        <f t="shared" si="123"/>
        <v>326.26799999999997</v>
      </c>
      <c r="AU162" s="72">
        <f t="shared" si="151"/>
        <v>314.85000000000002</v>
      </c>
      <c r="AV162" s="134">
        <f t="shared" si="147"/>
        <v>1.607</v>
      </c>
      <c r="AW162" s="78">
        <f t="shared" si="141"/>
        <v>5.77</v>
      </c>
      <c r="AX162" s="79">
        <v>5.77</v>
      </c>
      <c r="AY162" s="80">
        <v>5.68</v>
      </c>
      <c r="AZ162" s="81"/>
      <c r="BA162" s="70">
        <f t="shared" si="162"/>
        <v>333.64499999999998</v>
      </c>
      <c r="BB162" s="71">
        <f t="shared" si="125"/>
        <v>332.03799999999995</v>
      </c>
      <c r="BC162" s="72">
        <f t="shared" si="152"/>
        <v>320.53000000000003</v>
      </c>
      <c r="BD162" s="134">
        <f t="shared" si="148"/>
        <v>1.607</v>
      </c>
      <c r="BE162" s="78">
        <f t="shared" si="142"/>
        <v>0.91500000000000004</v>
      </c>
      <c r="BF162" s="79">
        <v>0.91500000000000004</v>
      </c>
      <c r="BG162" s="80">
        <v>0.71199999999999997</v>
      </c>
      <c r="BH162" s="81"/>
      <c r="BI162" s="70">
        <f t="shared" si="163"/>
        <v>334.56</v>
      </c>
      <c r="BJ162" s="71">
        <f t="shared" si="127"/>
        <v>332.95299999999997</v>
      </c>
      <c r="BK162" s="72">
        <f t="shared" si="153"/>
        <v>321.24200000000002</v>
      </c>
      <c r="BL162" s="134">
        <f t="shared" si="149"/>
        <v>1.607</v>
      </c>
    </row>
    <row r="163" spans="1:64" ht="12.9" x14ac:dyDescent="0.35">
      <c r="A163" s="232"/>
      <c r="B163" s="234"/>
      <c r="C163" s="27" t="s">
        <v>167</v>
      </c>
      <c r="D163" s="25" t="s">
        <v>137</v>
      </c>
      <c r="E163" s="78">
        <f t="shared" si="154"/>
        <v>0</v>
      </c>
      <c r="F163" s="79"/>
      <c r="G163" s="80"/>
      <c r="H163" s="81"/>
      <c r="I163" s="78">
        <f t="shared" si="136"/>
        <v>0</v>
      </c>
      <c r="J163" s="79"/>
      <c r="K163" s="80"/>
      <c r="L163" s="81"/>
      <c r="M163" s="70">
        <f t="shared" si="164"/>
        <v>0</v>
      </c>
      <c r="N163" s="71">
        <f t="shared" si="165"/>
        <v>0</v>
      </c>
      <c r="O163" s="72">
        <f t="shared" si="166"/>
        <v>0</v>
      </c>
      <c r="P163" s="134">
        <f t="shared" si="167"/>
        <v>0</v>
      </c>
      <c r="Q163" s="78">
        <f t="shared" si="137"/>
        <v>0</v>
      </c>
      <c r="R163" s="79"/>
      <c r="S163" s="80"/>
      <c r="T163" s="81"/>
      <c r="U163" s="70">
        <f t="shared" si="155"/>
        <v>0</v>
      </c>
      <c r="V163" s="71">
        <f t="shared" si="156"/>
        <v>0</v>
      </c>
      <c r="W163" s="72">
        <f t="shared" si="168"/>
        <v>0</v>
      </c>
      <c r="X163" s="134">
        <f t="shared" si="169"/>
        <v>0</v>
      </c>
      <c r="Y163" s="78">
        <f t="shared" si="138"/>
        <v>1.83</v>
      </c>
      <c r="Z163" s="79">
        <v>1.83</v>
      </c>
      <c r="AA163" s="80">
        <v>1.7909999999999999</v>
      </c>
      <c r="AB163" s="81"/>
      <c r="AC163" s="70">
        <f t="shared" si="157"/>
        <v>1.83</v>
      </c>
      <c r="AD163" s="71">
        <f t="shared" si="158"/>
        <v>1.83</v>
      </c>
      <c r="AE163" s="72">
        <f t="shared" si="170"/>
        <v>1.7909999999999999</v>
      </c>
      <c r="AF163" s="134">
        <f t="shared" si="171"/>
        <v>0</v>
      </c>
      <c r="AG163" s="78">
        <f t="shared" si="139"/>
        <v>0</v>
      </c>
      <c r="AH163" s="79"/>
      <c r="AI163" s="80"/>
      <c r="AJ163" s="81"/>
      <c r="AK163" s="70">
        <f t="shared" si="159"/>
        <v>1.83</v>
      </c>
      <c r="AL163" s="71">
        <f t="shared" si="160"/>
        <v>1.83</v>
      </c>
      <c r="AM163" s="72">
        <f t="shared" si="150"/>
        <v>1.7909999999999999</v>
      </c>
      <c r="AN163" s="134">
        <f t="shared" si="146"/>
        <v>0</v>
      </c>
      <c r="AO163" s="78">
        <f t="shared" si="140"/>
        <v>0</v>
      </c>
      <c r="AP163" s="79"/>
      <c r="AQ163" s="80"/>
      <c r="AR163" s="81"/>
      <c r="AS163" s="70">
        <f t="shared" si="161"/>
        <v>1.83</v>
      </c>
      <c r="AT163" s="71">
        <f t="shared" si="123"/>
        <v>1.83</v>
      </c>
      <c r="AU163" s="72">
        <f t="shared" si="151"/>
        <v>1.7909999999999999</v>
      </c>
      <c r="AV163" s="134">
        <f t="shared" si="147"/>
        <v>0</v>
      </c>
      <c r="AW163" s="78">
        <f t="shared" si="141"/>
        <v>0.53900000000000003</v>
      </c>
      <c r="AX163" s="79">
        <v>0.53900000000000003</v>
      </c>
      <c r="AY163" s="80">
        <v>0.53100000000000003</v>
      </c>
      <c r="AZ163" s="81"/>
      <c r="BA163" s="70">
        <f t="shared" si="162"/>
        <v>2.3690000000000002</v>
      </c>
      <c r="BB163" s="71">
        <f t="shared" si="125"/>
        <v>2.3690000000000002</v>
      </c>
      <c r="BC163" s="72">
        <f t="shared" si="152"/>
        <v>2.3220000000000001</v>
      </c>
      <c r="BD163" s="134">
        <f t="shared" si="148"/>
        <v>0</v>
      </c>
      <c r="BE163" s="78">
        <f t="shared" si="142"/>
        <v>0</v>
      </c>
      <c r="BF163" s="79"/>
      <c r="BG163" s="80">
        <v>-4.5999999999999999E-2</v>
      </c>
      <c r="BH163" s="81"/>
      <c r="BI163" s="70">
        <f t="shared" si="163"/>
        <v>2.3690000000000002</v>
      </c>
      <c r="BJ163" s="71">
        <f t="shared" si="127"/>
        <v>2.3690000000000002</v>
      </c>
      <c r="BK163" s="72">
        <f t="shared" si="153"/>
        <v>2.2760000000000002</v>
      </c>
      <c r="BL163" s="134">
        <f t="shared" si="149"/>
        <v>0</v>
      </c>
    </row>
    <row r="164" spans="1:64" ht="12.9" x14ac:dyDescent="0.35">
      <c r="A164" s="45" t="s">
        <v>23</v>
      </c>
      <c r="B164" s="46" t="s">
        <v>44</v>
      </c>
      <c r="C164" s="27" t="s">
        <v>168</v>
      </c>
      <c r="D164" s="25" t="s">
        <v>38</v>
      </c>
      <c r="E164" s="78">
        <f t="shared" si="154"/>
        <v>14.16</v>
      </c>
      <c r="F164" s="79">
        <v>14.16</v>
      </c>
      <c r="G164" s="80"/>
      <c r="H164" s="81"/>
      <c r="I164" s="78">
        <f t="shared" si="136"/>
        <v>0</v>
      </c>
      <c r="J164" s="79"/>
      <c r="K164" s="80"/>
      <c r="L164" s="81"/>
      <c r="M164" s="70">
        <f t="shared" si="164"/>
        <v>14.16</v>
      </c>
      <c r="N164" s="71">
        <f t="shared" si="165"/>
        <v>14.16</v>
      </c>
      <c r="O164" s="72">
        <f t="shared" si="166"/>
        <v>0</v>
      </c>
      <c r="P164" s="134">
        <f t="shared" si="167"/>
        <v>0</v>
      </c>
      <c r="Q164" s="78">
        <f t="shared" si="137"/>
        <v>0</v>
      </c>
      <c r="R164" s="79"/>
      <c r="S164" s="80"/>
      <c r="T164" s="81"/>
      <c r="U164" s="70">
        <f t="shared" si="155"/>
        <v>14.16</v>
      </c>
      <c r="V164" s="71">
        <f t="shared" si="156"/>
        <v>14.16</v>
      </c>
      <c r="W164" s="72">
        <f t="shared" si="168"/>
        <v>0</v>
      </c>
      <c r="X164" s="134">
        <f t="shared" si="169"/>
        <v>0</v>
      </c>
      <c r="Y164" s="78">
        <f t="shared" si="138"/>
        <v>0</v>
      </c>
      <c r="Z164" s="79"/>
      <c r="AA164" s="80"/>
      <c r="AB164" s="81"/>
      <c r="AC164" s="70">
        <f t="shared" si="157"/>
        <v>14.16</v>
      </c>
      <c r="AD164" s="71">
        <f t="shared" si="158"/>
        <v>14.16</v>
      </c>
      <c r="AE164" s="72">
        <f t="shared" si="170"/>
        <v>0</v>
      </c>
      <c r="AF164" s="134">
        <f t="shared" si="171"/>
        <v>0</v>
      </c>
      <c r="AG164" s="78">
        <f t="shared" si="139"/>
        <v>0</v>
      </c>
      <c r="AH164" s="79"/>
      <c r="AI164" s="80"/>
      <c r="AJ164" s="81"/>
      <c r="AK164" s="70">
        <f t="shared" si="159"/>
        <v>14.16</v>
      </c>
      <c r="AL164" s="71">
        <f t="shared" si="160"/>
        <v>14.16</v>
      </c>
      <c r="AM164" s="72">
        <f t="shared" si="150"/>
        <v>0</v>
      </c>
      <c r="AN164" s="134">
        <f t="shared" si="146"/>
        <v>0</v>
      </c>
      <c r="AO164" s="78">
        <f t="shared" si="140"/>
        <v>0</v>
      </c>
      <c r="AP164" s="79"/>
      <c r="AQ164" s="80"/>
      <c r="AR164" s="81"/>
      <c r="AS164" s="70">
        <f t="shared" si="161"/>
        <v>14.16</v>
      </c>
      <c r="AT164" s="71">
        <f t="shared" si="123"/>
        <v>14.16</v>
      </c>
      <c r="AU164" s="72">
        <f t="shared" si="151"/>
        <v>0</v>
      </c>
      <c r="AV164" s="134">
        <f t="shared" si="147"/>
        <v>0</v>
      </c>
      <c r="AW164" s="78">
        <f t="shared" si="141"/>
        <v>-0.88</v>
      </c>
      <c r="AX164" s="79">
        <v>-0.88</v>
      </c>
      <c r="AY164" s="80"/>
      <c r="AZ164" s="81"/>
      <c r="BA164" s="70">
        <f t="shared" si="162"/>
        <v>13.28</v>
      </c>
      <c r="BB164" s="71">
        <f t="shared" si="125"/>
        <v>13.28</v>
      </c>
      <c r="BC164" s="72">
        <f t="shared" si="152"/>
        <v>0</v>
      </c>
      <c r="BD164" s="134">
        <f t="shared" si="148"/>
        <v>0</v>
      </c>
      <c r="BE164" s="78">
        <f t="shared" si="142"/>
        <v>-2.4</v>
      </c>
      <c r="BF164" s="79">
        <v>-2.4</v>
      </c>
      <c r="BG164" s="80"/>
      <c r="BH164" s="81"/>
      <c r="BI164" s="70">
        <f t="shared" si="163"/>
        <v>10.879999999999999</v>
      </c>
      <c r="BJ164" s="71">
        <f t="shared" si="127"/>
        <v>10.879999999999999</v>
      </c>
      <c r="BK164" s="72">
        <f t="shared" si="153"/>
        <v>0</v>
      </c>
      <c r="BL164" s="134">
        <f t="shared" si="149"/>
        <v>0</v>
      </c>
    </row>
    <row r="165" spans="1:64" ht="12.9" hidden="1" x14ac:dyDescent="0.35">
      <c r="A165" s="118" t="s">
        <v>33</v>
      </c>
      <c r="B165" s="23" t="s">
        <v>45</v>
      </c>
      <c r="C165" s="27" t="s">
        <v>168</v>
      </c>
      <c r="D165" s="25" t="s">
        <v>50</v>
      </c>
      <c r="E165" s="78">
        <f t="shared" si="154"/>
        <v>0</v>
      </c>
      <c r="F165" s="79"/>
      <c r="G165" s="80"/>
      <c r="H165" s="81"/>
      <c r="I165" s="78">
        <f t="shared" si="136"/>
        <v>0</v>
      </c>
      <c r="J165" s="79"/>
      <c r="K165" s="80"/>
      <c r="L165" s="81"/>
      <c r="M165" s="70">
        <f t="shared" si="164"/>
        <v>0</v>
      </c>
      <c r="N165" s="71">
        <f t="shared" si="165"/>
        <v>0</v>
      </c>
      <c r="O165" s="72">
        <f t="shared" si="166"/>
        <v>0</v>
      </c>
      <c r="P165" s="134">
        <f t="shared" si="167"/>
        <v>0</v>
      </c>
      <c r="Q165" s="78">
        <f t="shared" si="137"/>
        <v>0</v>
      </c>
      <c r="R165" s="79"/>
      <c r="S165" s="80"/>
      <c r="T165" s="81"/>
      <c r="U165" s="70">
        <f t="shared" si="155"/>
        <v>0</v>
      </c>
      <c r="V165" s="71">
        <f t="shared" si="156"/>
        <v>0</v>
      </c>
      <c r="W165" s="72">
        <f t="shared" si="168"/>
        <v>0</v>
      </c>
      <c r="X165" s="134">
        <f t="shared" si="169"/>
        <v>0</v>
      </c>
      <c r="Y165" s="78">
        <f t="shared" si="138"/>
        <v>0</v>
      </c>
      <c r="Z165" s="79"/>
      <c r="AA165" s="80"/>
      <c r="AB165" s="81"/>
      <c r="AC165" s="70">
        <f t="shared" si="157"/>
        <v>0</v>
      </c>
      <c r="AD165" s="71">
        <f t="shared" si="158"/>
        <v>0</v>
      </c>
      <c r="AE165" s="72">
        <f t="shared" si="170"/>
        <v>0</v>
      </c>
      <c r="AF165" s="134">
        <f t="shared" si="171"/>
        <v>0</v>
      </c>
      <c r="AG165" s="78">
        <f t="shared" si="139"/>
        <v>0</v>
      </c>
      <c r="AH165" s="79"/>
      <c r="AI165" s="80"/>
      <c r="AJ165" s="81"/>
      <c r="AK165" s="70">
        <f t="shared" si="159"/>
        <v>0</v>
      </c>
      <c r="AL165" s="71">
        <f t="shared" si="160"/>
        <v>0</v>
      </c>
      <c r="AM165" s="72">
        <f t="shared" si="150"/>
        <v>0</v>
      </c>
      <c r="AN165" s="134">
        <f t="shared" si="146"/>
        <v>0</v>
      </c>
      <c r="AO165" s="78">
        <f t="shared" si="140"/>
        <v>0</v>
      </c>
      <c r="AP165" s="79"/>
      <c r="AQ165" s="80"/>
      <c r="AR165" s="81"/>
      <c r="AS165" s="70">
        <f t="shared" si="161"/>
        <v>0</v>
      </c>
      <c r="AT165" s="71">
        <f t="shared" si="123"/>
        <v>0</v>
      </c>
      <c r="AU165" s="72">
        <f t="shared" si="151"/>
        <v>0</v>
      </c>
      <c r="AV165" s="134">
        <f t="shared" si="147"/>
        <v>0</v>
      </c>
      <c r="AW165" s="78">
        <f t="shared" si="141"/>
        <v>0</v>
      </c>
      <c r="AX165" s="79"/>
      <c r="AY165" s="80"/>
      <c r="AZ165" s="81"/>
      <c r="BA165" s="70">
        <f t="shared" si="162"/>
        <v>0</v>
      </c>
      <c r="BB165" s="71">
        <f t="shared" si="125"/>
        <v>0</v>
      </c>
      <c r="BC165" s="72">
        <f t="shared" si="152"/>
        <v>0</v>
      </c>
      <c r="BD165" s="134">
        <f t="shared" si="148"/>
        <v>0</v>
      </c>
      <c r="BE165" s="78">
        <f t="shared" si="142"/>
        <v>0</v>
      </c>
      <c r="BF165" s="79"/>
      <c r="BG165" s="80"/>
      <c r="BH165" s="81"/>
      <c r="BI165" s="70">
        <f t="shared" si="163"/>
        <v>0</v>
      </c>
      <c r="BJ165" s="71">
        <f t="shared" si="127"/>
        <v>0</v>
      </c>
      <c r="BK165" s="72">
        <f t="shared" si="153"/>
        <v>0</v>
      </c>
      <c r="BL165" s="134">
        <f t="shared" si="149"/>
        <v>0</v>
      </c>
    </row>
    <row r="166" spans="1:64" ht="12.9" x14ac:dyDescent="0.35">
      <c r="A166" s="283" t="s">
        <v>33</v>
      </c>
      <c r="B166" s="233" t="s">
        <v>45</v>
      </c>
      <c r="C166" s="27" t="s">
        <v>219</v>
      </c>
      <c r="D166" s="25" t="s">
        <v>125</v>
      </c>
      <c r="E166" s="78">
        <f t="shared" si="154"/>
        <v>1</v>
      </c>
      <c r="F166" s="79">
        <v>1</v>
      </c>
      <c r="G166" s="80"/>
      <c r="H166" s="81"/>
      <c r="I166" s="78">
        <f t="shared" si="136"/>
        <v>0</v>
      </c>
      <c r="J166" s="79"/>
      <c r="K166" s="80"/>
      <c r="L166" s="81"/>
      <c r="M166" s="70">
        <f t="shared" si="164"/>
        <v>1</v>
      </c>
      <c r="N166" s="71">
        <f t="shared" si="165"/>
        <v>1</v>
      </c>
      <c r="O166" s="72">
        <f t="shared" si="166"/>
        <v>0</v>
      </c>
      <c r="P166" s="134">
        <f t="shared" si="167"/>
        <v>0</v>
      </c>
      <c r="Q166" s="78">
        <f t="shared" si="137"/>
        <v>0</v>
      </c>
      <c r="R166" s="79"/>
      <c r="S166" s="80"/>
      <c r="T166" s="81"/>
      <c r="U166" s="70">
        <f t="shared" si="155"/>
        <v>1</v>
      </c>
      <c r="V166" s="71">
        <f t="shared" si="156"/>
        <v>1</v>
      </c>
      <c r="W166" s="72">
        <f t="shared" si="168"/>
        <v>0</v>
      </c>
      <c r="X166" s="134">
        <f t="shared" si="169"/>
        <v>0</v>
      </c>
      <c r="Y166" s="78">
        <f t="shared" si="138"/>
        <v>0</v>
      </c>
      <c r="Z166" s="79"/>
      <c r="AA166" s="80"/>
      <c r="AB166" s="81"/>
      <c r="AC166" s="70">
        <f t="shared" si="157"/>
        <v>1</v>
      </c>
      <c r="AD166" s="71">
        <f t="shared" si="158"/>
        <v>1</v>
      </c>
      <c r="AE166" s="72">
        <f t="shared" si="170"/>
        <v>0</v>
      </c>
      <c r="AF166" s="134">
        <f t="shared" si="171"/>
        <v>0</v>
      </c>
      <c r="AG166" s="78">
        <f t="shared" si="139"/>
        <v>0</v>
      </c>
      <c r="AH166" s="79"/>
      <c r="AI166" s="80"/>
      <c r="AJ166" s="81"/>
      <c r="AK166" s="70">
        <f t="shared" si="159"/>
        <v>1</v>
      </c>
      <c r="AL166" s="71">
        <f t="shared" si="160"/>
        <v>1</v>
      </c>
      <c r="AM166" s="72">
        <f t="shared" si="150"/>
        <v>0</v>
      </c>
      <c r="AN166" s="134">
        <f t="shared" si="146"/>
        <v>0</v>
      </c>
      <c r="AO166" s="78">
        <f t="shared" si="140"/>
        <v>0</v>
      </c>
      <c r="AP166" s="79"/>
      <c r="AQ166" s="80"/>
      <c r="AR166" s="81"/>
      <c r="AS166" s="70">
        <f t="shared" si="161"/>
        <v>1</v>
      </c>
      <c r="AT166" s="71">
        <f t="shared" si="123"/>
        <v>1</v>
      </c>
      <c r="AU166" s="72">
        <f t="shared" si="151"/>
        <v>0</v>
      </c>
      <c r="AV166" s="134">
        <f t="shared" si="147"/>
        <v>0</v>
      </c>
      <c r="AW166" s="78">
        <f t="shared" si="141"/>
        <v>0</v>
      </c>
      <c r="AX166" s="79"/>
      <c r="AY166" s="80"/>
      <c r="AZ166" s="81"/>
      <c r="BA166" s="70">
        <f t="shared" si="162"/>
        <v>1</v>
      </c>
      <c r="BB166" s="71">
        <f t="shared" si="125"/>
        <v>1</v>
      </c>
      <c r="BC166" s="72">
        <f t="shared" si="152"/>
        <v>0</v>
      </c>
      <c r="BD166" s="134">
        <f t="shared" si="148"/>
        <v>0</v>
      </c>
      <c r="BE166" s="78">
        <f t="shared" si="142"/>
        <v>0</v>
      </c>
      <c r="BF166" s="79"/>
      <c r="BG166" s="80"/>
      <c r="BH166" s="81"/>
      <c r="BI166" s="70">
        <f t="shared" si="163"/>
        <v>1</v>
      </c>
      <c r="BJ166" s="71">
        <f t="shared" si="127"/>
        <v>1</v>
      </c>
      <c r="BK166" s="72">
        <f t="shared" si="153"/>
        <v>0</v>
      </c>
      <c r="BL166" s="134">
        <f t="shared" si="149"/>
        <v>0</v>
      </c>
    </row>
    <row r="167" spans="1:64" ht="12.9" x14ac:dyDescent="0.35">
      <c r="A167" s="284"/>
      <c r="B167" s="234"/>
      <c r="C167" s="27" t="s">
        <v>228</v>
      </c>
      <c r="D167" s="25" t="s">
        <v>137</v>
      </c>
      <c r="E167" s="78">
        <f t="shared" si="154"/>
        <v>0</v>
      </c>
      <c r="F167" s="79"/>
      <c r="G167" s="80"/>
      <c r="H167" s="81"/>
      <c r="I167" s="78">
        <f t="shared" si="136"/>
        <v>0</v>
      </c>
      <c r="J167" s="79"/>
      <c r="K167" s="80"/>
      <c r="L167" s="81"/>
      <c r="M167" s="70">
        <f t="shared" si="164"/>
        <v>0</v>
      </c>
      <c r="N167" s="71">
        <f t="shared" si="165"/>
        <v>0</v>
      </c>
      <c r="O167" s="72">
        <f t="shared" si="166"/>
        <v>0</v>
      </c>
      <c r="P167" s="134">
        <f t="shared" si="167"/>
        <v>0</v>
      </c>
      <c r="Q167" s="78">
        <f t="shared" si="137"/>
        <v>0.159</v>
      </c>
      <c r="R167" s="79">
        <v>0.159</v>
      </c>
      <c r="S167" s="80"/>
      <c r="T167" s="81"/>
      <c r="U167" s="70">
        <f t="shared" si="155"/>
        <v>0.159</v>
      </c>
      <c r="V167" s="71">
        <f t="shared" si="156"/>
        <v>0.159</v>
      </c>
      <c r="W167" s="72">
        <f t="shared" si="168"/>
        <v>0</v>
      </c>
      <c r="X167" s="134">
        <f t="shared" si="169"/>
        <v>0</v>
      </c>
      <c r="Y167" s="78">
        <f t="shared" si="138"/>
        <v>0</v>
      </c>
      <c r="Z167" s="79"/>
      <c r="AA167" s="80"/>
      <c r="AB167" s="81"/>
      <c r="AC167" s="70">
        <f t="shared" si="157"/>
        <v>0.159</v>
      </c>
      <c r="AD167" s="71">
        <f t="shared" si="158"/>
        <v>0.159</v>
      </c>
      <c r="AE167" s="72">
        <f t="shared" si="170"/>
        <v>0</v>
      </c>
      <c r="AF167" s="134">
        <f t="shared" si="171"/>
        <v>0</v>
      </c>
      <c r="AG167" s="78">
        <f t="shared" si="139"/>
        <v>0</v>
      </c>
      <c r="AH167" s="79"/>
      <c r="AI167" s="80"/>
      <c r="AJ167" s="81"/>
      <c r="AK167" s="70">
        <f t="shared" si="159"/>
        <v>0.159</v>
      </c>
      <c r="AL167" s="71">
        <f t="shared" si="160"/>
        <v>0.159</v>
      </c>
      <c r="AM167" s="72">
        <f t="shared" si="150"/>
        <v>0</v>
      </c>
      <c r="AN167" s="134">
        <f t="shared" si="146"/>
        <v>0</v>
      </c>
      <c r="AO167" s="78">
        <f t="shared" si="140"/>
        <v>0</v>
      </c>
      <c r="AP167" s="79"/>
      <c r="AQ167" s="80"/>
      <c r="AR167" s="81"/>
      <c r="AS167" s="70">
        <f t="shared" si="161"/>
        <v>0.159</v>
      </c>
      <c r="AT167" s="71">
        <f t="shared" si="123"/>
        <v>0.159</v>
      </c>
      <c r="AU167" s="72">
        <f t="shared" si="151"/>
        <v>0</v>
      </c>
      <c r="AV167" s="134">
        <f t="shared" si="147"/>
        <v>0</v>
      </c>
      <c r="AW167" s="78">
        <f t="shared" si="141"/>
        <v>0.373</v>
      </c>
      <c r="AX167" s="79">
        <v>0.373</v>
      </c>
      <c r="AY167" s="80"/>
      <c r="AZ167" s="81"/>
      <c r="BA167" s="70">
        <f t="shared" si="162"/>
        <v>0.53200000000000003</v>
      </c>
      <c r="BB167" s="71">
        <f t="shared" si="125"/>
        <v>0.53200000000000003</v>
      </c>
      <c r="BC167" s="72">
        <f t="shared" si="152"/>
        <v>0</v>
      </c>
      <c r="BD167" s="134">
        <f t="shared" si="148"/>
        <v>0</v>
      </c>
      <c r="BE167" s="78">
        <f t="shared" si="142"/>
        <v>0</v>
      </c>
      <c r="BF167" s="79"/>
      <c r="BG167" s="80"/>
      <c r="BH167" s="81"/>
      <c r="BI167" s="70">
        <f t="shared" si="163"/>
        <v>0.53200000000000003</v>
      </c>
      <c r="BJ167" s="71">
        <f t="shared" si="127"/>
        <v>0.53200000000000003</v>
      </c>
      <c r="BK167" s="72">
        <f t="shared" si="153"/>
        <v>0</v>
      </c>
      <c r="BL167" s="134">
        <f t="shared" si="149"/>
        <v>0</v>
      </c>
    </row>
    <row r="168" spans="1:64" ht="12.9" x14ac:dyDescent="0.35">
      <c r="A168" s="45" t="s">
        <v>32</v>
      </c>
      <c r="B168" s="46" t="s">
        <v>46</v>
      </c>
      <c r="C168" s="27" t="s">
        <v>267</v>
      </c>
      <c r="D168" s="25" t="s">
        <v>125</v>
      </c>
      <c r="E168" s="78">
        <f>SUM(H168,F168)</f>
        <v>0.82</v>
      </c>
      <c r="F168" s="79">
        <v>0.82</v>
      </c>
      <c r="G168" s="80"/>
      <c r="H168" s="81"/>
      <c r="I168" s="78">
        <f>SUM(L168,J168)</f>
        <v>0</v>
      </c>
      <c r="J168" s="79"/>
      <c r="K168" s="80"/>
      <c r="L168" s="81"/>
      <c r="M168" s="70">
        <f t="shared" si="164"/>
        <v>0.82</v>
      </c>
      <c r="N168" s="71">
        <f t="shared" si="165"/>
        <v>0.82</v>
      </c>
      <c r="O168" s="72">
        <f t="shared" si="166"/>
        <v>0</v>
      </c>
      <c r="P168" s="134">
        <f t="shared" si="167"/>
        <v>0</v>
      </c>
      <c r="Q168" s="78">
        <f>SUM(T168,R168)</f>
        <v>0</v>
      </c>
      <c r="R168" s="79"/>
      <c r="S168" s="80"/>
      <c r="T168" s="81"/>
      <c r="U168" s="70">
        <f t="shared" si="155"/>
        <v>0.82</v>
      </c>
      <c r="V168" s="71">
        <f t="shared" si="156"/>
        <v>0.82</v>
      </c>
      <c r="W168" s="72">
        <f t="shared" si="168"/>
        <v>0</v>
      </c>
      <c r="X168" s="134">
        <f t="shared" si="169"/>
        <v>0</v>
      </c>
      <c r="Y168" s="78">
        <f>SUM(AB168,Z168)</f>
        <v>0</v>
      </c>
      <c r="Z168" s="79"/>
      <c r="AA168" s="80"/>
      <c r="AB168" s="81"/>
      <c r="AC168" s="70">
        <f t="shared" si="157"/>
        <v>0.82</v>
      </c>
      <c r="AD168" s="71">
        <f t="shared" si="158"/>
        <v>0.82</v>
      </c>
      <c r="AE168" s="72">
        <f t="shared" si="170"/>
        <v>0</v>
      </c>
      <c r="AF168" s="134">
        <f t="shared" si="171"/>
        <v>0</v>
      </c>
      <c r="AG168" s="78">
        <f>SUM(AJ168,AH168)</f>
        <v>0</v>
      </c>
      <c r="AH168" s="79"/>
      <c r="AI168" s="80"/>
      <c r="AJ168" s="81"/>
      <c r="AK168" s="70">
        <f t="shared" si="159"/>
        <v>0.82</v>
      </c>
      <c r="AL168" s="71">
        <f t="shared" si="160"/>
        <v>0.82</v>
      </c>
      <c r="AM168" s="72">
        <f t="shared" si="150"/>
        <v>0</v>
      </c>
      <c r="AN168" s="134">
        <f t="shared" si="146"/>
        <v>0</v>
      </c>
      <c r="AO168" s="78">
        <f>SUM(AR168,AP168)</f>
        <v>0</v>
      </c>
      <c r="AP168" s="79"/>
      <c r="AQ168" s="80"/>
      <c r="AR168" s="81"/>
      <c r="AS168" s="70">
        <f t="shared" si="161"/>
        <v>0.82</v>
      </c>
      <c r="AT168" s="71">
        <f t="shared" si="123"/>
        <v>0.82</v>
      </c>
      <c r="AU168" s="72">
        <f t="shared" si="151"/>
        <v>0</v>
      </c>
      <c r="AV168" s="134">
        <f t="shared" si="147"/>
        <v>0</v>
      </c>
      <c r="AW168" s="78">
        <f>SUM(AZ168,AX168)</f>
        <v>-0.04</v>
      </c>
      <c r="AX168" s="79">
        <v>-0.04</v>
      </c>
      <c r="AY168" s="80"/>
      <c r="AZ168" s="81"/>
      <c r="BA168" s="70">
        <f t="shared" si="162"/>
        <v>0.77999999999999992</v>
      </c>
      <c r="BB168" s="71">
        <f t="shared" si="125"/>
        <v>0.77999999999999992</v>
      </c>
      <c r="BC168" s="72">
        <f t="shared" si="152"/>
        <v>0</v>
      </c>
      <c r="BD168" s="134">
        <f t="shared" si="148"/>
        <v>0</v>
      </c>
      <c r="BE168" s="78">
        <f>SUM(BH168,BF168)</f>
        <v>0</v>
      </c>
      <c r="BF168" s="79"/>
      <c r="BG168" s="80"/>
      <c r="BH168" s="81"/>
      <c r="BI168" s="70">
        <f t="shared" si="163"/>
        <v>0.77999999999999992</v>
      </c>
      <c r="BJ168" s="71">
        <f t="shared" si="127"/>
        <v>0.77999999999999992</v>
      </c>
      <c r="BK168" s="72">
        <f t="shared" si="153"/>
        <v>0</v>
      </c>
      <c r="BL168" s="134">
        <f t="shared" si="149"/>
        <v>0</v>
      </c>
    </row>
    <row r="169" spans="1:64" ht="12.9" x14ac:dyDescent="0.35">
      <c r="A169" s="118" t="s">
        <v>7</v>
      </c>
      <c r="B169" s="23" t="s">
        <v>48</v>
      </c>
      <c r="C169" s="27" t="s">
        <v>275</v>
      </c>
      <c r="D169" s="25" t="s">
        <v>125</v>
      </c>
      <c r="E169" s="78">
        <f t="shared" si="154"/>
        <v>4.2590000000000003</v>
      </c>
      <c r="F169" s="79">
        <v>4.2590000000000003</v>
      </c>
      <c r="G169" s="80"/>
      <c r="H169" s="81"/>
      <c r="I169" s="78">
        <f t="shared" ref="I169:I205" si="172">SUM(L169,J169)</f>
        <v>0</v>
      </c>
      <c r="J169" s="79">
        <v>-4.2590000000000003</v>
      </c>
      <c r="K169" s="80"/>
      <c r="L169" s="81">
        <v>4.2590000000000003</v>
      </c>
      <c r="M169" s="70">
        <f t="shared" si="164"/>
        <v>4.2590000000000003</v>
      </c>
      <c r="N169" s="71">
        <f t="shared" si="165"/>
        <v>0</v>
      </c>
      <c r="O169" s="72">
        <f t="shared" si="166"/>
        <v>0</v>
      </c>
      <c r="P169" s="134">
        <f t="shared" si="167"/>
        <v>4.2590000000000003</v>
      </c>
      <c r="Q169" s="78">
        <f t="shared" ref="Q169:Q205" si="173">SUM(T169,R169)</f>
        <v>0</v>
      </c>
      <c r="R169" s="79"/>
      <c r="S169" s="80"/>
      <c r="T169" s="81"/>
      <c r="U169" s="70">
        <f t="shared" si="155"/>
        <v>4.2590000000000003</v>
      </c>
      <c r="V169" s="71">
        <f t="shared" si="156"/>
        <v>0</v>
      </c>
      <c r="W169" s="72">
        <f t="shared" si="168"/>
        <v>0</v>
      </c>
      <c r="X169" s="134">
        <f t="shared" si="169"/>
        <v>4.2590000000000003</v>
      </c>
      <c r="Y169" s="78">
        <f t="shared" ref="Y169:Y205" si="174">SUM(AB169,Z169)</f>
        <v>0</v>
      </c>
      <c r="Z169" s="79"/>
      <c r="AA169" s="80"/>
      <c r="AB169" s="81"/>
      <c r="AC169" s="70">
        <f t="shared" si="157"/>
        <v>4.2590000000000003</v>
      </c>
      <c r="AD169" s="71">
        <f t="shared" si="158"/>
        <v>0</v>
      </c>
      <c r="AE169" s="72">
        <f t="shared" si="170"/>
        <v>0</v>
      </c>
      <c r="AF169" s="134">
        <f t="shared" si="171"/>
        <v>4.2590000000000003</v>
      </c>
      <c r="AG169" s="78">
        <f t="shared" ref="AG169" si="175">SUM(AJ169,AH169)</f>
        <v>0</v>
      </c>
      <c r="AH169" s="79"/>
      <c r="AI169" s="80"/>
      <c r="AJ169" s="81"/>
      <c r="AK169" s="70">
        <f t="shared" si="159"/>
        <v>4.2590000000000003</v>
      </c>
      <c r="AL169" s="71">
        <f t="shared" si="160"/>
        <v>0</v>
      </c>
      <c r="AM169" s="72">
        <f t="shared" si="150"/>
        <v>0</v>
      </c>
      <c r="AN169" s="134">
        <f t="shared" si="146"/>
        <v>4.2590000000000003</v>
      </c>
      <c r="AO169" s="78">
        <f t="shared" ref="AO169" si="176">SUM(AR169,AP169)</f>
        <v>0</v>
      </c>
      <c r="AP169" s="79"/>
      <c r="AQ169" s="80"/>
      <c r="AR169" s="81"/>
      <c r="AS169" s="70">
        <f t="shared" si="161"/>
        <v>4.2590000000000003</v>
      </c>
      <c r="AT169" s="71">
        <f t="shared" si="123"/>
        <v>0</v>
      </c>
      <c r="AU169" s="72">
        <f t="shared" si="151"/>
        <v>0</v>
      </c>
      <c r="AV169" s="134">
        <f t="shared" si="147"/>
        <v>4.2590000000000003</v>
      </c>
      <c r="AW169" s="78">
        <f t="shared" ref="AW169" si="177">SUM(AZ169,AX169)</f>
        <v>0</v>
      </c>
      <c r="AX169" s="79"/>
      <c r="AY169" s="80"/>
      <c r="AZ169" s="81"/>
      <c r="BA169" s="70">
        <f t="shared" si="162"/>
        <v>4.2590000000000003</v>
      </c>
      <c r="BB169" s="71">
        <f t="shared" si="125"/>
        <v>0</v>
      </c>
      <c r="BC169" s="72">
        <f t="shared" si="152"/>
        <v>0</v>
      </c>
      <c r="BD169" s="134">
        <f t="shared" si="148"/>
        <v>4.2590000000000003</v>
      </c>
      <c r="BE169" s="78">
        <f t="shared" ref="BE169" si="178">SUM(BH169,BF169)</f>
        <v>0</v>
      </c>
      <c r="BF169" s="79"/>
      <c r="BG169" s="80"/>
      <c r="BH169" s="81"/>
      <c r="BI169" s="70">
        <f t="shared" si="163"/>
        <v>4.2590000000000003</v>
      </c>
      <c r="BJ169" s="71">
        <f t="shared" si="127"/>
        <v>0</v>
      </c>
      <c r="BK169" s="72">
        <f t="shared" si="153"/>
        <v>0</v>
      </c>
      <c r="BL169" s="134">
        <f t="shared" si="149"/>
        <v>4.2590000000000003</v>
      </c>
    </row>
    <row r="170" spans="1:64" s="138" customFormat="1" ht="12.45" x14ac:dyDescent="0.3">
      <c r="A170" s="135"/>
      <c r="B170" s="136" t="s">
        <v>13</v>
      </c>
      <c r="C170" s="42" t="s">
        <v>110</v>
      </c>
      <c r="D170" s="137"/>
      <c r="E170" s="73">
        <f t="shared" si="154"/>
        <v>743.52</v>
      </c>
      <c r="F170" s="74">
        <f>SUM(F172:F180)</f>
        <v>741.91300000000001</v>
      </c>
      <c r="G170" s="75">
        <f>SUM(G172:G180)</f>
        <v>602.48</v>
      </c>
      <c r="H170" s="133">
        <f>SUM(H172:H180)</f>
        <v>1.607</v>
      </c>
      <c r="I170" s="73">
        <f t="shared" si="172"/>
        <v>0</v>
      </c>
      <c r="J170" s="74">
        <f>SUM(J172:J180)</f>
        <v>0</v>
      </c>
      <c r="K170" s="75">
        <f>SUM(K172:K180)</f>
        <v>0</v>
      </c>
      <c r="L170" s="133">
        <f>SUM(L172:L180)</f>
        <v>0</v>
      </c>
      <c r="M170" s="73">
        <f t="shared" si="164"/>
        <v>743.52</v>
      </c>
      <c r="N170" s="74">
        <f t="shared" si="165"/>
        <v>741.91300000000001</v>
      </c>
      <c r="O170" s="75">
        <f t="shared" si="166"/>
        <v>602.48</v>
      </c>
      <c r="P170" s="133">
        <f t="shared" si="167"/>
        <v>1.607</v>
      </c>
      <c r="Q170" s="73">
        <f t="shared" si="173"/>
        <v>0</v>
      </c>
      <c r="R170" s="74">
        <f>SUM(R172:R180)</f>
        <v>0</v>
      </c>
      <c r="S170" s="75">
        <f>SUM(S172:S180)</f>
        <v>0</v>
      </c>
      <c r="T170" s="133">
        <f>SUM(T172:T180)</f>
        <v>0</v>
      </c>
      <c r="U170" s="73">
        <f t="shared" si="155"/>
        <v>743.52</v>
      </c>
      <c r="V170" s="74">
        <f t="shared" si="156"/>
        <v>741.91300000000001</v>
      </c>
      <c r="W170" s="75">
        <f t="shared" si="168"/>
        <v>602.48</v>
      </c>
      <c r="X170" s="133">
        <f t="shared" si="169"/>
        <v>1.607</v>
      </c>
      <c r="Y170" s="73">
        <f>SUM(AB170,Z170)</f>
        <v>28.9</v>
      </c>
      <c r="Z170" s="74">
        <f>SUM(Z172:Z181)</f>
        <v>28.9</v>
      </c>
      <c r="AA170" s="75">
        <f>SUM(AA172:AA180)</f>
        <v>4.4369999999999994</v>
      </c>
      <c r="AB170" s="133">
        <f>SUM(AB172:AB180)</f>
        <v>0</v>
      </c>
      <c r="AC170" s="73">
        <f>SUM(AF170,AD170)</f>
        <v>772.42</v>
      </c>
      <c r="AD170" s="74">
        <f>V170+Z170</f>
        <v>770.81299999999999</v>
      </c>
      <c r="AE170" s="75">
        <f t="shared" si="170"/>
        <v>606.91700000000003</v>
      </c>
      <c r="AF170" s="133">
        <f t="shared" si="171"/>
        <v>1.607</v>
      </c>
      <c r="AG170" s="73">
        <f>SUM(AJ170,AH170)</f>
        <v>5.5600000000000005</v>
      </c>
      <c r="AH170" s="74">
        <f>SUM(AH172:AH181)</f>
        <v>5.5600000000000005</v>
      </c>
      <c r="AI170" s="75">
        <f>SUM(AI172:AI180)</f>
        <v>0</v>
      </c>
      <c r="AJ170" s="133">
        <f>SUM(AJ172:AJ180)</f>
        <v>0</v>
      </c>
      <c r="AK170" s="73">
        <f>SUM(AN170,AL170)</f>
        <v>777.9799999999999</v>
      </c>
      <c r="AL170" s="74">
        <f>AD170+AH170</f>
        <v>776.37299999999993</v>
      </c>
      <c r="AM170" s="75">
        <f t="shared" si="150"/>
        <v>606.91700000000003</v>
      </c>
      <c r="AN170" s="133">
        <f t="shared" si="146"/>
        <v>1.607</v>
      </c>
      <c r="AO170" s="73">
        <f>SUM(AR170,AP170)</f>
        <v>3.722</v>
      </c>
      <c r="AP170" s="74">
        <f>SUM(AP172:AP181)</f>
        <v>3.722</v>
      </c>
      <c r="AQ170" s="75">
        <f>SUM(AQ172:AQ180)</f>
        <v>0</v>
      </c>
      <c r="AR170" s="133">
        <f>SUM(AR172:AR180)</f>
        <v>0</v>
      </c>
      <c r="AS170" s="73">
        <f>SUM(AV170,AT170)</f>
        <v>781.70199999999988</v>
      </c>
      <c r="AT170" s="74">
        <f>AL170+AP170</f>
        <v>780.09499999999991</v>
      </c>
      <c r="AU170" s="75">
        <f t="shared" si="151"/>
        <v>606.91700000000003</v>
      </c>
      <c r="AV170" s="133">
        <f t="shared" si="147"/>
        <v>1.607</v>
      </c>
      <c r="AW170" s="73">
        <f>SUM(AZ170,AX170)</f>
        <v>40.904000000000003</v>
      </c>
      <c r="AX170" s="74">
        <f>SUM(AX172:AX181)</f>
        <v>40.904000000000003</v>
      </c>
      <c r="AY170" s="75">
        <f>SUM(AY172:AY180)</f>
        <v>41.329000000000001</v>
      </c>
      <c r="AZ170" s="133">
        <f>SUM(AZ172:AZ180)</f>
        <v>0</v>
      </c>
      <c r="BA170" s="73">
        <f>SUM(BD170,BB170)</f>
        <v>822.60599999999988</v>
      </c>
      <c r="BB170" s="74">
        <f>AT170+AX170</f>
        <v>820.99899999999991</v>
      </c>
      <c r="BC170" s="75">
        <f t="shared" si="152"/>
        <v>648.24599999999998</v>
      </c>
      <c r="BD170" s="133">
        <f t="shared" si="148"/>
        <v>1.607</v>
      </c>
      <c r="BE170" s="73">
        <f>SUM(BH170,BF170)</f>
        <v>-1.3599999999999994</v>
      </c>
      <c r="BF170" s="74">
        <f>SUM(BF172:BF181)</f>
        <v>-10.76</v>
      </c>
      <c r="BG170" s="75">
        <f>SUM(BG172:BG180)</f>
        <v>-10.834000000000001</v>
      </c>
      <c r="BH170" s="133">
        <f>SUM(BH172:BH180)</f>
        <v>9.4</v>
      </c>
      <c r="BI170" s="73">
        <f>SUM(BL170,BJ170)</f>
        <v>821.24599999999987</v>
      </c>
      <c r="BJ170" s="74">
        <f>BB170+BF170</f>
        <v>810.23899999999992</v>
      </c>
      <c r="BK170" s="75">
        <f t="shared" si="153"/>
        <v>637.41200000000003</v>
      </c>
      <c r="BL170" s="133">
        <f t="shared" si="149"/>
        <v>11.007</v>
      </c>
    </row>
    <row r="171" spans="1:64" ht="12.9" x14ac:dyDescent="0.35">
      <c r="A171" s="43"/>
      <c r="B171" s="4" t="s">
        <v>2</v>
      </c>
      <c r="C171" s="44"/>
      <c r="D171" s="28"/>
      <c r="E171" s="78">
        <f t="shared" si="154"/>
        <v>0</v>
      </c>
      <c r="F171" s="79">
        <v>0</v>
      </c>
      <c r="G171" s="80">
        <v>0</v>
      </c>
      <c r="H171" s="81">
        <v>0</v>
      </c>
      <c r="I171" s="78">
        <f t="shared" si="172"/>
        <v>0</v>
      </c>
      <c r="J171" s="79">
        <v>0</v>
      </c>
      <c r="K171" s="80">
        <v>0</v>
      </c>
      <c r="L171" s="81">
        <v>0</v>
      </c>
      <c r="M171" s="70">
        <f t="shared" si="164"/>
        <v>0</v>
      </c>
      <c r="N171" s="71">
        <f t="shared" si="165"/>
        <v>0</v>
      </c>
      <c r="O171" s="72">
        <f t="shared" si="166"/>
        <v>0</v>
      </c>
      <c r="P171" s="134">
        <f t="shared" si="167"/>
        <v>0</v>
      </c>
      <c r="Q171" s="78">
        <f t="shared" si="173"/>
        <v>0</v>
      </c>
      <c r="R171" s="79">
        <v>0</v>
      </c>
      <c r="S171" s="80">
        <v>0</v>
      </c>
      <c r="T171" s="81">
        <v>0</v>
      </c>
      <c r="U171" s="70">
        <f t="shared" si="155"/>
        <v>0</v>
      </c>
      <c r="V171" s="71">
        <f t="shared" si="156"/>
        <v>0</v>
      </c>
      <c r="W171" s="72">
        <f t="shared" si="168"/>
        <v>0</v>
      </c>
      <c r="X171" s="134">
        <f t="shared" si="169"/>
        <v>0</v>
      </c>
      <c r="Y171" s="78">
        <f t="shared" si="174"/>
        <v>0</v>
      </c>
      <c r="Z171" s="79">
        <v>0</v>
      </c>
      <c r="AA171" s="80">
        <v>0</v>
      </c>
      <c r="AB171" s="81">
        <v>0</v>
      </c>
      <c r="AC171" s="70">
        <f t="shared" si="157"/>
        <v>0</v>
      </c>
      <c r="AD171" s="71">
        <f t="shared" si="158"/>
        <v>0</v>
      </c>
      <c r="AE171" s="72">
        <f t="shared" si="170"/>
        <v>0</v>
      </c>
      <c r="AF171" s="134">
        <f t="shared" si="171"/>
        <v>0</v>
      </c>
      <c r="AG171" s="78">
        <f t="shared" ref="AG171:AG205" si="179">SUM(AJ171,AH171)</f>
        <v>0</v>
      </c>
      <c r="AH171" s="79">
        <v>0</v>
      </c>
      <c r="AI171" s="80">
        <v>0</v>
      </c>
      <c r="AJ171" s="81">
        <v>0</v>
      </c>
      <c r="AK171" s="70">
        <f t="shared" ref="AK171:AK211" si="180">SUM(AN171,AL171)</f>
        <v>0</v>
      </c>
      <c r="AL171" s="71">
        <f t="shared" ref="AL171:AL205" si="181">AD171+AH171</f>
        <v>0</v>
      </c>
      <c r="AM171" s="72">
        <f t="shared" si="150"/>
        <v>0</v>
      </c>
      <c r="AN171" s="134">
        <f t="shared" si="146"/>
        <v>0</v>
      </c>
      <c r="AO171" s="78">
        <f t="shared" ref="AO171:AO205" si="182">SUM(AR171,AP171)</f>
        <v>0</v>
      </c>
      <c r="AP171" s="79">
        <v>0</v>
      </c>
      <c r="AQ171" s="80">
        <v>0</v>
      </c>
      <c r="AR171" s="81">
        <v>0</v>
      </c>
      <c r="AS171" s="70">
        <f t="shared" ref="AS171:AS211" si="183">SUM(AV171,AT171)</f>
        <v>0</v>
      </c>
      <c r="AT171" s="71">
        <f t="shared" ref="AT171:AT205" si="184">AL171+AP171</f>
        <v>0</v>
      </c>
      <c r="AU171" s="72">
        <f t="shared" si="151"/>
        <v>0</v>
      </c>
      <c r="AV171" s="134">
        <f t="shared" si="147"/>
        <v>0</v>
      </c>
      <c r="AW171" s="78">
        <f t="shared" ref="AW171:AW205" si="185">SUM(AZ171,AX171)</f>
        <v>0</v>
      </c>
      <c r="AX171" s="79">
        <v>0</v>
      </c>
      <c r="AY171" s="80">
        <v>0</v>
      </c>
      <c r="AZ171" s="81">
        <v>0</v>
      </c>
      <c r="BA171" s="70">
        <f t="shared" ref="BA171:BA211" si="186">SUM(BD171,BB171)</f>
        <v>0</v>
      </c>
      <c r="BB171" s="71">
        <f t="shared" ref="BB171:BB205" si="187">AT171+AX171</f>
        <v>0</v>
      </c>
      <c r="BC171" s="72">
        <f t="shared" si="152"/>
        <v>0</v>
      </c>
      <c r="BD171" s="134">
        <f t="shared" si="148"/>
        <v>0</v>
      </c>
      <c r="BE171" s="78">
        <f t="shared" ref="BE171:BE205" si="188">SUM(BH171,BF171)</f>
        <v>0</v>
      </c>
      <c r="BF171" s="79">
        <v>0</v>
      </c>
      <c r="BG171" s="80">
        <v>0</v>
      </c>
      <c r="BH171" s="81">
        <v>0</v>
      </c>
      <c r="BI171" s="70">
        <f t="shared" ref="BI171:BI211" si="189">SUM(BL171,BJ171)</f>
        <v>0</v>
      </c>
      <c r="BJ171" s="71">
        <f t="shared" ref="BJ171:BJ205" si="190">BB171+BF171</f>
        <v>0</v>
      </c>
      <c r="BK171" s="72">
        <f t="shared" si="153"/>
        <v>0</v>
      </c>
      <c r="BL171" s="134">
        <f t="shared" si="149"/>
        <v>0</v>
      </c>
    </row>
    <row r="172" spans="1:64" ht="12.9" x14ac:dyDescent="0.35">
      <c r="A172" s="25" t="s">
        <v>22</v>
      </c>
      <c r="B172" s="26" t="s">
        <v>34</v>
      </c>
      <c r="C172" s="27" t="s">
        <v>79</v>
      </c>
      <c r="D172" s="40" t="s">
        <v>125</v>
      </c>
      <c r="E172" s="78">
        <f t="shared" si="154"/>
        <v>0.4</v>
      </c>
      <c r="F172" s="79">
        <v>0.4</v>
      </c>
      <c r="G172" s="80"/>
      <c r="H172" s="81"/>
      <c r="I172" s="78">
        <f t="shared" si="172"/>
        <v>0</v>
      </c>
      <c r="J172" s="79"/>
      <c r="K172" s="80"/>
      <c r="L172" s="81"/>
      <c r="M172" s="70">
        <f t="shared" si="164"/>
        <v>0.4</v>
      </c>
      <c r="N172" s="71">
        <f t="shared" si="165"/>
        <v>0.4</v>
      </c>
      <c r="O172" s="72">
        <f t="shared" si="166"/>
        <v>0</v>
      </c>
      <c r="P172" s="134">
        <f t="shared" si="167"/>
        <v>0</v>
      </c>
      <c r="Q172" s="78">
        <f t="shared" si="173"/>
        <v>0</v>
      </c>
      <c r="R172" s="79"/>
      <c r="S172" s="80"/>
      <c r="T172" s="81"/>
      <c r="U172" s="70">
        <f t="shared" si="155"/>
        <v>0.4</v>
      </c>
      <c r="V172" s="71">
        <f t="shared" si="156"/>
        <v>0.4</v>
      </c>
      <c r="W172" s="72">
        <f t="shared" si="168"/>
        <v>0</v>
      </c>
      <c r="X172" s="134">
        <f t="shared" si="169"/>
        <v>0</v>
      </c>
      <c r="Y172" s="78">
        <f t="shared" si="174"/>
        <v>0</v>
      </c>
      <c r="Z172" s="79"/>
      <c r="AA172" s="80"/>
      <c r="AB172" s="81"/>
      <c r="AC172" s="70">
        <f t="shared" si="157"/>
        <v>0.4</v>
      </c>
      <c r="AD172" s="71">
        <f t="shared" si="158"/>
        <v>0.4</v>
      </c>
      <c r="AE172" s="72">
        <f t="shared" si="170"/>
        <v>0</v>
      </c>
      <c r="AF172" s="134">
        <f t="shared" si="171"/>
        <v>0</v>
      </c>
      <c r="AG172" s="78">
        <f t="shared" si="179"/>
        <v>0</v>
      </c>
      <c r="AH172" s="79"/>
      <c r="AI172" s="80"/>
      <c r="AJ172" s="81"/>
      <c r="AK172" s="70">
        <f t="shared" si="180"/>
        <v>0.4</v>
      </c>
      <c r="AL172" s="71">
        <f t="shared" si="181"/>
        <v>0.4</v>
      </c>
      <c r="AM172" s="72">
        <f t="shared" si="150"/>
        <v>0</v>
      </c>
      <c r="AN172" s="134">
        <f t="shared" si="146"/>
        <v>0</v>
      </c>
      <c r="AO172" s="78">
        <f t="shared" si="182"/>
        <v>0</v>
      </c>
      <c r="AP172" s="79"/>
      <c r="AQ172" s="80"/>
      <c r="AR172" s="81"/>
      <c r="AS172" s="70">
        <f t="shared" si="183"/>
        <v>0.4</v>
      </c>
      <c r="AT172" s="71">
        <f t="shared" si="184"/>
        <v>0.4</v>
      </c>
      <c r="AU172" s="72">
        <f t="shared" si="151"/>
        <v>0</v>
      </c>
      <c r="AV172" s="134">
        <f t="shared" si="147"/>
        <v>0</v>
      </c>
      <c r="AW172" s="78">
        <f t="shared" si="185"/>
        <v>0.5</v>
      </c>
      <c r="AX172" s="79">
        <v>0.5</v>
      </c>
      <c r="AY172" s="80"/>
      <c r="AZ172" s="81"/>
      <c r="BA172" s="70">
        <f t="shared" si="186"/>
        <v>0.9</v>
      </c>
      <c r="BB172" s="71">
        <f t="shared" si="187"/>
        <v>0.9</v>
      </c>
      <c r="BC172" s="72">
        <f t="shared" si="152"/>
        <v>0</v>
      </c>
      <c r="BD172" s="134">
        <f t="shared" si="148"/>
        <v>0</v>
      </c>
      <c r="BE172" s="78">
        <f t="shared" si="188"/>
        <v>0</v>
      </c>
      <c r="BF172" s="79"/>
      <c r="BG172" s="80"/>
      <c r="BH172" s="81"/>
      <c r="BI172" s="70">
        <f t="shared" si="189"/>
        <v>0.9</v>
      </c>
      <c r="BJ172" s="71">
        <f t="shared" si="190"/>
        <v>0.9</v>
      </c>
      <c r="BK172" s="72">
        <f t="shared" si="153"/>
        <v>0</v>
      </c>
      <c r="BL172" s="134">
        <f t="shared" si="149"/>
        <v>0</v>
      </c>
    </row>
    <row r="173" spans="1:64" ht="12.9" x14ac:dyDescent="0.35">
      <c r="A173" s="265" t="s">
        <v>25</v>
      </c>
      <c r="B173" s="266" t="s">
        <v>41</v>
      </c>
      <c r="C173" s="27" t="s">
        <v>80</v>
      </c>
      <c r="D173" s="25" t="s">
        <v>125</v>
      </c>
      <c r="E173" s="78">
        <f t="shared" si="154"/>
        <v>437.17</v>
      </c>
      <c r="F173" s="79">
        <f>387.97+49.2</f>
        <v>437.17</v>
      </c>
      <c r="G173" s="80">
        <f>329.31-3.2-0.5</f>
        <v>325.61</v>
      </c>
      <c r="H173" s="81"/>
      <c r="I173" s="78">
        <f t="shared" si="172"/>
        <v>0</v>
      </c>
      <c r="J173" s="79"/>
      <c r="K173" s="80"/>
      <c r="L173" s="81"/>
      <c r="M173" s="70">
        <f t="shared" si="164"/>
        <v>437.17</v>
      </c>
      <c r="N173" s="71">
        <f t="shared" si="165"/>
        <v>437.17</v>
      </c>
      <c r="O173" s="72">
        <f t="shared" si="166"/>
        <v>325.61</v>
      </c>
      <c r="P173" s="134">
        <f t="shared" si="167"/>
        <v>0</v>
      </c>
      <c r="Q173" s="78">
        <f t="shared" si="173"/>
        <v>0</v>
      </c>
      <c r="R173" s="79"/>
      <c r="S173" s="80"/>
      <c r="T173" s="81"/>
      <c r="U173" s="70">
        <f t="shared" si="155"/>
        <v>437.17</v>
      </c>
      <c r="V173" s="71">
        <f t="shared" si="156"/>
        <v>437.17</v>
      </c>
      <c r="W173" s="72">
        <f t="shared" si="168"/>
        <v>325.61</v>
      </c>
      <c r="X173" s="134">
        <f t="shared" si="169"/>
        <v>0</v>
      </c>
      <c r="Y173" s="78">
        <f t="shared" si="174"/>
        <v>0</v>
      </c>
      <c r="Z173" s="79"/>
      <c r="AA173" s="80">
        <v>-2.3980000000000001</v>
      </c>
      <c r="AB173" s="81"/>
      <c r="AC173" s="70">
        <f t="shared" si="157"/>
        <v>437.17</v>
      </c>
      <c r="AD173" s="71">
        <f t="shared" si="158"/>
        <v>437.17</v>
      </c>
      <c r="AE173" s="72">
        <f t="shared" si="170"/>
        <v>323.21199999999999</v>
      </c>
      <c r="AF173" s="134">
        <f t="shared" si="171"/>
        <v>0</v>
      </c>
      <c r="AG173" s="78">
        <f t="shared" si="179"/>
        <v>2.7890000000000001</v>
      </c>
      <c r="AH173" s="79">
        <v>2.7890000000000001</v>
      </c>
      <c r="AI173" s="80"/>
      <c r="AJ173" s="81"/>
      <c r="AK173" s="70">
        <f t="shared" si="180"/>
        <v>439.959</v>
      </c>
      <c r="AL173" s="71">
        <f t="shared" si="181"/>
        <v>439.959</v>
      </c>
      <c r="AM173" s="72">
        <f t="shared" si="150"/>
        <v>323.21199999999999</v>
      </c>
      <c r="AN173" s="134">
        <f t="shared" si="146"/>
        <v>0</v>
      </c>
      <c r="AO173" s="78">
        <f t="shared" si="182"/>
        <v>0</v>
      </c>
      <c r="AP173" s="79"/>
      <c r="AQ173" s="80"/>
      <c r="AR173" s="81"/>
      <c r="AS173" s="70">
        <f t="shared" si="183"/>
        <v>439.959</v>
      </c>
      <c r="AT173" s="71">
        <f t="shared" si="184"/>
        <v>439.959</v>
      </c>
      <c r="AU173" s="72">
        <f t="shared" si="151"/>
        <v>323.21199999999999</v>
      </c>
      <c r="AV173" s="134">
        <f t="shared" si="147"/>
        <v>0</v>
      </c>
      <c r="AW173" s="78">
        <f t="shared" si="185"/>
        <v>1.4950000000000001</v>
      </c>
      <c r="AX173" s="79">
        <f>5.545-4.05</f>
        <v>1.4950000000000001</v>
      </c>
      <c r="AY173" s="80">
        <v>2.5299999999999998</v>
      </c>
      <c r="AZ173" s="81"/>
      <c r="BA173" s="70">
        <f t="shared" si="186"/>
        <v>441.45400000000001</v>
      </c>
      <c r="BB173" s="71">
        <f t="shared" si="187"/>
        <v>441.45400000000001</v>
      </c>
      <c r="BC173" s="72">
        <f t="shared" si="152"/>
        <v>325.74199999999996</v>
      </c>
      <c r="BD173" s="134">
        <f t="shared" si="148"/>
        <v>0</v>
      </c>
      <c r="BE173" s="78">
        <f t="shared" si="188"/>
        <v>-7.66</v>
      </c>
      <c r="BF173" s="79">
        <f>-9.4+0.34</f>
        <v>-9.06</v>
      </c>
      <c r="BG173" s="80">
        <v>-9.4</v>
      </c>
      <c r="BH173" s="81">
        <v>1.4</v>
      </c>
      <c r="BI173" s="70">
        <f t="shared" si="189"/>
        <v>433.79399999999998</v>
      </c>
      <c r="BJ173" s="71">
        <f t="shared" si="190"/>
        <v>432.39400000000001</v>
      </c>
      <c r="BK173" s="72">
        <f t="shared" si="153"/>
        <v>316.34199999999998</v>
      </c>
      <c r="BL173" s="134">
        <f t="shared" si="149"/>
        <v>1.4</v>
      </c>
    </row>
    <row r="174" spans="1:64" ht="12.9" x14ac:dyDescent="0.35">
      <c r="A174" s="265"/>
      <c r="B174" s="266"/>
      <c r="C174" s="27" t="s">
        <v>81</v>
      </c>
      <c r="D174" s="25" t="s">
        <v>49</v>
      </c>
      <c r="E174" s="78">
        <f t="shared" si="154"/>
        <v>291.59000000000003</v>
      </c>
      <c r="F174" s="79">
        <v>289.983</v>
      </c>
      <c r="G174" s="80">
        <f>280.17-3.3</f>
        <v>276.87</v>
      </c>
      <c r="H174" s="81">
        <v>1.607</v>
      </c>
      <c r="I174" s="78">
        <f t="shared" si="172"/>
        <v>0</v>
      </c>
      <c r="J174" s="79"/>
      <c r="K174" s="80"/>
      <c r="L174" s="81"/>
      <c r="M174" s="70">
        <f t="shared" si="164"/>
        <v>291.59000000000003</v>
      </c>
      <c r="N174" s="71">
        <f t="shared" si="165"/>
        <v>289.983</v>
      </c>
      <c r="O174" s="72">
        <f t="shared" si="166"/>
        <v>276.87</v>
      </c>
      <c r="P174" s="134">
        <f t="shared" si="167"/>
        <v>1.607</v>
      </c>
      <c r="Q174" s="78">
        <f t="shared" si="173"/>
        <v>0</v>
      </c>
      <c r="R174" s="79"/>
      <c r="S174" s="80"/>
      <c r="T174" s="81"/>
      <c r="U174" s="70">
        <f t="shared" si="155"/>
        <v>291.59000000000003</v>
      </c>
      <c r="V174" s="71">
        <f t="shared" si="156"/>
        <v>289.983</v>
      </c>
      <c r="W174" s="72">
        <f t="shared" si="168"/>
        <v>276.87</v>
      </c>
      <c r="X174" s="134">
        <f t="shared" si="169"/>
        <v>1.607</v>
      </c>
      <c r="Y174" s="78">
        <f t="shared" si="174"/>
        <v>4.79</v>
      </c>
      <c r="Z174" s="79">
        <v>4.79</v>
      </c>
      <c r="AA174" s="80">
        <f>4.721-2.398</f>
        <v>2.323</v>
      </c>
      <c r="AB174" s="81"/>
      <c r="AC174" s="70">
        <f t="shared" si="157"/>
        <v>296.38000000000005</v>
      </c>
      <c r="AD174" s="71">
        <f t="shared" si="158"/>
        <v>294.77300000000002</v>
      </c>
      <c r="AE174" s="72">
        <f t="shared" si="170"/>
        <v>279.19299999999998</v>
      </c>
      <c r="AF174" s="134">
        <f t="shared" si="171"/>
        <v>1.607</v>
      </c>
      <c r="AG174" s="78">
        <f t="shared" si="179"/>
        <v>0</v>
      </c>
      <c r="AH174" s="79"/>
      <c r="AI174" s="80"/>
      <c r="AJ174" s="81"/>
      <c r="AK174" s="70">
        <f t="shared" si="180"/>
        <v>296.38000000000005</v>
      </c>
      <c r="AL174" s="71">
        <f t="shared" si="181"/>
        <v>294.77300000000002</v>
      </c>
      <c r="AM174" s="72">
        <f t="shared" si="150"/>
        <v>279.19299999999998</v>
      </c>
      <c r="AN174" s="134">
        <f t="shared" si="146"/>
        <v>1.607</v>
      </c>
      <c r="AO174" s="78">
        <f t="shared" si="182"/>
        <v>0</v>
      </c>
      <c r="AP174" s="79"/>
      <c r="AQ174" s="80"/>
      <c r="AR174" s="81"/>
      <c r="AS174" s="70">
        <f t="shared" si="183"/>
        <v>296.38000000000005</v>
      </c>
      <c r="AT174" s="71">
        <f t="shared" si="184"/>
        <v>294.77300000000002</v>
      </c>
      <c r="AU174" s="72">
        <f t="shared" si="151"/>
        <v>279.19299999999998</v>
      </c>
      <c r="AV174" s="134">
        <f t="shared" si="147"/>
        <v>1.607</v>
      </c>
      <c r="AW174" s="78">
        <f t="shared" si="185"/>
        <v>35.65</v>
      </c>
      <c r="AX174" s="79">
        <v>35.65</v>
      </c>
      <c r="AY174" s="80">
        <v>35.729999999999997</v>
      </c>
      <c r="AZ174" s="81"/>
      <c r="BA174" s="70">
        <f t="shared" si="186"/>
        <v>332.03000000000003</v>
      </c>
      <c r="BB174" s="71">
        <f t="shared" si="187"/>
        <v>330.423</v>
      </c>
      <c r="BC174" s="72">
        <f t="shared" si="152"/>
        <v>314.923</v>
      </c>
      <c r="BD174" s="134">
        <f t="shared" si="148"/>
        <v>1.607</v>
      </c>
      <c r="BE174" s="78">
        <f t="shared" si="188"/>
        <v>0</v>
      </c>
      <c r="BF174" s="79"/>
      <c r="BG174" s="80">
        <v>-3.1240000000000001</v>
      </c>
      <c r="BH174" s="81"/>
      <c r="BI174" s="70">
        <f t="shared" si="189"/>
        <v>332.03000000000003</v>
      </c>
      <c r="BJ174" s="71">
        <f t="shared" si="190"/>
        <v>330.423</v>
      </c>
      <c r="BK174" s="72">
        <f t="shared" si="153"/>
        <v>311.79899999999998</v>
      </c>
      <c r="BL174" s="134">
        <f t="shared" si="149"/>
        <v>1.607</v>
      </c>
    </row>
    <row r="175" spans="1:64" ht="12.9" x14ac:dyDescent="0.35">
      <c r="A175" s="265"/>
      <c r="B175" s="266"/>
      <c r="C175" s="27" t="s">
        <v>135</v>
      </c>
      <c r="D175" s="25" t="s">
        <v>137</v>
      </c>
      <c r="E175" s="78">
        <f t="shared" si="154"/>
        <v>0</v>
      </c>
      <c r="F175" s="79"/>
      <c r="G175" s="80"/>
      <c r="H175" s="81"/>
      <c r="I175" s="78">
        <f t="shared" si="172"/>
        <v>0</v>
      </c>
      <c r="J175" s="79"/>
      <c r="K175" s="80"/>
      <c r="L175" s="81"/>
      <c r="M175" s="70">
        <f t="shared" si="164"/>
        <v>0</v>
      </c>
      <c r="N175" s="71">
        <f t="shared" si="165"/>
        <v>0</v>
      </c>
      <c r="O175" s="72">
        <f t="shared" si="166"/>
        <v>0</v>
      </c>
      <c r="P175" s="134">
        <f t="shared" si="167"/>
        <v>0</v>
      </c>
      <c r="Q175" s="78">
        <f t="shared" si="173"/>
        <v>0</v>
      </c>
      <c r="R175" s="79"/>
      <c r="S175" s="80"/>
      <c r="T175" s="81"/>
      <c r="U175" s="70">
        <f t="shared" si="155"/>
        <v>0</v>
      </c>
      <c r="V175" s="71">
        <f t="shared" si="156"/>
        <v>0</v>
      </c>
      <c r="W175" s="72">
        <f t="shared" si="168"/>
        <v>0</v>
      </c>
      <c r="X175" s="134">
        <f t="shared" si="169"/>
        <v>0</v>
      </c>
      <c r="Y175" s="78">
        <f t="shared" si="174"/>
        <v>4.6100000000000003</v>
      </c>
      <c r="Z175" s="79">
        <v>4.6100000000000003</v>
      </c>
      <c r="AA175" s="80">
        <v>4.5119999999999996</v>
      </c>
      <c r="AB175" s="81"/>
      <c r="AC175" s="70">
        <f t="shared" si="157"/>
        <v>4.6100000000000003</v>
      </c>
      <c r="AD175" s="71">
        <f t="shared" si="158"/>
        <v>4.6100000000000003</v>
      </c>
      <c r="AE175" s="72">
        <f t="shared" si="170"/>
        <v>4.5119999999999996</v>
      </c>
      <c r="AF175" s="134">
        <f t="shared" si="171"/>
        <v>0</v>
      </c>
      <c r="AG175" s="78">
        <f t="shared" si="179"/>
        <v>2.7709999999999999</v>
      </c>
      <c r="AH175" s="79">
        <v>2.7709999999999999</v>
      </c>
      <c r="AI175" s="80"/>
      <c r="AJ175" s="81"/>
      <c r="AK175" s="70">
        <f t="shared" si="180"/>
        <v>7.3810000000000002</v>
      </c>
      <c r="AL175" s="71">
        <f t="shared" si="181"/>
        <v>7.3810000000000002</v>
      </c>
      <c r="AM175" s="72">
        <f t="shared" si="150"/>
        <v>4.5119999999999996</v>
      </c>
      <c r="AN175" s="134">
        <f t="shared" si="146"/>
        <v>0</v>
      </c>
      <c r="AO175" s="78">
        <f t="shared" si="182"/>
        <v>3.722</v>
      </c>
      <c r="AP175" s="79">
        <v>3.722</v>
      </c>
      <c r="AQ175" s="80"/>
      <c r="AR175" s="81"/>
      <c r="AS175" s="70">
        <f t="shared" si="183"/>
        <v>11.103</v>
      </c>
      <c r="AT175" s="71">
        <f t="shared" si="184"/>
        <v>11.103</v>
      </c>
      <c r="AU175" s="72">
        <f t="shared" si="151"/>
        <v>4.5119999999999996</v>
      </c>
      <c r="AV175" s="134">
        <f t="shared" si="147"/>
        <v>0</v>
      </c>
      <c r="AW175" s="78">
        <f t="shared" si="185"/>
        <v>3.069</v>
      </c>
      <c r="AX175" s="79">
        <v>3.069</v>
      </c>
      <c r="AY175" s="80">
        <v>3.069</v>
      </c>
      <c r="AZ175" s="81"/>
      <c r="BA175" s="70">
        <f t="shared" si="186"/>
        <v>14.172000000000001</v>
      </c>
      <c r="BB175" s="71">
        <f t="shared" si="187"/>
        <v>14.172000000000001</v>
      </c>
      <c r="BC175" s="72">
        <f t="shared" si="152"/>
        <v>7.5809999999999995</v>
      </c>
      <c r="BD175" s="134">
        <f t="shared" si="148"/>
        <v>0</v>
      </c>
      <c r="BE175" s="78">
        <f t="shared" si="188"/>
        <v>0</v>
      </c>
      <c r="BF175" s="79"/>
      <c r="BG175" s="80">
        <v>1.69</v>
      </c>
      <c r="BH175" s="81"/>
      <c r="BI175" s="70">
        <f t="shared" si="189"/>
        <v>14.172000000000001</v>
      </c>
      <c r="BJ175" s="71">
        <f t="shared" si="190"/>
        <v>14.172000000000001</v>
      </c>
      <c r="BK175" s="72">
        <f t="shared" si="153"/>
        <v>9.270999999999999</v>
      </c>
      <c r="BL175" s="134">
        <f t="shared" si="149"/>
        <v>0</v>
      </c>
    </row>
    <row r="176" spans="1:64" ht="12.9" x14ac:dyDescent="0.35">
      <c r="A176" s="45" t="s">
        <v>23</v>
      </c>
      <c r="B176" s="46" t="s">
        <v>44</v>
      </c>
      <c r="C176" s="27" t="s">
        <v>169</v>
      </c>
      <c r="D176" s="25" t="s">
        <v>38</v>
      </c>
      <c r="E176" s="78">
        <f t="shared" si="154"/>
        <v>12.16</v>
      </c>
      <c r="F176" s="79">
        <v>12.16</v>
      </c>
      <c r="G176" s="80"/>
      <c r="H176" s="81"/>
      <c r="I176" s="78">
        <f t="shared" si="172"/>
        <v>0</v>
      </c>
      <c r="J176" s="79"/>
      <c r="K176" s="80"/>
      <c r="L176" s="81"/>
      <c r="M176" s="70">
        <f t="shared" si="164"/>
        <v>12.16</v>
      </c>
      <c r="N176" s="71">
        <f t="shared" si="165"/>
        <v>12.16</v>
      </c>
      <c r="O176" s="72">
        <f t="shared" si="166"/>
        <v>0</v>
      </c>
      <c r="P176" s="134">
        <f t="shared" si="167"/>
        <v>0</v>
      </c>
      <c r="Q176" s="78">
        <f t="shared" si="173"/>
        <v>0</v>
      </c>
      <c r="R176" s="79"/>
      <c r="S176" s="80"/>
      <c r="T176" s="81"/>
      <c r="U176" s="70">
        <f t="shared" si="155"/>
        <v>12.16</v>
      </c>
      <c r="V176" s="71">
        <f t="shared" si="156"/>
        <v>12.16</v>
      </c>
      <c r="W176" s="72">
        <f t="shared" si="168"/>
        <v>0</v>
      </c>
      <c r="X176" s="134">
        <f t="shared" si="169"/>
        <v>0</v>
      </c>
      <c r="Y176" s="78">
        <f t="shared" si="174"/>
        <v>0</v>
      </c>
      <c r="Z176" s="79"/>
      <c r="AA176" s="80"/>
      <c r="AB176" s="81"/>
      <c r="AC176" s="70">
        <f t="shared" si="157"/>
        <v>12.16</v>
      </c>
      <c r="AD176" s="71">
        <f t="shared" si="158"/>
        <v>12.16</v>
      </c>
      <c r="AE176" s="72">
        <f t="shared" si="170"/>
        <v>0</v>
      </c>
      <c r="AF176" s="134">
        <f t="shared" si="171"/>
        <v>0</v>
      </c>
      <c r="AG176" s="78">
        <f t="shared" si="179"/>
        <v>0</v>
      </c>
      <c r="AH176" s="79"/>
      <c r="AI176" s="80"/>
      <c r="AJ176" s="81"/>
      <c r="AK176" s="70">
        <f t="shared" si="180"/>
        <v>12.16</v>
      </c>
      <c r="AL176" s="71">
        <f t="shared" si="181"/>
        <v>12.16</v>
      </c>
      <c r="AM176" s="72">
        <f t="shared" si="150"/>
        <v>0</v>
      </c>
      <c r="AN176" s="134">
        <f t="shared" si="146"/>
        <v>0</v>
      </c>
      <c r="AO176" s="78">
        <f t="shared" si="182"/>
        <v>0</v>
      </c>
      <c r="AP176" s="79"/>
      <c r="AQ176" s="80"/>
      <c r="AR176" s="81"/>
      <c r="AS176" s="70">
        <f t="shared" si="183"/>
        <v>12.16</v>
      </c>
      <c r="AT176" s="71">
        <f t="shared" si="184"/>
        <v>12.16</v>
      </c>
      <c r="AU176" s="72">
        <f t="shared" si="151"/>
        <v>0</v>
      </c>
      <c r="AV176" s="134">
        <f t="shared" si="147"/>
        <v>0</v>
      </c>
      <c r="AW176" s="78">
        <f t="shared" si="185"/>
        <v>0</v>
      </c>
      <c r="AX176" s="79"/>
      <c r="AY176" s="80"/>
      <c r="AZ176" s="81"/>
      <c r="BA176" s="70">
        <f t="shared" si="186"/>
        <v>12.16</v>
      </c>
      <c r="BB176" s="71">
        <f t="shared" si="187"/>
        <v>12.16</v>
      </c>
      <c r="BC176" s="72">
        <f t="shared" si="152"/>
        <v>0</v>
      </c>
      <c r="BD176" s="134">
        <f t="shared" si="148"/>
        <v>0</v>
      </c>
      <c r="BE176" s="78">
        <f t="shared" si="188"/>
        <v>-1.7</v>
      </c>
      <c r="BF176" s="79">
        <v>-1.7</v>
      </c>
      <c r="BG176" s="80"/>
      <c r="BH176" s="81"/>
      <c r="BI176" s="70">
        <f t="shared" si="189"/>
        <v>10.46</v>
      </c>
      <c r="BJ176" s="71">
        <f t="shared" si="190"/>
        <v>10.46</v>
      </c>
      <c r="BK176" s="72">
        <f t="shared" si="153"/>
        <v>0</v>
      </c>
      <c r="BL176" s="134">
        <f t="shared" si="149"/>
        <v>0</v>
      </c>
    </row>
    <row r="177" spans="1:64" ht="12.9" x14ac:dyDescent="0.35">
      <c r="A177" s="289" t="s">
        <v>33</v>
      </c>
      <c r="B177" s="266" t="s">
        <v>45</v>
      </c>
      <c r="C177" s="27" t="s">
        <v>225</v>
      </c>
      <c r="D177" s="25" t="s">
        <v>125</v>
      </c>
      <c r="E177" s="78">
        <f t="shared" si="154"/>
        <v>1</v>
      </c>
      <c r="F177" s="79">
        <v>1</v>
      </c>
      <c r="G177" s="80"/>
      <c r="H177" s="81"/>
      <c r="I177" s="78">
        <f t="shared" si="172"/>
        <v>0</v>
      </c>
      <c r="J177" s="79"/>
      <c r="K177" s="80"/>
      <c r="L177" s="81"/>
      <c r="M177" s="70">
        <f t="shared" si="164"/>
        <v>1</v>
      </c>
      <c r="N177" s="71">
        <f t="shared" si="165"/>
        <v>1</v>
      </c>
      <c r="O177" s="72">
        <f t="shared" si="166"/>
        <v>0</v>
      </c>
      <c r="P177" s="134">
        <f t="shared" si="167"/>
        <v>0</v>
      </c>
      <c r="Q177" s="78">
        <f t="shared" si="173"/>
        <v>0</v>
      </c>
      <c r="R177" s="79"/>
      <c r="S177" s="80"/>
      <c r="T177" s="81"/>
      <c r="U177" s="70">
        <f t="shared" si="155"/>
        <v>1</v>
      </c>
      <c r="V177" s="71">
        <f t="shared" si="156"/>
        <v>1</v>
      </c>
      <c r="W177" s="72">
        <f t="shared" si="168"/>
        <v>0</v>
      </c>
      <c r="X177" s="134">
        <f t="shared" si="169"/>
        <v>0</v>
      </c>
      <c r="Y177" s="78">
        <f t="shared" si="174"/>
        <v>0</v>
      </c>
      <c r="Z177" s="79"/>
      <c r="AA177" s="80"/>
      <c r="AB177" s="81"/>
      <c r="AC177" s="70">
        <f t="shared" si="157"/>
        <v>1</v>
      </c>
      <c r="AD177" s="71">
        <f t="shared" si="158"/>
        <v>1</v>
      </c>
      <c r="AE177" s="72">
        <f t="shared" si="170"/>
        <v>0</v>
      </c>
      <c r="AF177" s="134">
        <f t="shared" si="171"/>
        <v>0</v>
      </c>
      <c r="AG177" s="78">
        <f t="shared" si="179"/>
        <v>0</v>
      </c>
      <c r="AH177" s="79"/>
      <c r="AI177" s="80"/>
      <c r="AJ177" s="81"/>
      <c r="AK177" s="70">
        <f t="shared" si="180"/>
        <v>1</v>
      </c>
      <c r="AL177" s="71">
        <f t="shared" si="181"/>
        <v>1</v>
      </c>
      <c r="AM177" s="72">
        <f t="shared" si="150"/>
        <v>0</v>
      </c>
      <c r="AN177" s="134">
        <f t="shared" si="146"/>
        <v>0</v>
      </c>
      <c r="AO177" s="78">
        <f t="shared" si="182"/>
        <v>0</v>
      </c>
      <c r="AP177" s="79"/>
      <c r="AQ177" s="80"/>
      <c r="AR177" s="81"/>
      <c r="AS177" s="70">
        <f t="shared" si="183"/>
        <v>1</v>
      </c>
      <c r="AT177" s="71">
        <f t="shared" si="184"/>
        <v>1</v>
      </c>
      <c r="AU177" s="72">
        <f t="shared" si="151"/>
        <v>0</v>
      </c>
      <c r="AV177" s="134">
        <f t="shared" si="147"/>
        <v>0</v>
      </c>
      <c r="AW177" s="78">
        <f t="shared" si="185"/>
        <v>0</v>
      </c>
      <c r="AX177" s="79"/>
      <c r="AY177" s="80"/>
      <c r="AZ177" s="81"/>
      <c r="BA177" s="70">
        <f t="shared" si="186"/>
        <v>1</v>
      </c>
      <c r="BB177" s="71">
        <f t="shared" si="187"/>
        <v>1</v>
      </c>
      <c r="BC177" s="72">
        <f t="shared" si="152"/>
        <v>0</v>
      </c>
      <c r="BD177" s="134">
        <f t="shared" si="148"/>
        <v>0</v>
      </c>
      <c r="BE177" s="78">
        <f t="shared" si="188"/>
        <v>0</v>
      </c>
      <c r="BF177" s="79"/>
      <c r="BG177" s="80"/>
      <c r="BH177" s="81"/>
      <c r="BI177" s="70">
        <f t="shared" si="189"/>
        <v>1</v>
      </c>
      <c r="BJ177" s="71">
        <f t="shared" si="190"/>
        <v>1</v>
      </c>
      <c r="BK177" s="72">
        <f t="shared" si="153"/>
        <v>0</v>
      </c>
      <c r="BL177" s="134">
        <f t="shared" si="149"/>
        <v>0</v>
      </c>
    </row>
    <row r="178" spans="1:64" ht="12.9" x14ac:dyDescent="0.35">
      <c r="A178" s="289"/>
      <c r="B178" s="266"/>
      <c r="C178" s="27" t="s">
        <v>270</v>
      </c>
      <c r="D178" s="25" t="s">
        <v>137</v>
      </c>
      <c r="E178" s="78">
        <f t="shared" si="154"/>
        <v>0</v>
      </c>
      <c r="F178" s="79"/>
      <c r="G178" s="80"/>
      <c r="H178" s="81"/>
      <c r="I178" s="78">
        <f t="shared" si="172"/>
        <v>0</v>
      </c>
      <c r="J178" s="79"/>
      <c r="K178" s="80"/>
      <c r="L178" s="81"/>
      <c r="M178" s="70">
        <f t="shared" si="164"/>
        <v>0</v>
      </c>
      <c r="N178" s="71">
        <f t="shared" si="165"/>
        <v>0</v>
      </c>
      <c r="O178" s="72">
        <f t="shared" si="166"/>
        <v>0</v>
      </c>
      <c r="P178" s="134">
        <f t="shared" si="167"/>
        <v>0</v>
      </c>
      <c r="Q178" s="78">
        <f t="shared" si="173"/>
        <v>0</v>
      </c>
      <c r="R178" s="79"/>
      <c r="S178" s="80"/>
      <c r="T178" s="81"/>
      <c r="U178" s="70">
        <f t="shared" si="155"/>
        <v>0</v>
      </c>
      <c r="V178" s="71">
        <f t="shared" si="156"/>
        <v>0</v>
      </c>
      <c r="W178" s="72">
        <f t="shared" si="168"/>
        <v>0</v>
      </c>
      <c r="X178" s="134">
        <f t="shared" si="169"/>
        <v>0</v>
      </c>
      <c r="Y178" s="78">
        <f t="shared" si="174"/>
        <v>0</v>
      </c>
      <c r="Z178" s="79"/>
      <c r="AA178" s="80"/>
      <c r="AB178" s="81"/>
      <c r="AC178" s="70">
        <f t="shared" si="157"/>
        <v>0</v>
      </c>
      <c r="AD178" s="71">
        <f t="shared" si="158"/>
        <v>0</v>
      </c>
      <c r="AE178" s="72">
        <f t="shared" si="170"/>
        <v>0</v>
      </c>
      <c r="AF178" s="134">
        <f t="shared" si="171"/>
        <v>0</v>
      </c>
      <c r="AG178" s="78">
        <f t="shared" si="179"/>
        <v>0</v>
      </c>
      <c r="AH178" s="79"/>
      <c r="AI178" s="80"/>
      <c r="AJ178" s="81"/>
      <c r="AK178" s="70">
        <f t="shared" si="180"/>
        <v>0</v>
      </c>
      <c r="AL178" s="71">
        <f t="shared" si="181"/>
        <v>0</v>
      </c>
      <c r="AM178" s="72">
        <f t="shared" si="150"/>
        <v>0</v>
      </c>
      <c r="AN178" s="134">
        <f t="shared" si="146"/>
        <v>0</v>
      </c>
      <c r="AO178" s="78">
        <f t="shared" si="182"/>
        <v>0</v>
      </c>
      <c r="AP178" s="79"/>
      <c r="AQ178" s="80"/>
      <c r="AR178" s="81"/>
      <c r="AS178" s="70">
        <f t="shared" si="183"/>
        <v>0</v>
      </c>
      <c r="AT178" s="71">
        <f t="shared" si="184"/>
        <v>0</v>
      </c>
      <c r="AU178" s="72">
        <f t="shared" si="151"/>
        <v>0</v>
      </c>
      <c r="AV178" s="134">
        <f t="shared" si="147"/>
        <v>0</v>
      </c>
      <c r="AW178" s="78">
        <f t="shared" si="185"/>
        <v>0.24</v>
      </c>
      <c r="AX178" s="79">
        <v>0.24</v>
      </c>
      <c r="AY178" s="80"/>
      <c r="AZ178" s="81"/>
      <c r="BA178" s="70">
        <f t="shared" si="186"/>
        <v>0.24</v>
      </c>
      <c r="BB178" s="71">
        <f t="shared" si="187"/>
        <v>0.24</v>
      </c>
      <c r="BC178" s="72">
        <f t="shared" si="152"/>
        <v>0</v>
      </c>
      <c r="BD178" s="134">
        <f t="shared" si="148"/>
        <v>0</v>
      </c>
      <c r="BE178" s="78">
        <f t="shared" si="188"/>
        <v>0</v>
      </c>
      <c r="BF178" s="79"/>
      <c r="BG178" s="80"/>
      <c r="BH178" s="81"/>
      <c r="BI178" s="70">
        <f t="shared" si="189"/>
        <v>0.24</v>
      </c>
      <c r="BJ178" s="71">
        <f t="shared" si="190"/>
        <v>0.24</v>
      </c>
      <c r="BK178" s="72">
        <f t="shared" si="153"/>
        <v>0</v>
      </c>
      <c r="BL178" s="134">
        <f t="shared" si="149"/>
        <v>0</v>
      </c>
    </row>
    <row r="179" spans="1:64" ht="12.9" x14ac:dyDescent="0.35">
      <c r="A179" s="45" t="s">
        <v>32</v>
      </c>
      <c r="B179" s="46" t="s">
        <v>46</v>
      </c>
      <c r="C179" s="161" t="s">
        <v>276</v>
      </c>
      <c r="D179" s="25" t="s">
        <v>125</v>
      </c>
      <c r="E179" s="78">
        <f t="shared" si="154"/>
        <v>1.2</v>
      </c>
      <c r="F179" s="79">
        <v>1.2</v>
      </c>
      <c r="G179" s="80"/>
      <c r="H179" s="81"/>
      <c r="I179" s="78">
        <f t="shared" si="172"/>
        <v>0</v>
      </c>
      <c r="J179" s="79"/>
      <c r="K179" s="80"/>
      <c r="L179" s="81"/>
      <c r="M179" s="70">
        <f t="shared" si="164"/>
        <v>1.2</v>
      </c>
      <c r="N179" s="71">
        <f t="shared" si="165"/>
        <v>1.2</v>
      </c>
      <c r="O179" s="72">
        <f t="shared" si="166"/>
        <v>0</v>
      </c>
      <c r="P179" s="134">
        <f t="shared" si="167"/>
        <v>0</v>
      </c>
      <c r="Q179" s="78">
        <f t="shared" si="173"/>
        <v>0</v>
      </c>
      <c r="R179" s="79"/>
      <c r="S179" s="80"/>
      <c r="T179" s="81"/>
      <c r="U179" s="70">
        <f t="shared" si="155"/>
        <v>1.2</v>
      </c>
      <c r="V179" s="71">
        <f t="shared" si="156"/>
        <v>1.2</v>
      </c>
      <c r="W179" s="72">
        <f t="shared" si="168"/>
        <v>0</v>
      </c>
      <c r="X179" s="134">
        <f t="shared" si="169"/>
        <v>0</v>
      </c>
      <c r="Y179" s="78">
        <f t="shared" si="174"/>
        <v>0</v>
      </c>
      <c r="Z179" s="79"/>
      <c r="AA179" s="80"/>
      <c r="AB179" s="81"/>
      <c r="AC179" s="70">
        <f t="shared" si="157"/>
        <v>1.2</v>
      </c>
      <c r="AD179" s="71">
        <f t="shared" si="158"/>
        <v>1.2</v>
      </c>
      <c r="AE179" s="72">
        <f t="shared" si="170"/>
        <v>0</v>
      </c>
      <c r="AF179" s="134">
        <f t="shared" si="171"/>
        <v>0</v>
      </c>
      <c r="AG179" s="78">
        <f t="shared" si="179"/>
        <v>0</v>
      </c>
      <c r="AH179" s="79"/>
      <c r="AI179" s="80"/>
      <c r="AJ179" s="81"/>
      <c r="AK179" s="70">
        <f t="shared" si="180"/>
        <v>1.2</v>
      </c>
      <c r="AL179" s="71">
        <f t="shared" si="181"/>
        <v>1.2</v>
      </c>
      <c r="AM179" s="72">
        <f t="shared" si="150"/>
        <v>0</v>
      </c>
      <c r="AN179" s="134">
        <f t="shared" si="146"/>
        <v>0</v>
      </c>
      <c r="AO179" s="78">
        <f t="shared" si="182"/>
        <v>0</v>
      </c>
      <c r="AP179" s="79"/>
      <c r="AQ179" s="80"/>
      <c r="AR179" s="81"/>
      <c r="AS179" s="70">
        <f t="shared" si="183"/>
        <v>1.2</v>
      </c>
      <c r="AT179" s="71">
        <f t="shared" si="184"/>
        <v>1.2</v>
      </c>
      <c r="AU179" s="72">
        <f t="shared" si="151"/>
        <v>0</v>
      </c>
      <c r="AV179" s="134">
        <f t="shared" si="147"/>
        <v>0</v>
      </c>
      <c r="AW179" s="78">
        <f t="shared" si="185"/>
        <v>-0.05</v>
      </c>
      <c r="AX179" s="79">
        <v>-0.05</v>
      </c>
      <c r="AY179" s="80"/>
      <c r="AZ179" s="81"/>
      <c r="BA179" s="70">
        <f t="shared" si="186"/>
        <v>1.1499999999999999</v>
      </c>
      <c r="BB179" s="71">
        <f t="shared" si="187"/>
        <v>1.1499999999999999</v>
      </c>
      <c r="BC179" s="72">
        <f t="shared" si="152"/>
        <v>0</v>
      </c>
      <c r="BD179" s="134">
        <f t="shared" si="148"/>
        <v>0</v>
      </c>
      <c r="BE179" s="78">
        <f t="shared" si="188"/>
        <v>0</v>
      </c>
      <c r="BF179" s="79"/>
      <c r="BG179" s="80"/>
      <c r="BH179" s="81"/>
      <c r="BI179" s="70">
        <f t="shared" si="189"/>
        <v>1.1499999999999999</v>
      </c>
      <c r="BJ179" s="71">
        <f t="shared" si="190"/>
        <v>1.1499999999999999</v>
      </c>
      <c r="BK179" s="72">
        <f t="shared" si="153"/>
        <v>0</v>
      </c>
      <c r="BL179" s="134">
        <f t="shared" si="149"/>
        <v>0</v>
      </c>
    </row>
    <row r="180" spans="1:64" ht="12.9" x14ac:dyDescent="0.35">
      <c r="A180" s="285" t="s">
        <v>7</v>
      </c>
      <c r="B180" s="237" t="s">
        <v>48</v>
      </c>
      <c r="C180" s="161" t="s">
        <v>289</v>
      </c>
      <c r="D180" s="25" t="s">
        <v>125</v>
      </c>
      <c r="E180" s="78">
        <f t="shared" si="154"/>
        <v>0</v>
      </c>
      <c r="F180" s="79"/>
      <c r="G180" s="80"/>
      <c r="H180" s="81"/>
      <c r="I180" s="78">
        <f t="shared" si="172"/>
        <v>0</v>
      </c>
      <c r="J180" s="79"/>
      <c r="K180" s="80"/>
      <c r="L180" s="81"/>
      <c r="M180" s="70">
        <f t="shared" si="164"/>
        <v>0</v>
      </c>
      <c r="N180" s="71">
        <f t="shared" si="165"/>
        <v>0</v>
      </c>
      <c r="O180" s="72">
        <f t="shared" si="166"/>
        <v>0</v>
      </c>
      <c r="P180" s="134">
        <f t="shared" si="167"/>
        <v>0</v>
      </c>
      <c r="Q180" s="78">
        <f t="shared" si="173"/>
        <v>0</v>
      </c>
      <c r="R180" s="79"/>
      <c r="S180" s="80"/>
      <c r="T180" s="81"/>
      <c r="U180" s="70">
        <f t="shared" si="155"/>
        <v>0</v>
      </c>
      <c r="V180" s="71">
        <f t="shared" si="156"/>
        <v>0</v>
      </c>
      <c r="W180" s="72">
        <f t="shared" si="168"/>
        <v>0</v>
      </c>
      <c r="X180" s="134">
        <f t="shared" si="169"/>
        <v>0</v>
      </c>
      <c r="Y180" s="78">
        <f t="shared" si="174"/>
        <v>0</v>
      </c>
      <c r="Z180" s="79"/>
      <c r="AA180" s="80"/>
      <c r="AB180" s="81"/>
      <c r="AC180" s="70">
        <f t="shared" si="157"/>
        <v>0</v>
      </c>
      <c r="AD180" s="71">
        <f t="shared" si="158"/>
        <v>0</v>
      </c>
      <c r="AE180" s="72">
        <f t="shared" si="170"/>
        <v>0</v>
      </c>
      <c r="AF180" s="134">
        <f t="shared" si="171"/>
        <v>0</v>
      </c>
      <c r="AG180" s="78">
        <f t="shared" si="179"/>
        <v>0</v>
      </c>
      <c r="AH180" s="79"/>
      <c r="AI180" s="80"/>
      <c r="AJ180" s="81"/>
      <c r="AK180" s="70">
        <f t="shared" si="180"/>
        <v>0</v>
      </c>
      <c r="AL180" s="71">
        <f t="shared" si="181"/>
        <v>0</v>
      </c>
      <c r="AM180" s="72">
        <f t="shared" si="150"/>
        <v>0</v>
      </c>
      <c r="AN180" s="134">
        <f t="shared" si="146"/>
        <v>0</v>
      </c>
      <c r="AO180" s="78">
        <f t="shared" si="182"/>
        <v>0</v>
      </c>
      <c r="AP180" s="79"/>
      <c r="AQ180" s="80"/>
      <c r="AR180" s="81"/>
      <c r="AS180" s="70">
        <f t="shared" si="183"/>
        <v>0</v>
      </c>
      <c r="AT180" s="71">
        <f t="shared" si="184"/>
        <v>0</v>
      </c>
      <c r="AU180" s="72">
        <f t="shared" si="151"/>
        <v>0</v>
      </c>
      <c r="AV180" s="134">
        <f t="shared" si="147"/>
        <v>0</v>
      </c>
      <c r="AW180" s="78">
        <f t="shared" si="185"/>
        <v>0</v>
      </c>
      <c r="AX180" s="79"/>
      <c r="AY180" s="80"/>
      <c r="AZ180" s="81"/>
      <c r="BA180" s="70">
        <f t="shared" si="186"/>
        <v>0</v>
      </c>
      <c r="BB180" s="71">
        <f t="shared" si="187"/>
        <v>0</v>
      </c>
      <c r="BC180" s="72">
        <f t="shared" si="152"/>
        <v>0</v>
      </c>
      <c r="BD180" s="134">
        <f t="shared" si="148"/>
        <v>0</v>
      </c>
      <c r="BE180" s="78">
        <f t="shared" si="188"/>
        <v>8</v>
      </c>
      <c r="BF180" s="79"/>
      <c r="BG180" s="80"/>
      <c r="BH180" s="81">
        <v>8</v>
      </c>
      <c r="BI180" s="70">
        <f t="shared" si="189"/>
        <v>8</v>
      </c>
      <c r="BJ180" s="71">
        <f t="shared" si="190"/>
        <v>0</v>
      </c>
      <c r="BK180" s="72">
        <f t="shared" si="153"/>
        <v>0</v>
      </c>
      <c r="BL180" s="134">
        <f t="shared" si="149"/>
        <v>8</v>
      </c>
    </row>
    <row r="181" spans="1:64" ht="12.9" x14ac:dyDescent="0.35">
      <c r="A181" s="286"/>
      <c r="B181" s="238"/>
      <c r="C181" s="161" t="s">
        <v>301</v>
      </c>
      <c r="D181" s="27" t="s">
        <v>137</v>
      </c>
      <c r="E181" s="123">
        <f t="shared" si="154"/>
        <v>0</v>
      </c>
      <c r="F181" s="124">
        <f>SUM(F183:F188)</f>
        <v>0</v>
      </c>
      <c r="G181" s="125">
        <f>SUM(G183:G188)</f>
        <v>0</v>
      </c>
      <c r="H181" s="126">
        <f>SUM(H183:H188)</f>
        <v>0</v>
      </c>
      <c r="I181" s="123">
        <f t="shared" si="172"/>
        <v>0</v>
      </c>
      <c r="J181" s="124">
        <f>SUM(J183:J188)</f>
        <v>0</v>
      </c>
      <c r="K181" s="125">
        <f>SUM(K183:K188)</f>
        <v>0</v>
      </c>
      <c r="L181" s="126">
        <f>SUM(L183:L188)</f>
        <v>0</v>
      </c>
      <c r="M181" s="70">
        <f t="shared" si="164"/>
        <v>0</v>
      </c>
      <c r="N181" s="71">
        <f t="shared" si="165"/>
        <v>0</v>
      </c>
      <c r="O181" s="72">
        <f t="shared" si="166"/>
        <v>0</v>
      </c>
      <c r="P181" s="134">
        <f t="shared" si="167"/>
        <v>0</v>
      </c>
      <c r="Q181" s="123">
        <f t="shared" si="173"/>
        <v>0</v>
      </c>
      <c r="R181" s="124">
        <f>SUM(R183:R188)</f>
        <v>0</v>
      </c>
      <c r="S181" s="125">
        <f>SUM(S183:S188)</f>
        <v>0</v>
      </c>
      <c r="T181" s="126">
        <f>SUM(T183:T188)</f>
        <v>0</v>
      </c>
      <c r="U181" s="70">
        <f t="shared" si="155"/>
        <v>0</v>
      </c>
      <c r="V181" s="71">
        <f t="shared" si="156"/>
        <v>0</v>
      </c>
      <c r="W181" s="72">
        <f t="shared" si="168"/>
        <v>0</v>
      </c>
      <c r="X181" s="134">
        <f t="shared" si="169"/>
        <v>0</v>
      </c>
      <c r="Y181" s="70">
        <f t="shared" si="174"/>
        <v>19.5</v>
      </c>
      <c r="Z181" s="165">
        <f>7.5+12</f>
        <v>19.5</v>
      </c>
      <c r="AA181" s="125">
        <f>SUM(AA183:AA188)</f>
        <v>0</v>
      </c>
      <c r="AB181" s="126">
        <f>SUM(AB183:AB188)</f>
        <v>0</v>
      </c>
      <c r="AC181" s="70">
        <f t="shared" si="157"/>
        <v>19.5</v>
      </c>
      <c r="AD181" s="71">
        <f t="shared" si="158"/>
        <v>19.5</v>
      </c>
      <c r="AE181" s="72">
        <f t="shared" si="170"/>
        <v>0</v>
      </c>
      <c r="AF181" s="134">
        <f t="shared" si="171"/>
        <v>0</v>
      </c>
      <c r="AG181" s="70">
        <f t="shared" si="179"/>
        <v>0</v>
      </c>
      <c r="AH181" s="71"/>
      <c r="AI181" s="125"/>
      <c r="AJ181" s="126">
        <f>SUM(AJ183:AJ188)</f>
        <v>0</v>
      </c>
      <c r="AK181" s="70">
        <f t="shared" si="180"/>
        <v>19.5</v>
      </c>
      <c r="AL181" s="71">
        <f t="shared" si="181"/>
        <v>19.5</v>
      </c>
      <c r="AM181" s="72">
        <f t="shared" si="150"/>
        <v>0</v>
      </c>
      <c r="AN181" s="134">
        <f t="shared" si="146"/>
        <v>0</v>
      </c>
      <c r="AO181" s="70">
        <f t="shared" si="182"/>
        <v>0</v>
      </c>
      <c r="AP181" s="71"/>
      <c r="AQ181" s="125"/>
      <c r="AR181" s="126">
        <f>SUM(AR183:AR188)</f>
        <v>0</v>
      </c>
      <c r="AS181" s="70">
        <f t="shared" si="183"/>
        <v>19.5</v>
      </c>
      <c r="AT181" s="71">
        <f t="shared" si="184"/>
        <v>19.5</v>
      </c>
      <c r="AU181" s="72">
        <f t="shared" si="151"/>
        <v>0</v>
      </c>
      <c r="AV181" s="134">
        <f t="shared" si="147"/>
        <v>0</v>
      </c>
      <c r="AW181" s="70">
        <f t="shared" si="185"/>
        <v>0</v>
      </c>
      <c r="AX181" s="71"/>
      <c r="AY181" s="125"/>
      <c r="AZ181" s="126">
        <f>SUM(AZ183:AZ188)</f>
        <v>0</v>
      </c>
      <c r="BA181" s="70">
        <f t="shared" si="186"/>
        <v>19.5</v>
      </c>
      <c r="BB181" s="71">
        <f t="shared" si="187"/>
        <v>19.5</v>
      </c>
      <c r="BC181" s="72">
        <f t="shared" si="152"/>
        <v>0</v>
      </c>
      <c r="BD181" s="134">
        <f t="shared" si="148"/>
        <v>0</v>
      </c>
      <c r="BE181" s="70">
        <f t="shared" si="188"/>
        <v>0</v>
      </c>
      <c r="BF181" s="71"/>
      <c r="BG181" s="125"/>
      <c r="BH181" s="126">
        <f>SUM(BH183:BH188)</f>
        <v>0</v>
      </c>
      <c r="BI181" s="70">
        <f t="shared" si="189"/>
        <v>19.5</v>
      </c>
      <c r="BJ181" s="71">
        <f t="shared" si="190"/>
        <v>19.5</v>
      </c>
      <c r="BK181" s="72">
        <f t="shared" si="153"/>
        <v>0</v>
      </c>
      <c r="BL181" s="134">
        <f t="shared" si="149"/>
        <v>0</v>
      </c>
    </row>
    <row r="182" spans="1:64" ht="12.9" hidden="1" x14ac:dyDescent="0.35">
      <c r="A182" s="43"/>
      <c r="B182" s="4"/>
      <c r="C182" s="44"/>
      <c r="D182" s="28"/>
      <c r="E182" s="78">
        <f t="shared" si="154"/>
        <v>0</v>
      </c>
      <c r="F182" s="79">
        <v>0</v>
      </c>
      <c r="G182" s="80">
        <v>0</v>
      </c>
      <c r="H182" s="81">
        <v>0</v>
      </c>
      <c r="I182" s="78">
        <f t="shared" si="172"/>
        <v>0</v>
      </c>
      <c r="J182" s="79">
        <v>0</v>
      </c>
      <c r="K182" s="80">
        <v>0</v>
      </c>
      <c r="L182" s="81">
        <v>0</v>
      </c>
      <c r="M182" s="70">
        <f t="shared" si="164"/>
        <v>0</v>
      </c>
      <c r="N182" s="71">
        <f t="shared" si="165"/>
        <v>0</v>
      </c>
      <c r="O182" s="72">
        <f t="shared" si="166"/>
        <v>0</v>
      </c>
      <c r="P182" s="134">
        <f t="shared" si="167"/>
        <v>0</v>
      </c>
      <c r="Q182" s="78">
        <f t="shared" si="173"/>
        <v>0</v>
      </c>
      <c r="R182" s="79">
        <v>0</v>
      </c>
      <c r="S182" s="80">
        <v>0</v>
      </c>
      <c r="T182" s="81">
        <v>0</v>
      </c>
      <c r="U182" s="70">
        <f t="shared" si="155"/>
        <v>0</v>
      </c>
      <c r="V182" s="71">
        <f t="shared" si="156"/>
        <v>0</v>
      </c>
      <c r="W182" s="72">
        <f t="shared" si="168"/>
        <v>0</v>
      </c>
      <c r="X182" s="134">
        <f t="shared" si="169"/>
        <v>0</v>
      </c>
      <c r="Y182" s="78">
        <f t="shared" si="174"/>
        <v>0</v>
      </c>
      <c r="Z182" s="79">
        <v>0</v>
      </c>
      <c r="AA182" s="80">
        <v>0</v>
      </c>
      <c r="AB182" s="81">
        <v>0</v>
      </c>
      <c r="AC182" s="70">
        <f t="shared" si="157"/>
        <v>0</v>
      </c>
      <c r="AD182" s="71">
        <f t="shared" si="158"/>
        <v>0</v>
      </c>
      <c r="AE182" s="72">
        <f t="shared" si="170"/>
        <v>0</v>
      </c>
      <c r="AF182" s="134">
        <f t="shared" si="171"/>
        <v>0</v>
      </c>
      <c r="AG182" s="78">
        <f t="shared" si="179"/>
        <v>0</v>
      </c>
      <c r="AH182" s="79">
        <v>0</v>
      </c>
      <c r="AI182" s="80">
        <v>0</v>
      </c>
      <c r="AJ182" s="81">
        <v>0</v>
      </c>
      <c r="AK182" s="70">
        <f t="shared" si="180"/>
        <v>0</v>
      </c>
      <c r="AL182" s="71">
        <f t="shared" si="181"/>
        <v>0</v>
      </c>
      <c r="AM182" s="72">
        <f t="shared" si="150"/>
        <v>0</v>
      </c>
      <c r="AN182" s="134">
        <f t="shared" si="146"/>
        <v>0</v>
      </c>
      <c r="AO182" s="78">
        <f t="shared" si="182"/>
        <v>0</v>
      </c>
      <c r="AP182" s="79">
        <v>0</v>
      </c>
      <c r="AQ182" s="80">
        <v>0</v>
      </c>
      <c r="AR182" s="81">
        <v>0</v>
      </c>
      <c r="AS182" s="70">
        <f t="shared" si="183"/>
        <v>0</v>
      </c>
      <c r="AT182" s="71">
        <f t="shared" si="184"/>
        <v>0</v>
      </c>
      <c r="AU182" s="72">
        <f t="shared" si="151"/>
        <v>0</v>
      </c>
      <c r="AV182" s="134">
        <f t="shared" si="147"/>
        <v>0</v>
      </c>
      <c r="AW182" s="78">
        <f t="shared" si="185"/>
        <v>0</v>
      </c>
      <c r="AX182" s="79">
        <v>0</v>
      </c>
      <c r="AY182" s="80">
        <v>0</v>
      </c>
      <c r="AZ182" s="81">
        <v>0</v>
      </c>
      <c r="BA182" s="70">
        <f t="shared" si="186"/>
        <v>0</v>
      </c>
      <c r="BB182" s="71">
        <f t="shared" si="187"/>
        <v>0</v>
      </c>
      <c r="BC182" s="72">
        <f t="shared" si="152"/>
        <v>0</v>
      </c>
      <c r="BD182" s="134">
        <f t="shared" si="148"/>
        <v>0</v>
      </c>
      <c r="BE182" s="78">
        <f t="shared" si="188"/>
        <v>0</v>
      </c>
      <c r="BF182" s="79">
        <v>0</v>
      </c>
      <c r="BG182" s="80">
        <v>0</v>
      </c>
      <c r="BH182" s="81">
        <v>0</v>
      </c>
      <c r="BI182" s="70">
        <f t="shared" si="189"/>
        <v>0</v>
      </c>
      <c r="BJ182" s="71">
        <f t="shared" si="190"/>
        <v>0</v>
      </c>
      <c r="BK182" s="72">
        <f t="shared" si="153"/>
        <v>0</v>
      </c>
      <c r="BL182" s="134">
        <f t="shared" si="149"/>
        <v>0</v>
      </c>
    </row>
    <row r="183" spans="1:64" ht="12.9" hidden="1" x14ac:dyDescent="0.35">
      <c r="A183" s="235"/>
      <c r="B183" s="237"/>
      <c r="C183" s="27"/>
      <c r="D183" s="25"/>
      <c r="E183" s="78">
        <f t="shared" si="154"/>
        <v>0</v>
      </c>
      <c r="F183" s="79"/>
      <c r="G183" s="80"/>
      <c r="H183" s="81"/>
      <c r="I183" s="78">
        <f t="shared" si="172"/>
        <v>0</v>
      </c>
      <c r="J183" s="79"/>
      <c r="K183" s="80"/>
      <c r="L183" s="81"/>
      <c r="M183" s="70">
        <f t="shared" si="164"/>
        <v>0</v>
      </c>
      <c r="N183" s="71">
        <f t="shared" si="165"/>
        <v>0</v>
      </c>
      <c r="O183" s="72">
        <f t="shared" si="166"/>
        <v>0</v>
      </c>
      <c r="P183" s="134">
        <f t="shared" si="167"/>
        <v>0</v>
      </c>
      <c r="Q183" s="78">
        <f t="shared" si="173"/>
        <v>0</v>
      </c>
      <c r="R183" s="79"/>
      <c r="S183" s="80"/>
      <c r="T183" s="81"/>
      <c r="U183" s="70">
        <f t="shared" si="155"/>
        <v>0</v>
      </c>
      <c r="V183" s="71">
        <f t="shared" si="156"/>
        <v>0</v>
      </c>
      <c r="W183" s="72">
        <f t="shared" si="168"/>
        <v>0</v>
      </c>
      <c r="X183" s="134">
        <f t="shared" si="169"/>
        <v>0</v>
      </c>
      <c r="Y183" s="78">
        <f t="shared" si="174"/>
        <v>0</v>
      </c>
      <c r="Z183" s="79"/>
      <c r="AA183" s="80"/>
      <c r="AB183" s="81"/>
      <c r="AC183" s="70">
        <f t="shared" si="157"/>
        <v>0</v>
      </c>
      <c r="AD183" s="71">
        <f t="shared" si="158"/>
        <v>0</v>
      </c>
      <c r="AE183" s="72">
        <f t="shared" si="170"/>
        <v>0</v>
      </c>
      <c r="AF183" s="134">
        <f t="shared" si="171"/>
        <v>0</v>
      </c>
      <c r="AG183" s="78">
        <f t="shared" si="179"/>
        <v>0</v>
      </c>
      <c r="AH183" s="79"/>
      <c r="AI183" s="80"/>
      <c r="AJ183" s="81"/>
      <c r="AK183" s="70">
        <f t="shared" si="180"/>
        <v>0</v>
      </c>
      <c r="AL183" s="71">
        <f t="shared" si="181"/>
        <v>0</v>
      </c>
      <c r="AM183" s="72">
        <f t="shared" si="150"/>
        <v>0</v>
      </c>
      <c r="AN183" s="134">
        <f t="shared" si="146"/>
        <v>0</v>
      </c>
      <c r="AO183" s="78">
        <f t="shared" si="182"/>
        <v>0</v>
      </c>
      <c r="AP183" s="79"/>
      <c r="AQ183" s="80"/>
      <c r="AR183" s="81"/>
      <c r="AS183" s="70">
        <f t="shared" si="183"/>
        <v>0</v>
      </c>
      <c r="AT183" s="71">
        <f t="shared" si="184"/>
        <v>0</v>
      </c>
      <c r="AU183" s="72">
        <f t="shared" si="151"/>
        <v>0</v>
      </c>
      <c r="AV183" s="134">
        <f t="shared" si="147"/>
        <v>0</v>
      </c>
      <c r="AW183" s="78">
        <f t="shared" si="185"/>
        <v>0</v>
      </c>
      <c r="AX183" s="79"/>
      <c r="AY183" s="80"/>
      <c r="AZ183" s="81"/>
      <c r="BA183" s="70">
        <f t="shared" si="186"/>
        <v>0</v>
      </c>
      <c r="BB183" s="71">
        <f t="shared" si="187"/>
        <v>0</v>
      </c>
      <c r="BC183" s="72">
        <f t="shared" si="152"/>
        <v>0</v>
      </c>
      <c r="BD183" s="134">
        <f t="shared" si="148"/>
        <v>0</v>
      </c>
      <c r="BE183" s="78">
        <f t="shared" si="188"/>
        <v>0</v>
      </c>
      <c r="BF183" s="79"/>
      <c r="BG183" s="80"/>
      <c r="BH183" s="81"/>
      <c r="BI183" s="70">
        <f t="shared" si="189"/>
        <v>0</v>
      </c>
      <c r="BJ183" s="71">
        <f t="shared" si="190"/>
        <v>0</v>
      </c>
      <c r="BK183" s="72">
        <f t="shared" si="153"/>
        <v>0</v>
      </c>
      <c r="BL183" s="134">
        <f t="shared" si="149"/>
        <v>0</v>
      </c>
    </row>
    <row r="184" spans="1:64" ht="12.9" hidden="1" x14ac:dyDescent="0.35">
      <c r="A184" s="244"/>
      <c r="B184" s="243"/>
      <c r="C184" s="27"/>
      <c r="D184" s="25"/>
      <c r="E184" s="78">
        <f t="shared" si="154"/>
        <v>0</v>
      </c>
      <c r="F184" s="79"/>
      <c r="G184" s="80"/>
      <c r="H184" s="81"/>
      <c r="I184" s="78">
        <f t="shared" si="172"/>
        <v>0</v>
      </c>
      <c r="J184" s="79"/>
      <c r="K184" s="80"/>
      <c r="L184" s="81"/>
      <c r="M184" s="70">
        <f t="shared" si="164"/>
        <v>0</v>
      </c>
      <c r="N184" s="71">
        <f t="shared" si="165"/>
        <v>0</v>
      </c>
      <c r="O184" s="72">
        <f t="shared" si="166"/>
        <v>0</v>
      </c>
      <c r="P184" s="134">
        <f t="shared" si="167"/>
        <v>0</v>
      </c>
      <c r="Q184" s="78">
        <f t="shared" si="173"/>
        <v>0</v>
      </c>
      <c r="R184" s="79"/>
      <c r="S184" s="80"/>
      <c r="T184" s="81"/>
      <c r="U184" s="70">
        <f t="shared" si="155"/>
        <v>0</v>
      </c>
      <c r="V184" s="71">
        <f t="shared" si="156"/>
        <v>0</v>
      </c>
      <c r="W184" s="72">
        <f t="shared" si="168"/>
        <v>0</v>
      </c>
      <c r="X184" s="134">
        <f t="shared" si="169"/>
        <v>0</v>
      </c>
      <c r="Y184" s="78">
        <f t="shared" si="174"/>
        <v>0</v>
      </c>
      <c r="Z184" s="79"/>
      <c r="AA184" s="80"/>
      <c r="AB184" s="81"/>
      <c r="AC184" s="70">
        <f t="shared" si="157"/>
        <v>0</v>
      </c>
      <c r="AD184" s="71">
        <f t="shared" si="158"/>
        <v>0</v>
      </c>
      <c r="AE184" s="72">
        <f t="shared" si="170"/>
        <v>0</v>
      </c>
      <c r="AF184" s="134">
        <f t="shared" si="171"/>
        <v>0</v>
      </c>
      <c r="AG184" s="78">
        <f t="shared" si="179"/>
        <v>0</v>
      </c>
      <c r="AH184" s="79"/>
      <c r="AI184" s="80"/>
      <c r="AJ184" s="81"/>
      <c r="AK184" s="70">
        <f t="shared" si="180"/>
        <v>0</v>
      </c>
      <c r="AL184" s="71">
        <f t="shared" si="181"/>
        <v>0</v>
      </c>
      <c r="AM184" s="72">
        <f t="shared" si="150"/>
        <v>0</v>
      </c>
      <c r="AN184" s="134">
        <f t="shared" si="146"/>
        <v>0</v>
      </c>
      <c r="AO184" s="78">
        <f t="shared" si="182"/>
        <v>0</v>
      </c>
      <c r="AP184" s="79"/>
      <c r="AQ184" s="80"/>
      <c r="AR184" s="81"/>
      <c r="AS184" s="70">
        <f t="shared" si="183"/>
        <v>0</v>
      </c>
      <c r="AT184" s="71">
        <f t="shared" si="184"/>
        <v>0</v>
      </c>
      <c r="AU184" s="72">
        <f t="shared" si="151"/>
        <v>0</v>
      </c>
      <c r="AV184" s="134">
        <f t="shared" si="147"/>
        <v>0</v>
      </c>
      <c r="AW184" s="78">
        <f t="shared" si="185"/>
        <v>0</v>
      </c>
      <c r="AX184" s="79"/>
      <c r="AY184" s="80"/>
      <c r="AZ184" s="81"/>
      <c r="BA184" s="70">
        <f t="shared" si="186"/>
        <v>0</v>
      </c>
      <c r="BB184" s="71">
        <f t="shared" si="187"/>
        <v>0</v>
      </c>
      <c r="BC184" s="72">
        <f t="shared" si="152"/>
        <v>0</v>
      </c>
      <c r="BD184" s="134">
        <f t="shared" si="148"/>
        <v>0</v>
      </c>
      <c r="BE184" s="78">
        <f t="shared" si="188"/>
        <v>0</v>
      </c>
      <c r="BF184" s="79"/>
      <c r="BG184" s="80"/>
      <c r="BH184" s="81"/>
      <c r="BI184" s="70">
        <f t="shared" si="189"/>
        <v>0</v>
      </c>
      <c r="BJ184" s="71">
        <f t="shared" si="190"/>
        <v>0</v>
      </c>
      <c r="BK184" s="72">
        <f t="shared" si="153"/>
        <v>0</v>
      </c>
      <c r="BL184" s="134">
        <f t="shared" si="149"/>
        <v>0</v>
      </c>
    </row>
    <row r="185" spans="1:64" ht="12.9" hidden="1" x14ac:dyDescent="0.35">
      <c r="A185" s="244"/>
      <c r="B185" s="243"/>
      <c r="C185" s="27"/>
      <c r="D185" s="25"/>
      <c r="E185" s="78">
        <f t="shared" si="154"/>
        <v>0</v>
      </c>
      <c r="F185" s="79"/>
      <c r="G185" s="80"/>
      <c r="H185" s="81"/>
      <c r="I185" s="78">
        <f t="shared" si="172"/>
        <v>0</v>
      </c>
      <c r="J185" s="79"/>
      <c r="K185" s="80"/>
      <c r="L185" s="81"/>
      <c r="M185" s="70">
        <f t="shared" si="164"/>
        <v>0</v>
      </c>
      <c r="N185" s="71">
        <f t="shared" si="165"/>
        <v>0</v>
      </c>
      <c r="O185" s="72">
        <f t="shared" si="166"/>
        <v>0</v>
      </c>
      <c r="P185" s="134">
        <f t="shared" si="167"/>
        <v>0</v>
      </c>
      <c r="Q185" s="78">
        <f t="shared" si="173"/>
        <v>0</v>
      </c>
      <c r="R185" s="79"/>
      <c r="S185" s="80"/>
      <c r="T185" s="81"/>
      <c r="U185" s="70">
        <f t="shared" si="155"/>
        <v>0</v>
      </c>
      <c r="V185" s="71">
        <f t="shared" si="156"/>
        <v>0</v>
      </c>
      <c r="W185" s="72">
        <f t="shared" si="168"/>
        <v>0</v>
      </c>
      <c r="X185" s="134">
        <f t="shared" si="169"/>
        <v>0</v>
      </c>
      <c r="Y185" s="78">
        <f t="shared" si="174"/>
        <v>0</v>
      </c>
      <c r="Z185" s="79"/>
      <c r="AA185" s="80"/>
      <c r="AB185" s="81"/>
      <c r="AC185" s="70">
        <f t="shared" si="157"/>
        <v>0</v>
      </c>
      <c r="AD185" s="71">
        <f t="shared" si="158"/>
        <v>0</v>
      </c>
      <c r="AE185" s="72">
        <f t="shared" si="170"/>
        <v>0</v>
      </c>
      <c r="AF185" s="134">
        <f t="shared" si="171"/>
        <v>0</v>
      </c>
      <c r="AG185" s="78">
        <f t="shared" si="179"/>
        <v>0</v>
      </c>
      <c r="AH185" s="79"/>
      <c r="AI185" s="80"/>
      <c r="AJ185" s="81"/>
      <c r="AK185" s="70">
        <f t="shared" si="180"/>
        <v>0</v>
      </c>
      <c r="AL185" s="71">
        <f t="shared" si="181"/>
        <v>0</v>
      </c>
      <c r="AM185" s="72">
        <f t="shared" si="150"/>
        <v>0</v>
      </c>
      <c r="AN185" s="134">
        <f t="shared" si="146"/>
        <v>0</v>
      </c>
      <c r="AO185" s="78">
        <f t="shared" si="182"/>
        <v>0</v>
      </c>
      <c r="AP185" s="79"/>
      <c r="AQ185" s="80"/>
      <c r="AR185" s="81"/>
      <c r="AS185" s="70">
        <f t="shared" si="183"/>
        <v>0</v>
      </c>
      <c r="AT185" s="71">
        <f t="shared" si="184"/>
        <v>0</v>
      </c>
      <c r="AU185" s="72">
        <f t="shared" si="151"/>
        <v>0</v>
      </c>
      <c r="AV185" s="134">
        <f t="shared" si="147"/>
        <v>0</v>
      </c>
      <c r="AW185" s="78">
        <f t="shared" si="185"/>
        <v>0</v>
      </c>
      <c r="AX185" s="79"/>
      <c r="AY185" s="80"/>
      <c r="AZ185" s="81"/>
      <c r="BA185" s="70">
        <f t="shared" si="186"/>
        <v>0</v>
      </c>
      <c r="BB185" s="71">
        <f t="shared" si="187"/>
        <v>0</v>
      </c>
      <c r="BC185" s="72">
        <f t="shared" si="152"/>
        <v>0</v>
      </c>
      <c r="BD185" s="134">
        <f t="shared" si="148"/>
        <v>0</v>
      </c>
      <c r="BE185" s="78">
        <f t="shared" si="188"/>
        <v>0</v>
      </c>
      <c r="BF185" s="79"/>
      <c r="BG185" s="80"/>
      <c r="BH185" s="81"/>
      <c r="BI185" s="70">
        <f t="shared" si="189"/>
        <v>0</v>
      </c>
      <c r="BJ185" s="71">
        <f t="shared" si="190"/>
        <v>0</v>
      </c>
      <c r="BK185" s="72">
        <f t="shared" si="153"/>
        <v>0</v>
      </c>
      <c r="BL185" s="134">
        <f t="shared" si="149"/>
        <v>0</v>
      </c>
    </row>
    <row r="186" spans="1:64" ht="12.9" hidden="1" x14ac:dyDescent="0.35">
      <c r="A186" s="236"/>
      <c r="B186" s="238"/>
      <c r="C186" s="27"/>
      <c r="D186" s="25"/>
      <c r="E186" s="78">
        <f t="shared" si="154"/>
        <v>0</v>
      </c>
      <c r="F186" s="79"/>
      <c r="G186" s="80"/>
      <c r="H186" s="81"/>
      <c r="I186" s="78">
        <f t="shared" si="172"/>
        <v>0</v>
      </c>
      <c r="J186" s="79"/>
      <c r="K186" s="80"/>
      <c r="L186" s="81"/>
      <c r="M186" s="70">
        <f t="shared" si="164"/>
        <v>0</v>
      </c>
      <c r="N186" s="71">
        <f t="shared" si="165"/>
        <v>0</v>
      </c>
      <c r="O186" s="72">
        <f t="shared" si="166"/>
        <v>0</v>
      </c>
      <c r="P186" s="134">
        <f t="shared" si="167"/>
        <v>0</v>
      </c>
      <c r="Q186" s="78">
        <f t="shared" si="173"/>
        <v>0</v>
      </c>
      <c r="R186" s="79"/>
      <c r="S186" s="80"/>
      <c r="T186" s="81"/>
      <c r="U186" s="70">
        <f t="shared" si="155"/>
        <v>0</v>
      </c>
      <c r="V186" s="71">
        <f t="shared" si="156"/>
        <v>0</v>
      </c>
      <c r="W186" s="72">
        <f t="shared" si="168"/>
        <v>0</v>
      </c>
      <c r="X186" s="134">
        <f t="shared" si="169"/>
        <v>0</v>
      </c>
      <c r="Y186" s="78">
        <f t="shared" si="174"/>
        <v>0</v>
      </c>
      <c r="Z186" s="79"/>
      <c r="AA186" s="80"/>
      <c r="AB186" s="81"/>
      <c r="AC186" s="70">
        <f t="shared" si="157"/>
        <v>0</v>
      </c>
      <c r="AD186" s="71">
        <f t="shared" si="158"/>
        <v>0</v>
      </c>
      <c r="AE186" s="72">
        <f t="shared" si="170"/>
        <v>0</v>
      </c>
      <c r="AF186" s="134">
        <f t="shared" si="171"/>
        <v>0</v>
      </c>
      <c r="AG186" s="78">
        <f t="shared" si="179"/>
        <v>0</v>
      </c>
      <c r="AH186" s="79"/>
      <c r="AI186" s="80"/>
      <c r="AJ186" s="81"/>
      <c r="AK186" s="70">
        <f t="shared" si="180"/>
        <v>0</v>
      </c>
      <c r="AL186" s="71">
        <f t="shared" si="181"/>
        <v>0</v>
      </c>
      <c r="AM186" s="72">
        <f t="shared" si="150"/>
        <v>0</v>
      </c>
      <c r="AN186" s="134">
        <f t="shared" si="146"/>
        <v>0</v>
      </c>
      <c r="AO186" s="78">
        <f t="shared" si="182"/>
        <v>0</v>
      </c>
      <c r="AP186" s="79"/>
      <c r="AQ186" s="80"/>
      <c r="AR186" s="81"/>
      <c r="AS186" s="70">
        <f t="shared" si="183"/>
        <v>0</v>
      </c>
      <c r="AT186" s="71">
        <f t="shared" si="184"/>
        <v>0</v>
      </c>
      <c r="AU186" s="72">
        <f t="shared" si="151"/>
        <v>0</v>
      </c>
      <c r="AV186" s="134">
        <f t="shared" si="147"/>
        <v>0</v>
      </c>
      <c r="AW186" s="78">
        <f t="shared" si="185"/>
        <v>0</v>
      </c>
      <c r="AX186" s="79"/>
      <c r="AY186" s="80"/>
      <c r="AZ186" s="81"/>
      <c r="BA186" s="70">
        <f t="shared" si="186"/>
        <v>0</v>
      </c>
      <c r="BB186" s="71">
        <f t="shared" si="187"/>
        <v>0</v>
      </c>
      <c r="BC186" s="72">
        <f t="shared" si="152"/>
        <v>0</v>
      </c>
      <c r="BD186" s="134">
        <f t="shared" si="148"/>
        <v>0</v>
      </c>
      <c r="BE186" s="78">
        <f t="shared" si="188"/>
        <v>0</v>
      </c>
      <c r="BF186" s="79"/>
      <c r="BG186" s="80"/>
      <c r="BH186" s="81"/>
      <c r="BI186" s="70">
        <f t="shared" si="189"/>
        <v>0</v>
      </c>
      <c r="BJ186" s="71">
        <f t="shared" si="190"/>
        <v>0</v>
      </c>
      <c r="BK186" s="72">
        <f t="shared" si="153"/>
        <v>0</v>
      </c>
      <c r="BL186" s="134">
        <f t="shared" si="149"/>
        <v>0</v>
      </c>
    </row>
    <row r="187" spans="1:64" ht="12.9" hidden="1" x14ac:dyDescent="0.35">
      <c r="A187" s="45"/>
      <c r="B187" s="46"/>
      <c r="C187" s="27"/>
      <c r="D187" s="25"/>
      <c r="E187" s="78">
        <f t="shared" si="154"/>
        <v>0</v>
      </c>
      <c r="F187" s="79"/>
      <c r="G187" s="80"/>
      <c r="H187" s="81"/>
      <c r="I187" s="78">
        <f t="shared" si="172"/>
        <v>0</v>
      </c>
      <c r="J187" s="79"/>
      <c r="K187" s="80"/>
      <c r="L187" s="81"/>
      <c r="M187" s="70">
        <f t="shared" si="164"/>
        <v>0</v>
      </c>
      <c r="N187" s="71">
        <f t="shared" si="165"/>
        <v>0</v>
      </c>
      <c r="O187" s="72">
        <f t="shared" si="166"/>
        <v>0</v>
      </c>
      <c r="P187" s="134">
        <f t="shared" si="167"/>
        <v>0</v>
      </c>
      <c r="Q187" s="78">
        <f t="shared" si="173"/>
        <v>0</v>
      </c>
      <c r="R187" s="79"/>
      <c r="S187" s="80"/>
      <c r="T187" s="81"/>
      <c r="U187" s="70">
        <f t="shared" si="155"/>
        <v>0</v>
      </c>
      <c r="V187" s="71">
        <f t="shared" si="156"/>
        <v>0</v>
      </c>
      <c r="W187" s="72">
        <f t="shared" si="168"/>
        <v>0</v>
      </c>
      <c r="X187" s="134">
        <f t="shared" si="169"/>
        <v>0</v>
      </c>
      <c r="Y187" s="78">
        <f t="shared" si="174"/>
        <v>0</v>
      </c>
      <c r="Z187" s="79"/>
      <c r="AA187" s="80"/>
      <c r="AB187" s="81"/>
      <c r="AC187" s="70">
        <f t="shared" si="157"/>
        <v>0</v>
      </c>
      <c r="AD187" s="71">
        <f t="shared" si="158"/>
        <v>0</v>
      </c>
      <c r="AE187" s="72">
        <f t="shared" si="170"/>
        <v>0</v>
      </c>
      <c r="AF187" s="134">
        <f t="shared" si="171"/>
        <v>0</v>
      </c>
      <c r="AG187" s="78">
        <f t="shared" si="179"/>
        <v>0</v>
      </c>
      <c r="AH187" s="79"/>
      <c r="AI187" s="80"/>
      <c r="AJ187" s="81"/>
      <c r="AK187" s="70">
        <f t="shared" si="180"/>
        <v>0</v>
      </c>
      <c r="AL187" s="71">
        <f t="shared" si="181"/>
        <v>0</v>
      </c>
      <c r="AM187" s="72">
        <f t="shared" si="150"/>
        <v>0</v>
      </c>
      <c r="AN187" s="134">
        <f t="shared" si="146"/>
        <v>0</v>
      </c>
      <c r="AO187" s="78">
        <f t="shared" si="182"/>
        <v>0</v>
      </c>
      <c r="AP187" s="79"/>
      <c r="AQ187" s="80"/>
      <c r="AR187" s="81"/>
      <c r="AS187" s="70">
        <f t="shared" si="183"/>
        <v>0</v>
      </c>
      <c r="AT187" s="71">
        <f t="shared" si="184"/>
        <v>0</v>
      </c>
      <c r="AU187" s="72">
        <f t="shared" si="151"/>
        <v>0</v>
      </c>
      <c r="AV187" s="134">
        <f t="shared" si="147"/>
        <v>0</v>
      </c>
      <c r="AW187" s="78">
        <f t="shared" si="185"/>
        <v>0</v>
      </c>
      <c r="AX187" s="79"/>
      <c r="AY187" s="80"/>
      <c r="AZ187" s="81"/>
      <c r="BA187" s="70">
        <f t="shared" si="186"/>
        <v>0</v>
      </c>
      <c r="BB187" s="71">
        <f t="shared" si="187"/>
        <v>0</v>
      </c>
      <c r="BC187" s="72">
        <f t="shared" si="152"/>
        <v>0</v>
      </c>
      <c r="BD187" s="134">
        <f t="shared" si="148"/>
        <v>0</v>
      </c>
      <c r="BE187" s="78">
        <f t="shared" si="188"/>
        <v>0</v>
      </c>
      <c r="BF187" s="79"/>
      <c r="BG187" s="80"/>
      <c r="BH187" s="81"/>
      <c r="BI187" s="70">
        <f t="shared" si="189"/>
        <v>0</v>
      </c>
      <c r="BJ187" s="71">
        <f t="shared" si="190"/>
        <v>0</v>
      </c>
      <c r="BK187" s="72">
        <f t="shared" si="153"/>
        <v>0</v>
      </c>
      <c r="BL187" s="134">
        <f t="shared" si="149"/>
        <v>0</v>
      </c>
    </row>
    <row r="188" spans="1:64" ht="12.9" hidden="1" x14ac:dyDescent="0.35">
      <c r="A188" s="118"/>
      <c r="B188" s="76"/>
      <c r="C188" s="27"/>
      <c r="D188" s="25"/>
      <c r="E188" s="78">
        <f t="shared" si="154"/>
        <v>0</v>
      </c>
      <c r="F188" s="79"/>
      <c r="G188" s="80"/>
      <c r="H188" s="81"/>
      <c r="I188" s="78">
        <f t="shared" si="172"/>
        <v>0</v>
      </c>
      <c r="J188" s="79"/>
      <c r="K188" s="80"/>
      <c r="L188" s="81"/>
      <c r="M188" s="70">
        <f t="shared" si="164"/>
        <v>0</v>
      </c>
      <c r="N188" s="71">
        <f t="shared" si="165"/>
        <v>0</v>
      </c>
      <c r="O188" s="72">
        <f t="shared" si="166"/>
        <v>0</v>
      </c>
      <c r="P188" s="134">
        <f t="shared" si="167"/>
        <v>0</v>
      </c>
      <c r="Q188" s="78">
        <f t="shared" si="173"/>
        <v>0</v>
      </c>
      <c r="R188" s="79"/>
      <c r="S188" s="80"/>
      <c r="T188" s="81"/>
      <c r="U188" s="70">
        <f t="shared" si="155"/>
        <v>0</v>
      </c>
      <c r="V188" s="71">
        <f t="shared" si="156"/>
        <v>0</v>
      </c>
      <c r="W188" s="72">
        <f t="shared" si="168"/>
        <v>0</v>
      </c>
      <c r="X188" s="134">
        <f t="shared" si="169"/>
        <v>0</v>
      </c>
      <c r="Y188" s="78">
        <f t="shared" si="174"/>
        <v>0</v>
      </c>
      <c r="Z188" s="79"/>
      <c r="AA188" s="80"/>
      <c r="AB188" s="81"/>
      <c r="AC188" s="70">
        <f t="shared" si="157"/>
        <v>0</v>
      </c>
      <c r="AD188" s="71">
        <f t="shared" si="158"/>
        <v>0</v>
      </c>
      <c r="AE188" s="72">
        <f t="shared" si="170"/>
        <v>0</v>
      </c>
      <c r="AF188" s="134">
        <f t="shared" si="171"/>
        <v>0</v>
      </c>
      <c r="AG188" s="78">
        <f t="shared" si="179"/>
        <v>0</v>
      </c>
      <c r="AH188" s="79"/>
      <c r="AI188" s="80"/>
      <c r="AJ188" s="81"/>
      <c r="AK188" s="70">
        <f t="shared" si="180"/>
        <v>0</v>
      </c>
      <c r="AL188" s="71">
        <f t="shared" si="181"/>
        <v>0</v>
      </c>
      <c r="AM188" s="72">
        <f t="shared" si="150"/>
        <v>0</v>
      </c>
      <c r="AN188" s="134">
        <f t="shared" si="146"/>
        <v>0</v>
      </c>
      <c r="AO188" s="78">
        <f t="shared" si="182"/>
        <v>0</v>
      </c>
      <c r="AP188" s="79"/>
      <c r="AQ188" s="80"/>
      <c r="AR188" s="81"/>
      <c r="AS188" s="70">
        <f t="shared" si="183"/>
        <v>0</v>
      </c>
      <c r="AT188" s="71">
        <f t="shared" si="184"/>
        <v>0</v>
      </c>
      <c r="AU188" s="72">
        <f t="shared" si="151"/>
        <v>0</v>
      </c>
      <c r="AV188" s="134">
        <f t="shared" si="147"/>
        <v>0</v>
      </c>
      <c r="AW188" s="78">
        <f t="shared" si="185"/>
        <v>0</v>
      </c>
      <c r="AX188" s="79"/>
      <c r="AY188" s="80"/>
      <c r="AZ188" s="81"/>
      <c r="BA188" s="70">
        <f t="shared" si="186"/>
        <v>0</v>
      </c>
      <c r="BB188" s="71">
        <f t="shared" si="187"/>
        <v>0</v>
      </c>
      <c r="BC188" s="72">
        <f t="shared" si="152"/>
        <v>0</v>
      </c>
      <c r="BD188" s="134">
        <f t="shared" si="148"/>
        <v>0</v>
      </c>
      <c r="BE188" s="78">
        <f t="shared" si="188"/>
        <v>0</v>
      </c>
      <c r="BF188" s="79"/>
      <c r="BG188" s="80"/>
      <c r="BH188" s="81"/>
      <c r="BI188" s="70">
        <f t="shared" si="189"/>
        <v>0</v>
      </c>
      <c r="BJ188" s="71">
        <f t="shared" si="190"/>
        <v>0</v>
      </c>
      <c r="BK188" s="72">
        <f t="shared" si="153"/>
        <v>0</v>
      </c>
      <c r="BL188" s="134">
        <f t="shared" si="149"/>
        <v>0</v>
      </c>
    </row>
    <row r="189" spans="1:64" ht="12.9" hidden="1" x14ac:dyDescent="0.35">
      <c r="A189" s="118" t="s">
        <v>7</v>
      </c>
      <c r="B189" s="23" t="s">
        <v>48</v>
      </c>
      <c r="C189" s="27" t="s">
        <v>200</v>
      </c>
      <c r="D189" s="25" t="s">
        <v>125</v>
      </c>
      <c r="E189" s="78">
        <f t="shared" si="154"/>
        <v>0</v>
      </c>
      <c r="F189" s="79">
        <v>0</v>
      </c>
      <c r="G189" s="80">
        <v>0</v>
      </c>
      <c r="H189" s="81">
        <v>0</v>
      </c>
      <c r="I189" s="78">
        <f t="shared" si="172"/>
        <v>0</v>
      </c>
      <c r="J189" s="79">
        <v>0</v>
      </c>
      <c r="K189" s="80">
        <v>0</v>
      </c>
      <c r="L189" s="81">
        <v>0</v>
      </c>
      <c r="M189" s="70">
        <f t="shared" si="164"/>
        <v>0</v>
      </c>
      <c r="N189" s="71">
        <f t="shared" si="165"/>
        <v>0</v>
      </c>
      <c r="O189" s="72">
        <f t="shared" si="166"/>
        <v>0</v>
      </c>
      <c r="P189" s="134">
        <f t="shared" si="167"/>
        <v>0</v>
      </c>
      <c r="Q189" s="78">
        <f t="shared" si="173"/>
        <v>0</v>
      </c>
      <c r="R189" s="79">
        <v>0</v>
      </c>
      <c r="S189" s="80">
        <v>0</v>
      </c>
      <c r="T189" s="81">
        <v>0</v>
      </c>
      <c r="U189" s="70">
        <f t="shared" si="155"/>
        <v>0</v>
      </c>
      <c r="V189" s="71">
        <f t="shared" si="156"/>
        <v>0</v>
      </c>
      <c r="W189" s="72">
        <f t="shared" si="168"/>
        <v>0</v>
      </c>
      <c r="X189" s="134">
        <f t="shared" si="169"/>
        <v>0</v>
      </c>
      <c r="Y189" s="78">
        <f t="shared" si="174"/>
        <v>0</v>
      </c>
      <c r="Z189" s="79">
        <v>0</v>
      </c>
      <c r="AA189" s="80">
        <v>0</v>
      </c>
      <c r="AB189" s="81">
        <v>0</v>
      </c>
      <c r="AC189" s="70">
        <f t="shared" si="157"/>
        <v>0</v>
      </c>
      <c r="AD189" s="71">
        <f t="shared" si="158"/>
        <v>0</v>
      </c>
      <c r="AE189" s="72">
        <f t="shared" si="170"/>
        <v>0</v>
      </c>
      <c r="AF189" s="134">
        <f t="shared" si="171"/>
        <v>0</v>
      </c>
      <c r="AG189" s="78">
        <f t="shared" si="179"/>
        <v>0</v>
      </c>
      <c r="AH189" s="79">
        <v>0</v>
      </c>
      <c r="AI189" s="80">
        <v>0</v>
      </c>
      <c r="AJ189" s="81">
        <v>0</v>
      </c>
      <c r="AK189" s="70">
        <f t="shared" si="180"/>
        <v>0</v>
      </c>
      <c r="AL189" s="71">
        <f t="shared" si="181"/>
        <v>0</v>
      </c>
      <c r="AM189" s="72">
        <f t="shared" si="150"/>
        <v>0</v>
      </c>
      <c r="AN189" s="134">
        <f t="shared" si="146"/>
        <v>0</v>
      </c>
      <c r="AO189" s="78">
        <f t="shared" si="182"/>
        <v>0</v>
      </c>
      <c r="AP189" s="79">
        <v>0</v>
      </c>
      <c r="AQ189" s="80">
        <v>0</v>
      </c>
      <c r="AR189" s="81">
        <v>0</v>
      </c>
      <c r="AS189" s="70">
        <f t="shared" si="183"/>
        <v>0</v>
      </c>
      <c r="AT189" s="71">
        <f t="shared" si="184"/>
        <v>0</v>
      </c>
      <c r="AU189" s="72">
        <f t="shared" si="151"/>
        <v>0</v>
      </c>
      <c r="AV189" s="134">
        <f t="shared" si="147"/>
        <v>0</v>
      </c>
      <c r="AW189" s="78">
        <f t="shared" si="185"/>
        <v>0</v>
      </c>
      <c r="AX189" s="79">
        <v>0</v>
      </c>
      <c r="AY189" s="80">
        <v>0</v>
      </c>
      <c r="AZ189" s="81">
        <v>0</v>
      </c>
      <c r="BA189" s="70">
        <f t="shared" si="186"/>
        <v>0</v>
      </c>
      <c r="BB189" s="71">
        <f t="shared" si="187"/>
        <v>0</v>
      </c>
      <c r="BC189" s="72">
        <f t="shared" si="152"/>
        <v>0</v>
      </c>
      <c r="BD189" s="134">
        <f t="shared" si="148"/>
        <v>0</v>
      </c>
      <c r="BE189" s="78">
        <f t="shared" si="188"/>
        <v>0</v>
      </c>
      <c r="BF189" s="79">
        <v>0</v>
      </c>
      <c r="BG189" s="80">
        <v>0</v>
      </c>
      <c r="BH189" s="81">
        <v>0</v>
      </c>
      <c r="BI189" s="70">
        <f t="shared" si="189"/>
        <v>0</v>
      </c>
      <c r="BJ189" s="71">
        <f t="shared" si="190"/>
        <v>0</v>
      </c>
      <c r="BK189" s="72">
        <f t="shared" si="153"/>
        <v>0</v>
      </c>
      <c r="BL189" s="134">
        <f t="shared" si="149"/>
        <v>0</v>
      </c>
    </row>
    <row r="190" spans="1:64" ht="12.9" hidden="1" x14ac:dyDescent="0.3">
      <c r="A190" s="41"/>
      <c r="B190" s="24"/>
      <c r="C190" s="42"/>
      <c r="D190" s="28"/>
      <c r="E190" s="123">
        <f t="shared" si="154"/>
        <v>0</v>
      </c>
      <c r="F190" s="124">
        <f>SUM(F192:F204)</f>
        <v>0</v>
      </c>
      <c r="G190" s="125">
        <f>SUM(G192:G194)</f>
        <v>0</v>
      </c>
      <c r="H190" s="126">
        <f>SUM(H192:H194)</f>
        <v>0</v>
      </c>
      <c r="I190" s="123">
        <f t="shared" si="172"/>
        <v>0</v>
      </c>
      <c r="J190" s="124">
        <f>SUM(J192:J204)</f>
        <v>0</v>
      </c>
      <c r="K190" s="125">
        <f>SUM(K192:K194)</f>
        <v>0</v>
      </c>
      <c r="L190" s="126">
        <f>SUM(L192:L194)</f>
        <v>0</v>
      </c>
      <c r="M190" s="70">
        <f t="shared" si="164"/>
        <v>0</v>
      </c>
      <c r="N190" s="71">
        <f t="shared" si="165"/>
        <v>0</v>
      </c>
      <c r="O190" s="72">
        <f t="shared" si="166"/>
        <v>0</v>
      </c>
      <c r="P190" s="134">
        <f t="shared" si="167"/>
        <v>0</v>
      </c>
      <c r="Q190" s="123">
        <f t="shared" si="173"/>
        <v>0</v>
      </c>
      <c r="R190" s="124">
        <f>SUM(R192:R204)</f>
        <v>0</v>
      </c>
      <c r="S190" s="125">
        <f>SUM(S192:S194)</f>
        <v>0</v>
      </c>
      <c r="T190" s="126">
        <f>SUM(T192:T194)</f>
        <v>0</v>
      </c>
      <c r="U190" s="70">
        <f t="shared" si="155"/>
        <v>0</v>
      </c>
      <c r="V190" s="71">
        <f t="shared" si="156"/>
        <v>0</v>
      </c>
      <c r="W190" s="72">
        <f t="shared" si="168"/>
        <v>0</v>
      </c>
      <c r="X190" s="134">
        <f t="shared" si="169"/>
        <v>0</v>
      </c>
      <c r="Y190" s="123">
        <f t="shared" si="174"/>
        <v>0</v>
      </c>
      <c r="Z190" s="124">
        <f>SUM(Z192:Z204)</f>
        <v>0</v>
      </c>
      <c r="AA190" s="125">
        <f>SUM(AA192:AA194)</f>
        <v>0</v>
      </c>
      <c r="AB190" s="126">
        <f>SUM(AB192:AB194)</f>
        <v>0</v>
      </c>
      <c r="AC190" s="70">
        <f t="shared" si="157"/>
        <v>0</v>
      </c>
      <c r="AD190" s="71">
        <f t="shared" si="158"/>
        <v>0</v>
      </c>
      <c r="AE190" s="72">
        <f t="shared" si="170"/>
        <v>0</v>
      </c>
      <c r="AF190" s="134">
        <f t="shared" si="171"/>
        <v>0</v>
      </c>
      <c r="AG190" s="123">
        <f t="shared" si="179"/>
        <v>0</v>
      </c>
      <c r="AH190" s="124">
        <f>SUM(AH192:AH204)</f>
        <v>0</v>
      </c>
      <c r="AI190" s="125">
        <f>SUM(AI192:AI194)</f>
        <v>0</v>
      </c>
      <c r="AJ190" s="126">
        <f>SUM(AJ192:AJ194)</f>
        <v>0</v>
      </c>
      <c r="AK190" s="70">
        <f t="shared" si="180"/>
        <v>0</v>
      </c>
      <c r="AL190" s="71">
        <f t="shared" si="181"/>
        <v>0</v>
      </c>
      <c r="AM190" s="72">
        <f t="shared" si="150"/>
        <v>0</v>
      </c>
      <c r="AN190" s="134">
        <f t="shared" si="146"/>
        <v>0</v>
      </c>
      <c r="AO190" s="123">
        <f t="shared" si="182"/>
        <v>0</v>
      </c>
      <c r="AP190" s="124">
        <f>SUM(AP192:AP204)</f>
        <v>0</v>
      </c>
      <c r="AQ190" s="125">
        <f>SUM(AQ192:AQ194)</f>
        <v>0</v>
      </c>
      <c r="AR190" s="126">
        <f>SUM(AR192:AR194)</f>
        <v>0</v>
      </c>
      <c r="AS190" s="70">
        <f t="shared" si="183"/>
        <v>0</v>
      </c>
      <c r="AT190" s="71">
        <f t="shared" si="184"/>
        <v>0</v>
      </c>
      <c r="AU190" s="72">
        <f t="shared" si="151"/>
        <v>0</v>
      </c>
      <c r="AV190" s="134">
        <f t="shared" si="147"/>
        <v>0</v>
      </c>
      <c r="AW190" s="123">
        <f t="shared" si="185"/>
        <v>0</v>
      </c>
      <c r="AX190" s="124">
        <f>SUM(AX192:AX204)</f>
        <v>0</v>
      </c>
      <c r="AY190" s="125">
        <f>SUM(AY192:AY194)</f>
        <v>0</v>
      </c>
      <c r="AZ190" s="126">
        <f>SUM(AZ192:AZ194)</f>
        <v>0</v>
      </c>
      <c r="BA190" s="70">
        <f t="shared" si="186"/>
        <v>0</v>
      </c>
      <c r="BB190" s="71">
        <f t="shared" si="187"/>
        <v>0</v>
      </c>
      <c r="BC190" s="72">
        <f t="shared" si="152"/>
        <v>0</v>
      </c>
      <c r="BD190" s="134">
        <f t="shared" si="148"/>
        <v>0</v>
      </c>
      <c r="BE190" s="123">
        <f t="shared" si="188"/>
        <v>0</v>
      </c>
      <c r="BF190" s="124">
        <f>SUM(BF192:BF204)</f>
        <v>0</v>
      </c>
      <c r="BG190" s="125">
        <f>SUM(BG192:BG194)</f>
        <v>0</v>
      </c>
      <c r="BH190" s="126">
        <f>SUM(BH192:BH194)</f>
        <v>0</v>
      </c>
      <c r="BI190" s="70">
        <f t="shared" si="189"/>
        <v>0</v>
      </c>
      <c r="BJ190" s="71">
        <f t="shared" si="190"/>
        <v>0</v>
      </c>
      <c r="BK190" s="72">
        <f t="shared" si="153"/>
        <v>0</v>
      </c>
      <c r="BL190" s="134">
        <f t="shared" si="149"/>
        <v>0</v>
      </c>
    </row>
    <row r="191" spans="1:64" ht="12.9" hidden="1" x14ac:dyDescent="0.35">
      <c r="A191" s="43"/>
      <c r="B191" s="4"/>
      <c r="C191" s="44"/>
      <c r="D191" s="28"/>
      <c r="E191" s="78">
        <f t="shared" si="154"/>
        <v>0</v>
      </c>
      <c r="F191" s="79">
        <v>0</v>
      </c>
      <c r="G191" s="80">
        <v>0</v>
      </c>
      <c r="H191" s="81">
        <v>0</v>
      </c>
      <c r="I191" s="78">
        <f t="shared" si="172"/>
        <v>0</v>
      </c>
      <c r="J191" s="79">
        <v>0</v>
      </c>
      <c r="K191" s="80">
        <v>0</v>
      </c>
      <c r="L191" s="81">
        <v>0</v>
      </c>
      <c r="M191" s="70">
        <f t="shared" si="164"/>
        <v>0</v>
      </c>
      <c r="N191" s="71">
        <f t="shared" si="165"/>
        <v>0</v>
      </c>
      <c r="O191" s="72">
        <f t="shared" si="166"/>
        <v>0</v>
      </c>
      <c r="P191" s="134">
        <f t="shared" si="167"/>
        <v>0</v>
      </c>
      <c r="Q191" s="78">
        <f t="shared" si="173"/>
        <v>0</v>
      </c>
      <c r="R191" s="79">
        <v>0</v>
      </c>
      <c r="S191" s="80">
        <v>0</v>
      </c>
      <c r="T191" s="81">
        <v>0</v>
      </c>
      <c r="U191" s="70">
        <f t="shared" si="155"/>
        <v>0</v>
      </c>
      <c r="V191" s="71">
        <f t="shared" si="156"/>
        <v>0</v>
      </c>
      <c r="W191" s="72">
        <f t="shared" si="168"/>
        <v>0</v>
      </c>
      <c r="X191" s="134">
        <f t="shared" si="169"/>
        <v>0</v>
      </c>
      <c r="Y191" s="78">
        <f t="shared" si="174"/>
        <v>0</v>
      </c>
      <c r="Z191" s="79">
        <v>0</v>
      </c>
      <c r="AA191" s="80">
        <v>0</v>
      </c>
      <c r="AB191" s="81">
        <v>0</v>
      </c>
      <c r="AC191" s="70">
        <f t="shared" si="157"/>
        <v>0</v>
      </c>
      <c r="AD191" s="71">
        <f t="shared" si="158"/>
        <v>0</v>
      </c>
      <c r="AE191" s="72">
        <f t="shared" si="170"/>
        <v>0</v>
      </c>
      <c r="AF191" s="134">
        <f t="shared" si="171"/>
        <v>0</v>
      </c>
      <c r="AG191" s="78">
        <f t="shared" si="179"/>
        <v>0</v>
      </c>
      <c r="AH191" s="79">
        <v>0</v>
      </c>
      <c r="AI191" s="80">
        <v>0</v>
      </c>
      <c r="AJ191" s="81">
        <v>0</v>
      </c>
      <c r="AK191" s="70">
        <f t="shared" si="180"/>
        <v>0</v>
      </c>
      <c r="AL191" s="71">
        <f t="shared" si="181"/>
        <v>0</v>
      </c>
      <c r="AM191" s="72">
        <f t="shared" si="150"/>
        <v>0</v>
      </c>
      <c r="AN191" s="134">
        <f t="shared" si="146"/>
        <v>0</v>
      </c>
      <c r="AO191" s="78">
        <f t="shared" si="182"/>
        <v>0</v>
      </c>
      <c r="AP191" s="79">
        <v>0</v>
      </c>
      <c r="AQ191" s="80">
        <v>0</v>
      </c>
      <c r="AR191" s="81">
        <v>0</v>
      </c>
      <c r="AS191" s="70">
        <f t="shared" si="183"/>
        <v>0</v>
      </c>
      <c r="AT191" s="71">
        <f t="shared" si="184"/>
        <v>0</v>
      </c>
      <c r="AU191" s="72">
        <f t="shared" si="151"/>
        <v>0</v>
      </c>
      <c r="AV191" s="134">
        <f t="shared" si="147"/>
        <v>0</v>
      </c>
      <c r="AW191" s="78">
        <f t="shared" si="185"/>
        <v>0</v>
      </c>
      <c r="AX191" s="79">
        <v>0</v>
      </c>
      <c r="AY191" s="80">
        <v>0</v>
      </c>
      <c r="AZ191" s="81">
        <v>0</v>
      </c>
      <c r="BA191" s="70">
        <f t="shared" si="186"/>
        <v>0</v>
      </c>
      <c r="BB191" s="71">
        <f t="shared" si="187"/>
        <v>0</v>
      </c>
      <c r="BC191" s="72">
        <f t="shared" si="152"/>
        <v>0</v>
      </c>
      <c r="BD191" s="134">
        <f t="shared" si="148"/>
        <v>0</v>
      </c>
      <c r="BE191" s="78">
        <f t="shared" si="188"/>
        <v>0</v>
      </c>
      <c r="BF191" s="79">
        <v>0</v>
      </c>
      <c r="BG191" s="80">
        <v>0</v>
      </c>
      <c r="BH191" s="81">
        <v>0</v>
      </c>
      <c r="BI191" s="70">
        <f t="shared" si="189"/>
        <v>0</v>
      </c>
      <c r="BJ191" s="71">
        <f t="shared" si="190"/>
        <v>0</v>
      </c>
      <c r="BK191" s="72">
        <f t="shared" si="153"/>
        <v>0</v>
      </c>
      <c r="BL191" s="134">
        <f t="shared" si="149"/>
        <v>0</v>
      </c>
    </row>
    <row r="192" spans="1:64" ht="12.9" hidden="1" x14ac:dyDescent="0.35">
      <c r="A192" s="25"/>
      <c r="B192" s="26"/>
      <c r="C192" s="27"/>
      <c r="D192" s="40"/>
      <c r="E192" s="78">
        <f t="shared" si="154"/>
        <v>0</v>
      </c>
      <c r="F192" s="79"/>
      <c r="G192" s="80"/>
      <c r="H192" s="81"/>
      <c r="I192" s="78">
        <f t="shared" si="172"/>
        <v>0</v>
      </c>
      <c r="J192" s="79"/>
      <c r="K192" s="80"/>
      <c r="L192" s="81"/>
      <c r="M192" s="70">
        <f t="shared" si="164"/>
        <v>0</v>
      </c>
      <c r="N192" s="71">
        <f t="shared" si="165"/>
        <v>0</v>
      </c>
      <c r="O192" s="72">
        <f t="shared" si="166"/>
        <v>0</v>
      </c>
      <c r="P192" s="134">
        <f t="shared" si="167"/>
        <v>0</v>
      </c>
      <c r="Q192" s="78">
        <f t="shared" si="173"/>
        <v>0</v>
      </c>
      <c r="R192" s="79"/>
      <c r="S192" s="80"/>
      <c r="T192" s="81"/>
      <c r="U192" s="70">
        <f t="shared" si="155"/>
        <v>0</v>
      </c>
      <c r="V192" s="71">
        <f t="shared" si="156"/>
        <v>0</v>
      </c>
      <c r="W192" s="72">
        <f t="shared" si="168"/>
        <v>0</v>
      </c>
      <c r="X192" s="134">
        <f t="shared" si="169"/>
        <v>0</v>
      </c>
      <c r="Y192" s="78">
        <f t="shared" si="174"/>
        <v>0</v>
      </c>
      <c r="Z192" s="79"/>
      <c r="AA192" s="80"/>
      <c r="AB192" s="81"/>
      <c r="AC192" s="70">
        <f t="shared" si="157"/>
        <v>0</v>
      </c>
      <c r="AD192" s="71">
        <f t="shared" si="158"/>
        <v>0</v>
      </c>
      <c r="AE192" s="72">
        <f t="shared" si="170"/>
        <v>0</v>
      </c>
      <c r="AF192" s="134">
        <f t="shared" si="171"/>
        <v>0</v>
      </c>
      <c r="AG192" s="78">
        <f t="shared" si="179"/>
        <v>0</v>
      </c>
      <c r="AH192" s="79"/>
      <c r="AI192" s="80"/>
      <c r="AJ192" s="81"/>
      <c r="AK192" s="70">
        <f t="shared" si="180"/>
        <v>0</v>
      </c>
      <c r="AL192" s="71">
        <f t="shared" si="181"/>
        <v>0</v>
      </c>
      <c r="AM192" s="72">
        <f t="shared" si="150"/>
        <v>0</v>
      </c>
      <c r="AN192" s="134">
        <f t="shared" si="146"/>
        <v>0</v>
      </c>
      <c r="AO192" s="78">
        <f t="shared" si="182"/>
        <v>0</v>
      </c>
      <c r="AP192" s="79"/>
      <c r="AQ192" s="80"/>
      <c r="AR192" s="81"/>
      <c r="AS192" s="70">
        <f t="shared" si="183"/>
        <v>0</v>
      </c>
      <c r="AT192" s="71">
        <f t="shared" si="184"/>
        <v>0</v>
      </c>
      <c r="AU192" s="72">
        <f t="shared" si="151"/>
        <v>0</v>
      </c>
      <c r="AV192" s="134">
        <f t="shared" si="147"/>
        <v>0</v>
      </c>
      <c r="AW192" s="78">
        <f t="shared" si="185"/>
        <v>0</v>
      </c>
      <c r="AX192" s="79"/>
      <c r="AY192" s="80"/>
      <c r="AZ192" s="81"/>
      <c r="BA192" s="70">
        <f t="shared" si="186"/>
        <v>0</v>
      </c>
      <c r="BB192" s="71">
        <f t="shared" si="187"/>
        <v>0</v>
      </c>
      <c r="BC192" s="72">
        <f t="shared" si="152"/>
        <v>0</v>
      </c>
      <c r="BD192" s="134">
        <f t="shared" si="148"/>
        <v>0</v>
      </c>
      <c r="BE192" s="78">
        <f t="shared" si="188"/>
        <v>0</v>
      </c>
      <c r="BF192" s="79"/>
      <c r="BG192" s="80"/>
      <c r="BH192" s="81"/>
      <c r="BI192" s="70">
        <f t="shared" si="189"/>
        <v>0</v>
      </c>
      <c r="BJ192" s="71">
        <f t="shared" si="190"/>
        <v>0</v>
      </c>
      <c r="BK192" s="72">
        <f t="shared" si="153"/>
        <v>0</v>
      </c>
      <c r="BL192" s="134">
        <f t="shared" si="149"/>
        <v>0</v>
      </c>
    </row>
    <row r="193" spans="1:64" ht="12.9" hidden="1" x14ac:dyDescent="0.35">
      <c r="A193" s="235"/>
      <c r="B193" s="237"/>
      <c r="C193" s="27"/>
      <c r="D193" s="25"/>
      <c r="E193" s="78">
        <f t="shared" si="154"/>
        <v>0</v>
      </c>
      <c r="F193" s="79"/>
      <c r="G193" s="80"/>
      <c r="H193" s="81"/>
      <c r="I193" s="78">
        <f t="shared" si="172"/>
        <v>0</v>
      </c>
      <c r="J193" s="79"/>
      <c r="K193" s="80"/>
      <c r="L193" s="81"/>
      <c r="M193" s="70">
        <f t="shared" si="164"/>
        <v>0</v>
      </c>
      <c r="N193" s="71">
        <f t="shared" si="165"/>
        <v>0</v>
      </c>
      <c r="O193" s="72">
        <f t="shared" si="166"/>
        <v>0</v>
      </c>
      <c r="P193" s="134">
        <f t="shared" si="167"/>
        <v>0</v>
      </c>
      <c r="Q193" s="78">
        <f t="shared" si="173"/>
        <v>0</v>
      </c>
      <c r="R193" s="79"/>
      <c r="S193" s="80"/>
      <c r="T193" s="81"/>
      <c r="U193" s="70">
        <f t="shared" si="155"/>
        <v>0</v>
      </c>
      <c r="V193" s="71">
        <f t="shared" si="156"/>
        <v>0</v>
      </c>
      <c r="W193" s="72">
        <f t="shared" si="168"/>
        <v>0</v>
      </c>
      <c r="X193" s="134">
        <f t="shared" si="169"/>
        <v>0</v>
      </c>
      <c r="Y193" s="78">
        <f t="shared" si="174"/>
        <v>0</v>
      </c>
      <c r="Z193" s="79"/>
      <c r="AA193" s="80"/>
      <c r="AB193" s="81"/>
      <c r="AC193" s="70">
        <f t="shared" si="157"/>
        <v>0</v>
      </c>
      <c r="AD193" s="71">
        <f t="shared" si="158"/>
        <v>0</v>
      </c>
      <c r="AE193" s="72">
        <f t="shared" si="170"/>
        <v>0</v>
      </c>
      <c r="AF193" s="134">
        <f t="shared" si="171"/>
        <v>0</v>
      </c>
      <c r="AG193" s="78">
        <f t="shared" si="179"/>
        <v>0</v>
      </c>
      <c r="AH193" s="79"/>
      <c r="AI193" s="80"/>
      <c r="AJ193" s="81"/>
      <c r="AK193" s="70">
        <f t="shared" si="180"/>
        <v>0</v>
      </c>
      <c r="AL193" s="71">
        <f t="shared" si="181"/>
        <v>0</v>
      </c>
      <c r="AM193" s="72">
        <f t="shared" si="150"/>
        <v>0</v>
      </c>
      <c r="AN193" s="134">
        <f t="shared" ref="AN193:AN215" si="191">AF193+AJ193</f>
        <v>0</v>
      </c>
      <c r="AO193" s="78">
        <f t="shared" si="182"/>
        <v>0</v>
      </c>
      <c r="AP193" s="79"/>
      <c r="AQ193" s="80"/>
      <c r="AR193" s="81"/>
      <c r="AS193" s="70">
        <f t="shared" si="183"/>
        <v>0</v>
      </c>
      <c r="AT193" s="71">
        <f t="shared" si="184"/>
        <v>0</v>
      </c>
      <c r="AU193" s="72">
        <f t="shared" si="151"/>
        <v>0</v>
      </c>
      <c r="AV193" s="134">
        <f t="shared" ref="AV193:AV215" si="192">AN193+AR193</f>
        <v>0</v>
      </c>
      <c r="AW193" s="78">
        <f t="shared" si="185"/>
        <v>0</v>
      </c>
      <c r="AX193" s="79"/>
      <c r="AY193" s="80"/>
      <c r="AZ193" s="81"/>
      <c r="BA193" s="70">
        <f t="shared" si="186"/>
        <v>0</v>
      </c>
      <c r="BB193" s="71">
        <f t="shared" si="187"/>
        <v>0</v>
      </c>
      <c r="BC193" s="72">
        <f t="shared" si="152"/>
        <v>0</v>
      </c>
      <c r="BD193" s="134">
        <f t="shared" ref="BD193:BD215" si="193">AV193+AZ193</f>
        <v>0</v>
      </c>
      <c r="BE193" s="78">
        <f t="shared" si="188"/>
        <v>0</v>
      </c>
      <c r="BF193" s="79"/>
      <c r="BG193" s="80"/>
      <c r="BH193" s="81"/>
      <c r="BI193" s="70">
        <f t="shared" si="189"/>
        <v>0</v>
      </c>
      <c r="BJ193" s="71">
        <f t="shared" si="190"/>
        <v>0</v>
      </c>
      <c r="BK193" s="72">
        <f t="shared" si="153"/>
        <v>0</v>
      </c>
      <c r="BL193" s="134">
        <f t="shared" ref="BL193:BL215" si="194">BD193+BH193</f>
        <v>0</v>
      </c>
    </row>
    <row r="194" spans="1:64" ht="12.9" hidden="1" x14ac:dyDescent="0.35">
      <c r="A194" s="244"/>
      <c r="B194" s="243"/>
      <c r="C194" s="27"/>
      <c r="D194" s="25"/>
      <c r="E194" s="78">
        <f t="shared" si="154"/>
        <v>0</v>
      </c>
      <c r="F194" s="79"/>
      <c r="G194" s="80"/>
      <c r="H194" s="81"/>
      <c r="I194" s="78">
        <f t="shared" si="172"/>
        <v>0</v>
      </c>
      <c r="J194" s="79"/>
      <c r="K194" s="80"/>
      <c r="L194" s="81"/>
      <c r="M194" s="70">
        <f t="shared" si="164"/>
        <v>0</v>
      </c>
      <c r="N194" s="71">
        <f t="shared" si="165"/>
        <v>0</v>
      </c>
      <c r="O194" s="72">
        <f t="shared" si="166"/>
        <v>0</v>
      </c>
      <c r="P194" s="134">
        <f t="shared" si="167"/>
        <v>0</v>
      </c>
      <c r="Q194" s="78">
        <f t="shared" si="173"/>
        <v>0</v>
      </c>
      <c r="R194" s="79"/>
      <c r="S194" s="80"/>
      <c r="T194" s="81"/>
      <c r="U194" s="70">
        <f t="shared" si="155"/>
        <v>0</v>
      </c>
      <c r="V194" s="71">
        <f t="shared" si="156"/>
        <v>0</v>
      </c>
      <c r="W194" s="72">
        <f t="shared" si="168"/>
        <v>0</v>
      </c>
      <c r="X194" s="134">
        <f t="shared" si="169"/>
        <v>0</v>
      </c>
      <c r="Y194" s="78">
        <f t="shared" si="174"/>
        <v>0</v>
      </c>
      <c r="Z194" s="79"/>
      <c r="AA194" s="80"/>
      <c r="AB194" s="81"/>
      <c r="AC194" s="70">
        <f t="shared" si="157"/>
        <v>0</v>
      </c>
      <c r="AD194" s="71">
        <f t="shared" si="158"/>
        <v>0</v>
      </c>
      <c r="AE194" s="72">
        <f t="shared" si="170"/>
        <v>0</v>
      </c>
      <c r="AF194" s="134">
        <f t="shared" si="171"/>
        <v>0</v>
      </c>
      <c r="AG194" s="78">
        <f t="shared" si="179"/>
        <v>0</v>
      </c>
      <c r="AH194" s="79"/>
      <c r="AI194" s="80"/>
      <c r="AJ194" s="81"/>
      <c r="AK194" s="70">
        <f t="shared" si="180"/>
        <v>0</v>
      </c>
      <c r="AL194" s="71">
        <f t="shared" si="181"/>
        <v>0</v>
      </c>
      <c r="AM194" s="72">
        <f t="shared" si="150"/>
        <v>0</v>
      </c>
      <c r="AN194" s="134">
        <f t="shared" si="191"/>
        <v>0</v>
      </c>
      <c r="AO194" s="78">
        <f t="shared" si="182"/>
        <v>0</v>
      </c>
      <c r="AP194" s="79"/>
      <c r="AQ194" s="80"/>
      <c r="AR194" s="81"/>
      <c r="AS194" s="70">
        <f t="shared" si="183"/>
        <v>0</v>
      </c>
      <c r="AT194" s="71">
        <f t="shared" si="184"/>
        <v>0</v>
      </c>
      <c r="AU194" s="72">
        <f t="shared" si="151"/>
        <v>0</v>
      </c>
      <c r="AV194" s="134">
        <f t="shared" si="192"/>
        <v>0</v>
      </c>
      <c r="AW194" s="78">
        <f t="shared" si="185"/>
        <v>0</v>
      </c>
      <c r="AX194" s="79"/>
      <c r="AY194" s="80"/>
      <c r="AZ194" s="81"/>
      <c r="BA194" s="70">
        <f t="shared" si="186"/>
        <v>0</v>
      </c>
      <c r="BB194" s="71">
        <f t="shared" si="187"/>
        <v>0</v>
      </c>
      <c r="BC194" s="72">
        <f t="shared" si="152"/>
        <v>0</v>
      </c>
      <c r="BD194" s="134">
        <f t="shared" si="193"/>
        <v>0</v>
      </c>
      <c r="BE194" s="78">
        <f t="shared" si="188"/>
        <v>0</v>
      </c>
      <c r="BF194" s="79"/>
      <c r="BG194" s="80"/>
      <c r="BH194" s="81"/>
      <c r="BI194" s="70">
        <f t="shared" si="189"/>
        <v>0</v>
      </c>
      <c r="BJ194" s="71">
        <f t="shared" si="190"/>
        <v>0</v>
      </c>
      <c r="BK194" s="72">
        <f t="shared" si="153"/>
        <v>0</v>
      </c>
      <c r="BL194" s="134">
        <f t="shared" si="194"/>
        <v>0</v>
      </c>
    </row>
    <row r="195" spans="1:64" ht="12.9" hidden="1" x14ac:dyDescent="0.35">
      <c r="A195" s="244"/>
      <c r="B195" s="243"/>
      <c r="C195" s="27"/>
      <c r="D195" s="25"/>
      <c r="E195" s="78">
        <f t="shared" si="154"/>
        <v>0</v>
      </c>
      <c r="F195" s="79"/>
      <c r="G195" s="80"/>
      <c r="H195" s="81"/>
      <c r="I195" s="78">
        <f t="shared" si="172"/>
        <v>0</v>
      </c>
      <c r="J195" s="79"/>
      <c r="K195" s="80"/>
      <c r="L195" s="81"/>
      <c r="M195" s="70">
        <f t="shared" si="164"/>
        <v>0</v>
      </c>
      <c r="N195" s="71">
        <f t="shared" si="165"/>
        <v>0</v>
      </c>
      <c r="O195" s="72">
        <f t="shared" si="166"/>
        <v>0</v>
      </c>
      <c r="P195" s="134">
        <f t="shared" si="167"/>
        <v>0</v>
      </c>
      <c r="Q195" s="78">
        <f t="shared" si="173"/>
        <v>0</v>
      </c>
      <c r="R195" s="79"/>
      <c r="S195" s="80"/>
      <c r="T195" s="81"/>
      <c r="U195" s="70">
        <f t="shared" si="155"/>
        <v>0</v>
      </c>
      <c r="V195" s="71">
        <f t="shared" si="156"/>
        <v>0</v>
      </c>
      <c r="W195" s="72">
        <f t="shared" si="168"/>
        <v>0</v>
      </c>
      <c r="X195" s="134">
        <f t="shared" si="169"/>
        <v>0</v>
      </c>
      <c r="Y195" s="78">
        <f t="shared" si="174"/>
        <v>0</v>
      </c>
      <c r="Z195" s="79"/>
      <c r="AA195" s="80"/>
      <c r="AB195" s="81"/>
      <c r="AC195" s="70">
        <f t="shared" si="157"/>
        <v>0</v>
      </c>
      <c r="AD195" s="71">
        <f t="shared" si="158"/>
        <v>0</v>
      </c>
      <c r="AE195" s="72">
        <f t="shared" si="170"/>
        <v>0</v>
      </c>
      <c r="AF195" s="134">
        <f t="shared" si="171"/>
        <v>0</v>
      </c>
      <c r="AG195" s="78">
        <f t="shared" si="179"/>
        <v>0</v>
      </c>
      <c r="AH195" s="79"/>
      <c r="AI195" s="80"/>
      <c r="AJ195" s="81"/>
      <c r="AK195" s="70">
        <f t="shared" si="180"/>
        <v>0</v>
      </c>
      <c r="AL195" s="71">
        <f t="shared" si="181"/>
        <v>0</v>
      </c>
      <c r="AM195" s="72">
        <f t="shared" si="150"/>
        <v>0</v>
      </c>
      <c r="AN195" s="134">
        <f t="shared" si="191"/>
        <v>0</v>
      </c>
      <c r="AO195" s="78">
        <f t="shared" si="182"/>
        <v>0</v>
      </c>
      <c r="AP195" s="79"/>
      <c r="AQ195" s="80"/>
      <c r="AR195" s="81"/>
      <c r="AS195" s="70">
        <f t="shared" si="183"/>
        <v>0</v>
      </c>
      <c r="AT195" s="71">
        <f t="shared" si="184"/>
        <v>0</v>
      </c>
      <c r="AU195" s="72">
        <f t="shared" si="151"/>
        <v>0</v>
      </c>
      <c r="AV195" s="134">
        <f t="shared" si="192"/>
        <v>0</v>
      </c>
      <c r="AW195" s="78">
        <f t="shared" si="185"/>
        <v>0</v>
      </c>
      <c r="AX195" s="79"/>
      <c r="AY195" s="80"/>
      <c r="AZ195" s="81"/>
      <c r="BA195" s="70">
        <f t="shared" si="186"/>
        <v>0</v>
      </c>
      <c r="BB195" s="71">
        <f t="shared" si="187"/>
        <v>0</v>
      </c>
      <c r="BC195" s="72">
        <f t="shared" si="152"/>
        <v>0</v>
      </c>
      <c r="BD195" s="134">
        <f t="shared" si="193"/>
        <v>0</v>
      </c>
      <c r="BE195" s="78">
        <f t="shared" si="188"/>
        <v>0</v>
      </c>
      <c r="BF195" s="79"/>
      <c r="BG195" s="80"/>
      <c r="BH195" s="81"/>
      <c r="BI195" s="70">
        <f t="shared" si="189"/>
        <v>0</v>
      </c>
      <c r="BJ195" s="71">
        <f t="shared" si="190"/>
        <v>0</v>
      </c>
      <c r="BK195" s="72">
        <f t="shared" si="153"/>
        <v>0</v>
      </c>
      <c r="BL195" s="134">
        <f t="shared" si="194"/>
        <v>0</v>
      </c>
    </row>
    <row r="196" spans="1:64" ht="12.9" hidden="1" x14ac:dyDescent="0.35">
      <c r="A196" s="236"/>
      <c r="B196" s="238"/>
      <c r="C196" s="27"/>
      <c r="D196" s="25"/>
      <c r="E196" s="78">
        <f t="shared" si="154"/>
        <v>0</v>
      </c>
      <c r="F196" s="79"/>
      <c r="G196" s="80"/>
      <c r="H196" s="81"/>
      <c r="I196" s="78">
        <f t="shared" si="172"/>
        <v>0</v>
      </c>
      <c r="J196" s="79"/>
      <c r="K196" s="80"/>
      <c r="L196" s="81"/>
      <c r="M196" s="70">
        <f t="shared" si="164"/>
        <v>0</v>
      </c>
      <c r="N196" s="71">
        <f t="shared" si="165"/>
        <v>0</v>
      </c>
      <c r="O196" s="72">
        <f t="shared" si="166"/>
        <v>0</v>
      </c>
      <c r="P196" s="134">
        <f t="shared" si="167"/>
        <v>0</v>
      </c>
      <c r="Q196" s="78">
        <f t="shared" si="173"/>
        <v>0</v>
      </c>
      <c r="R196" s="79"/>
      <c r="S196" s="80"/>
      <c r="T196" s="81"/>
      <c r="U196" s="70">
        <f t="shared" si="155"/>
        <v>0</v>
      </c>
      <c r="V196" s="71">
        <f t="shared" si="156"/>
        <v>0</v>
      </c>
      <c r="W196" s="72">
        <f t="shared" si="168"/>
        <v>0</v>
      </c>
      <c r="X196" s="134">
        <f t="shared" si="169"/>
        <v>0</v>
      </c>
      <c r="Y196" s="78">
        <f t="shared" si="174"/>
        <v>0</v>
      </c>
      <c r="Z196" s="79"/>
      <c r="AA196" s="80"/>
      <c r="AB196" s="81"/>
      <c r="AC196" s="70">
        <f t="shared" si="157"/>
        <v>0</v>
      </c>
      <c r="AD196" s="71">
        <f t="shared" si="158"/>
        <v>0</v>
      </c>
      <c r="AE196" s="72">
        <f t="shared" si="170"/>
        <v>0</v>
      </c>
      <c r="AF196" s="134">
        <f t="shared" si="171"/>
        <v>0</v>
      </c>
      <c r="AG196" s="78">
        <f t="shared" si="179"/>
        <v>0</v>
      </c>
      <c r="AH196" s="79"/>
      <c r="AI196" s="80"/>
      <c r="AJ196" s="81"/>
      <c r="AK196" s="70">
        <f t="shared" si="180"/>
        <v>0</v>
      </c>
      <c r="AL196" s="71">
        <f t="shared" si="181"/>
        <v>0</v>
      </c>
      <c r="AM196" s="72">
        <f t="shared" si="150"/>
        <v>0</v>
      </c>
      <c r="AN196" s="134">
        <f t="shared" si="191"/>
        <v>0</v>
      </c>
      <c r="AO196" s="78">
        <f t="shared" si="182"/>
        <v>0</v>
      </c>
      <c r="AP196" s="79"/>
      <c r="AQ196" s="80"/>
      <c r="AR196" s="81"/>
      <c r="AS196" s="70">
        <f t="shared" si="183"/>
        <v>0</v>
      </c>
      <c r="AT196" s="71">
        <f t="shared" si="184"/>
        <v>0</v>
      </c>
      <c r="AU196" s="72">
        <f t="shared" si="151"/>
        <v>0</v>
      </c>
      <c r="AV196" s="134">
        <f t="shared" si="192"/>
        <v>0</v>
      </c>
      <c r="AW196" s="78">
        <f t="shared" si="185"/>
        <v>0</v>
      </c>
      <c r="AX196" s="79"/>
      <c r="AY196" s="80"/>
      <c r="AZ196" s="81"/>
      <c r="BA196" s="70">
        <f t="shared" si="186"/>
        <v>0</v>
      </c>
      <c r="BB196" s="71">
        <f t="shared" si="187"/>
        <v>0</v>
      </c>
      <c r="BC196" s="72">
        <f t="shared" si="152"/>
        <v>0</v>
      </c>
      <c r="BD196" s="134">
        <f t="shared" si="193"/>
        <v>0</v>
      </c>
      <c r="BE196" s="78">
        <f t="shared" si="188"/>
        <v>0</v>
      </c>
      <c r="BF196" s="79"/>
      <c r="BG196" s="80"/>
      <c r="BH196" s="81"/>
      <c r="BI196" s="70">
        <f t="shared" si="189"/>
        <v>0</v>
      </c>
      <c r="BJ196" s="71">
        <f t="shared" si="190"/>
        <v>0</v>
      </c>
      <c r="BK196" s="72">
        <f t="shared" si="153"/>
        <v>0</v>
      </c>
      <c r="BL196" s="134">
        <f t="shared" si="194"/>
        <v>0</v>
      </c>
    </row>
    <row r="197" spans="1:64" ht="12.9" hidden="1" x14ac:dyDescent="0.35">
      <c r="A197" s="118"/>
      <c r="B197" s="23"/>
      <c r="C197" s="27"/>
      <c r="D197" s="25"/>
      <c r="E197" s="78">
        <f t="shared" si="154"/>
        <v>0</v>
      </c>
      <c r="F197" s="79"/>
      <c r="G197" s="80"/>
      <c r="H197" s="81"/>
      <c r="I197" s="78">
        <f t="shared" si="172"/>
        <v>0</v>
      </c>
      <c r="J197" s="79"/>
      <c r="K197" s="80"/>
      <c r="L197" s="81"/>
      <c r="M197" s="70">
        <f t="shared" si="164"/>
        <v>0</v>
      </c>
      <c r="N197" s="71">
        <f t="shared" si="165"/>
        <v>0</v>
      </c>
      <c r="O197" s="72">
        <f t="shared" si="166"/>
        <v>0</v>
      </c>
      <c r="P197" s="134">
        <f t="shared" si="167"/>
        <v>0</v>
      </c>
      <c r="Q197" s="78">
        <f t="shared" si="173"/>
        <v>0</v>
      </c>
      <c r="R197" s="79"/>
      <c r="S197" s="80"/>
      <c r="T197" s="81"/>
      <c r="U197" s="70">
        <f t="shared" si="155"/>
        <v>0</v>
      </c>
      <c r="V197" s="71">
        <f t="shared" si="156"/>
        <v>0</v>
      </c>
      <c r="W197" s="72">
        <f t="shared" si="168"/>
        <v>0</v>
      </c>
      <c r="X197" s="134">
        <f t="shared" si="169"/>
        <v>0</v>
      </c>
      <c r="Y197" s="78">
        <f t="shared" si="174"/>
        <v>0</v>
      </c>
      <c r="Z197" s="79"/>
      <c r="AA197" s="80"/>
      <c r="AB197" s="81"/>
      <c r="AC197" s="70">
        <f t="shared" si="157"/>
        <v>0</v>
      </c>
      <c r="AD197" s="71">
        <f t="shared" si="158"/>
        <v>0</v>
      </c>
      <c r="AE197" s="72">
        <f t="shared" si="170"/>
        <v>0</v>
      </c>
      <c r="AF197" s="134">
        <f t="shared" si="171"/>
        <v>0</v>
      </c>
      <c r="AG197" s="78">
        <f t="shared" si="179"/>
        <v>0</v>
      </c>
      <c r="AH197" s="79"/>
      <c r="AI197" s="80"/>
      <c r="AJ197" s="81"/>
      <c r="AK197" s="70">
        <f t="shared" si="180"/>
        <v>0</v>
      </c>
      <c r="AL197" s="71">
        <f t="shared" si="181"/>
        <v>0</v>
      </c>
      <c r="AM197" s="72">
        <f t="shared" si="150"/>
        <v>0</v>
      </c>
      <c r="AN197" s="134">
        <f t="shared" si="191"/>
        <v>0</v>
      </c>
      <c r="AO197" s="78">
        <f t="shared" si="182"/>
        <v>0</v>
      </c>
      <c r="AP197" s="79"/>
      <c r="AQ197" s="80"/>
      <c r="AR197" s="81"/>
      <c r="AS197" s="70">
        <f t="shared" si="183"/>
        <v>0</v>
      </c>
      <c r="AT197" s="71">
        <f t="shared" si="184"/>
        <v>0</v>
      </c>
      <c r="AU197" s="72">
        <f t="shared" si="151"/>
        <v>0</v>
      </c>
      <c r="AV197" s="134">
        <f t="shared" si="192"/>
        <v>0</v>
      </c>
      <c r="AW197" s="78">
        <f t="shared" si="185"/>
        <v>0</v>
      </c>
      <c r="AX197" s="79"/>
      <c r="AY197" s="80"/>
      <c r="AZ197" s="81"/>
      <c r="BA197" s="70">
        <f t="shared" si="186"/>
        <v>0</v>
      </c>
      <c r="BB197" s="71">
        <f t="shared" si="187"/>
        <v>0</v>
      </c>
      <c r="BC197" s="72">
        <f t="shared" si="152"/>
        <v>0</v>
      </c>
      <c r="BD197" s="134">
        <f t="shared" si="193"/>
        <v>0</v>
      </c>
      <c r="BE197" s="78">
        <f t="shared" si="188"/>
        <v>0</v>
      </c>
      <c r="BF197" s="79"/>
      <c r="BG197" s="80"/>
      <c r="BH197" s="81"/>
      <c r="BI197" s="70">
        <f t="shared" si="189"/>
        <v>0</v>
      </c>
      <c r="BJ197" s="71">
        <f t="shared" si="190"/>
        <v>0</v>
      </c>
      <c r="BK197" s="72">
        <f t="shared" si="153"/>
        <v>0</v>
      </c>
      <c r="BL197" s="134">
        <f t="shared" si="194"/>
        <v>0</v>
      </c>
    </row>
    <row r="198" spans="1:64" ht="12.9" hidden="1" x14ac:dyDescent="0.35">
      <c r="A198" s="118"/>
      <c r="B198" s="76"/>
      <c r="C198" s="27"/>
      <c r="D198" s="25"/>
      <c r="E198" s="78">
        <f t="shared" si="154"/>
        <v>0</v>
      </c>
      <c r="F198" s="79"/>
      <c r="G198" s="80"/>
      <c r="H198" s="81"/>
      <c r="I198" s="78">
        <f t="shared" si="172"/>
        <v>0</v>
      </c>
      <c r="J198" s="79"/>
      <c r="K198" s="80"/>
      <c r="L198" s="81"/>
      <c r="M198" s="70">
        <f t="shared" si="164"/>
        <v>0</v>
      </c>
      <c r="N198" s="71">
        <f t="shared" si="165"/>
        <v>0</v>
      </c>
      <c r="O198" s="72">
        <f t="shared" si="166"/>
        <v>0</v>
      </c>
      <c r="P198" s="134">
        <f t="shared" si="167"/>
        <v>0</v>
      </c>
      <c r="Q198" s="78">
        <f t="shared" si="173"/>
        <v>0</v>
      </c>
      <c r="R198" s="79"/>
      <c r="S198" s="80"/>
      <c r="T198" s="81"/>
      <c r="U198" s="70">
        <f t="shared" si="155"/>
        <v>0</v>
      </c>
      <c r="V198" s="71">
        <f t="shared" si="156"/>
        <v>0</v>
      </c>
      <c r="W198" s="72">
        <f t="shared" si="168"/>
        <v>0</v>
      </c>
      <c r="X198" s="134">
        <f t="shared" si="169"/>
        <v>0</v>
      </c>
      <c r="Y198" s="78">
        <f t="shared" si="174"/>
        <v>0</v>
      </c>
      <c r="Z198" s="79"/>
      <c r="AA198" s="80"/>
      <c r="AB198" s="81"/>
      <c r="AC198" s="70">
        <f t="shared" si="157"/>
        <v>0</v>
      </c>
      <c r="AD198" s="71">
        <f t="shared" si="158"/>
        <v>0</v>
      </c>
      <c r="AE198" s="72">
        <f t="shared" si="170"/>
        <v>0</v>
      </c>
      <c r="AF198" s="134">
        <f t="shared" si="171"/>
        <v>0</v>
      </c>
      <c r="AG198" s="78">
        <f t="shared" si="179"/>
        <v>0</v>
      </c>
      <c r="AH198" s="79"/>
      <c r="AI198" s="80"/>
      <c r="AJ198" s="81"/>
      <c r="AK198" s="70">
        <f t="shared" si="180"/>
        <v>0</v>
      </c>
      <c r="AL198" s="71">
        <f t="shared" si="181"/>
        <v>0</v>
      </c>
      <c r="AM198" s="72">
        <f t="shared" si="150"/>
        <v>0</v>
      </c>
      <c r="AN198" s="134">
        <f t="shared" si="191"/>
        <v>0</v>
      </c>
      <c r="AO198" s="78">
        <f t="shared" si="182"/>
        <v>0</v>
      </c>
      <c r="AP198" s="79"/>
      <c r="AQ198" s="80"/>
      <c r="AR198" s="81"/>
      <c r="AS198" s="70">
        <f t="shared" si="183"/>
        <v>0</v>
      </c>
      <c r="AT198" s="71">
        <f t="shared" si="184"/>
        <v>0</v>
      </c>
      <c r="AU198" s="72">
        <f t="shared" si="151"/>
        <v>0</v>
      </c>
      <c r="AV198" s="134">
        <f t="shared" si="192"/>
        <v>0</v>
      </c>
      <c r="AW198" s="78">
        <f t="shared" si="185"/>
        <v>0</v>
      </c>
      <c r="AX198" s="79"/>
      <c r="AY198" s="80"/>
      <c r="AZ198" s="81"/>
      <c r="BA198" s="70">
        <f t="shared" si="186"/>
        <v>0</v>
      </c>
      <c r="BB198" s="71">
        <f t="shared" si="187"/>
        <v>0</v>
      </c>
      <c r="BC198" s="72">
        <f t="shared" si="152"/>
        <v>0</v>
      </c>
      <c r="BD198" s="134">
        <f t="shared" si="193"/>
        <v>0</v>
      </c>
      <c r="BE198" s="78">
        <f t="shared" si="188"/>
        <v>0</v>
      </c>
      <c r="BF198" s="79"/>
      <c r="BG198" s="80"/>
      <c r="BH198" s="81"/>
      <c r="BI198" s="70">
        <f t="shared" si="189"/>
        <v>0</v>
      </c>
      <c r="BJ198" s="71">
        <f t="shared" si="190"/>
        <v>0</v>
      </c>
      <c r="BK198" s="72">
        <f t="shared" si="153"/>
        <v>0</v>
      </c>
      <c r="BL198" s="134">
        <f t="shared" si="194"/>
        <v>0</v>
      </c>
    </row>
    <row r="199" spans="1:64" ht="12.9" hidden="1" x14ac:dyDescent="0.35">
      <c r="A199" s="285"/>
      <c r="B199" s="237"/>
      <c r="C199" s="27"/>
      <c r="D199" s="25"/>
      <c r="E199" s="78">
        <f t="shared" si="154"/>
        <v>0</v>
      </c>
      <c r="F199" s="79"/>
      <c r="G199" s="80"/>
      <c r="H199" s="81"/>
      <c r="I199" s="78">
        <f t="shared" si="172"/>
        <v>0</v>
      </c>
      <c r="J199" s="79"/>
      <c r="K199" s="80"/>
      <c r="L199" s="81"/>
      <c r="M199" s="70">
        <f t="shared" si="164"/>
        <v>0</v>
      </c>
      <c r="N199" s="71">
        <f t="shared" si="165"/>
        <v>0</v>
      </c>
      <c r="O199" s="72">
        <f t="shared" si="166"/>
        <v>0</v>
      </c>
      <c r="P199" s="134">
        <f t="shared" si="167"/>
        <v>0</v>
      </c>
      <c r="Q199" s="78">
        <f t="shared" si="173"/>
        <v>0</v>
      </c>
      <c r="R199" s="79"/>
      <c r="S199" s="80"/>
      <c r="T199" s="81"/>
      <c r="U199" s="70">
        <f t="shared" si="155"/>
        <v>0</v>
      </c>
      <c r="V199" s="71">
        <f t="shared" si="156"/>
        <v>0</v>
      </c>
      <c r="W199" s="72">
        <f t="shared" si="168"/>
        <v>0</v>
      </c>
      <c r="X199" s="134">
        <f t="shared" si="169"/>
        <v>0</v>
      </c>
      <c r="Y199" s="78">
        <f t="shared" si="174"/>
        <v>0</v>
      </c>
      <c r="Z199" s="79"/>
      <c r="AA199" s="80"/>
      <c r="AB199" s="81"/>
      <c r="AC199" s="70">
        <f t="shared" si="157"/>
        <v>0</v>
      </c>
      <c r="AD199" s="71">
        <f t="shared" si="158"/>
        <v>0</v>
      </c>
      <c r="AE199" s="72">
        <f t="shared" si="170"/>
        <v>0</v>
      </c>
      <c r="AF199" s="134">
        <f t="shared" si="171"/>
        <v>0</v>
      </c>
      <c r="AG199" s="78">
        <f t="shared" si="179"/>
        <v>0</v>
      </c>
      <c r="AH199" s="79"/>
      <c r="AI199" s="80"/>
      <c r="AJ199" s="81"/>
      <c r="AK199" s="70">
        <f t="shared" si="180"/>
        <v>0</v>
      </c>
      <c r="AL199" s="71">
        <f t="shared" si="181"/>
        <v>0</v>
      </c>
      <c r="AM199" s="72">
        <f t="shared" si="150"/>
        <v>0</v>
      </c>
      <c r="AN199" s="134">
        <f t="shared" si="191"/>
        <v>0</v>
      </c>
      <c r="AO199" s="78">
        <f t="shared" si="182"/>
        <v>0</v>
      </c>
      <c r="AP199" s="79"/>
      <c r="AQ199" s="80"/>
      <c r="AR199" s="81"/>
      <c r="AS199" s="70">
        <f t="shared" si="183"/>
        <v>0</v>
      </c>
      <c r="AT199" s="71">
        <f t="shared" si="184"/>
        <v>0</v>
      </c>
      <c r="AU199" s="72">
        <f t="shared" si="151"/>
        <v>0</v>
      </c>
      <c r="AV199" s="134">
        <f t="shared" si="192"/>
        <v>0</v>
      </c>
      <c r="AW199" s="78">
        <f t="shared" si="185"/>
        <v>0</v>
      </c>
      <c r="AX199" s="79"/>
      <c r="AY199" s="80"/>
      <c r="AZ199" s="81"/>
      <c r="BA199" s="70">
        <f t="shared" si="186"/>
        <v>0</v>
      </c>
      <c r="BB199" s="71">
        <f t="shared" si="187"/>
        <v>0</v>
      </c>
      <c r="BC199" s="72">
        <f t="shared" si="152"/>
        <v>0</v>
      </c>
      <c r="BD199" s="134">
        <f t="shared" si="193"/>
        <v>0</v>
      </c>
      <c r="BE199" s="78">
        <f t="shared" si="188"/>
        <v>0</v>
      </c>
      <c r="BF199" s="79"/>
      <c r="BG199" s="80"/>
      <c r="BH199" s="81"/>
      <c r="BI199" s="70">
        <f t="shared" si="189"/>
        <v>0</v>
      </c>
      <c r="BJ199" s="71">
        <f t="shared" si="190"/>
        <v>0</v>
      </c>
      <c r="BK199" s="72">
        <f t="shared" si="153"/>
        <v>0</v>
      </c>
      <c r="BL199" s="134">
        <f t="shared" si="194"/>
        <v>0</v>
      </c>
    </row>
    <row r="200" spans="1:64" ht="12.9" hidden="1" x14ac:dyDescent="0.35">
      <c r="A200" s="286"/>
      <c r="B200" s="238"/>
      <c r="C200" s="27"/>
      <c r="D200" s="25"/>
      <c r="E200" s="78">
        <f t="shared" si="154"/>
        <v>0</v>
      </c>
      <c r="F200" s="79"/>
      <c r="G200" s="80"/>
      <c r="H200" s="81"/>
      <c r="I200" s="78">
        <f t="shared" si="172"/>
        <v>0</v>
      </c>
      <c r="J200" s="79"/>
      <c r="K200" s="80"/>
      <c r="L200" s="81"/>
      <c r="M200" s="70">
        <f t="shared" si="164"/>
        <v>0</v>
      </c>
      <c r="N200" s="71">
        <f t="shared" si="165"/>
        <v>0</v>
      </c>
      <c r="O200" s="72">
        <f t="shared" si="166"/>
        <v>0</v>
      </c>
      <c r="P200" s="134">
        <f t="shared" si="167"/>
        <v>0</v>
      </c>
      <c r="Q200" s="78">
        <f t="shared" si="173"/>
        <v>0</v>
      </c>
      <c r="R200" s="79"/>
      <c r="S200" s="80"/>
      <c r="T200" s="81"/>
      <c r="U200" s="70">
        <f t="shared" si="155"/>
        <v>0</v>
      </c>
      <c r="V200" s="71">
        <f t="shared" si="156"/>
        <v>0</v>
      </c>
      <c r="W200" s="72">
        <f t="shared" si="168"/>
        <v>0</v>
      </c>
      <c r="X200" s="134">
        <f t="shared" si="169"/>
        <v>0</v>
      </c>
      <c r="Y200" s="78">
        <f t="shared" si="174"/>
        <v>0</v>
      </c>
      <c r="Z200" s="79"/>
      <c r="AA200" s="80"/>
      <c r="AB200" s="81"/>
      <c r="AC200" s="70">
        <f t="shared" si="157"/>
        <v>0</v>
      </c>
      <c r="AD200" s="71">
        <f t="shared" si="158"/>
        <v>0</v>
      </c>
      <c r="AE200" s="72">
        <f t="shared" si="170"/>
        <v>0</v>
      </c>
      <c r="AF200" s="134">
        <f t="shared" si="171"/>
        <v>0</v>
      </c>
      <c r="AG200" s="78">
        <f t="shared" si="179"/>
        <v>0</v>
      </c>
      <c r="AH200" s="79"/>
      <c r="AI200" s="80"/>
      <c r="AJ200" s="81"/>
      <c r="AK200" s="70">
        <f t="shared" si="180"/>
        <v>0</v>
      </c>
      <c r="AL200" s="71">
        <f t="shared" si="181"/>
        <v>0</v>
      </c>
      <c r="AM200" s="72">
        <f t="shared" si="150"/>
        <v>0</v>
      </c>
      <c r="AN200" s="134">
        <f t="shared" si="191"/>
        <v>0</v>
      </c>
      <c r="AO200" s="78">
        <f t="shared" si="182"/>
        <v>0</v>
      </c>
      <c r="AP200" s="79"/>
      <c r="AQ200" s="80"/>
      <c r="AR200" s="81"/>
      <c r="AS200" s="70">
        <f t="shared" si="183"/>
        <v>0</v>
      </c>
      <c r="AT200" s="71">
        <f t="shared" si="184"/>
        <v>0</v>
      </c>
      <c r="AU200" s="72">
        <f t="shared" si="151"/>
        <v>0</v>
      </c>
      <c r="AV200" s="134">
        <f t="shared" si="192"/>
        <v>0</v>
      </c>
      <c r="AW200" s="78">
        <f t="shared" si="185"/>
        <v>0</v>
      </c>
      <c r="AX200" s="79"/>
      <c r="AY200" s="80"/>
      <c r="AZ200" s="81"/>
      <c r="BA200" s="70">
        <f t="shared" si="186"/>
        <v>0</v>
      </c>
      <c r="BB200" s="71">
        <f t="shared" si="187"/>
        <v>0</v>
      </c>
      <c r="BC200" s="72">
        <f t="shared" si="152"/>
        <v>0</v>
      </c>
      <c r="BD200" s="134">
        <f t="shared" si="193"/>
        <v>0</v>
      </c>
      <c r="BE200" s="78">
        <f t="shared" si="188"/>
        <v>0</v>
      </c>
      <c r="BF200" s="79"/>
      <c r="BG200" s="80"/>
      <c r="BH200" s="81"/>
      <c r="BI200" s="70">
        <f t="shared" si="189"/>
        <v>0</v>
      </c>
      <c r="BJ200" s="71">
        <f t="shared" si="190"/>
        <v>0</v>
      </c>
      <c r="BK200" s="72">
        <f t="shared" si="153"/>
        <v>0</v>
      </c>
      <c r="BL200" s="134">
        <f t="shared" si="194"/>
        <v>0</v>
      </c>
    </row>
    <row r="201" spans="1:64" ht="12.9" hidden="1" x14ac:dyDescent="0.35">
      <c r="A201" s="118"/>
      <c r="B201" s="76"/>
      <c r="C201" s="27"/>
      <c r="D201" s="25"/>
      <c r="E201" s="78">
        <f t="shared" si="154"/>
        <v>0</v>
      </c>
      <c r="F201" s="79"/>
      <c r="G201" s="80"/>
      <c r="H201" s="81"/>
      <c r="I201" s="78">
        <f t="shared" si="172"/>
        <v>0</v>
      </c>
      <c r="J201" s="79"/>
      <c r="K201" s="80"/>
      <c r="L201" s="81"/>
      <c r="M201" s="70">
        <f t="shared" si="164"/>
        <v>0</v>
      </c>
      <c r="N201" s="71">
        <f t="shared" si="165"/>
        <v>0</v>
      </c>
      <c r="O201" s="72">
        <f t="shared" si="166"/>
        <v>0</v>
      </c>
      <c r="P201" s="134">
        <f t="shared" si="167"/>
        <v>0</v>
      </c>
      <c r="Q201" s="78">
        <f t="shared" si="173"/>
        <v>0</v>
      </c>
      <c r="R201" s="79"/>
      <c r="S201" s="80"/>
      <c r="T201" s="81"/>
      <c r="U201" s="70">
        <f t="shared" si="155"/>
        <v>0</v>
      </c>
      <c r="V201" s="71">
        <f t="shared" si="156"/>
        <v>0</v>
      </c>
      <c r="W201" s="72">
        <f t="shared" si="168"/>
        <v>0</v>
      </c>
      <c r="X201" s="134">
        <f t="shared" si="169"/>
        <v>0</v>
      </c>
      <c r="Y201" s="78">
        <f t="shared" si="174"/>
        <v>0</v>
      </c>
      <c r="Z201" s="79"/>
      <c r="AA201" s="80"/>
      <c r="AB201" s="81"/>
      <c r="AC201" s="70">
        <f t="shared" si="157"/>
        <v>0</v>
      </c>
      <c r="AD201" s="71">
        <f t="shared" si="158"/>
        <v>0</v>
      </c>
      <c r="AE201" s="72">
        <f t="shared" si="170"/>
        <v>0</v>
      </c>
      <c r="AF201" s="134">
        <f t="shared" si="171"/>
        <v>0</v>
      </c>
      <c r="AG201" s="78">
        <f t="shared" si="179"/>
        <v>0</v>
      </c>
      <c r="AH201" s="79"/>
      <c r="AI201" s="80"/>
      <c r="AJ201" s="81"/>
      <c r="AK201" s="70">
        <f t="shared" si="180"/>
        <v>0</v>
      </c>
      <c r="AL201" s="71">
        <f t="shared" si="181"/>
        <v>0</v>
      </c>
      <c r="AM201" s="72">
        <f t="shared" si="150"/>
        <v>0</v>
      </c>
      <c r="AN201" s="134">
        <f t="shared" si="191"/>
        <v>0</v>
      </c>
      <c r="AO201" s="78">
        <f t="shared" si="182"/>
        <v>0</v>
      </c>
      <c r="AP201" s="79"/>
      <c r="AQ201" s="80"/>
      <c r="AR201" s="81"/>
      <c r="AS201" s="70">
        <f t="shared" si="183"/>
        <v>0</v>
      </c>
      <c r="AT201" s="71">
        <f t="shared" si="184"/>
        <v>0</v>
      </c>
      <c r="AU201" s="72">
        <f t="shared" si="151"/>
        <v>0</v>
      </c>
      <c r="AV201" s="134">
        <f t="shared" si="192"/>
        <v>0</v>
      </c>
      <c r="AW201" s="78">
        <f t="shared" si="185"/>
        <v>0</v>
      </c>
      <c r="AX201" s="79"/>
      <c r="AY201" s="80"/>
      <c r="AZ201" s="81"/>
      <c r="BA201" s="70">
        <f t="shared" si="186"/>
        <v>0</v>
      </c>
      <c r="BB201" s="71">
        <f t="shared" si="187"/>
        <v>0</v>
      </c>
      <c r="BC201" s="72">
        <f t="shared" si="152"/>
        <v>0</v>
      </c>
      <c r="BD201" s="134">
        <f t="shared" si="193"/>
        <v>0</v>
      </c>
      <c r="BE201" s="78">
        <f t="shared" si="188"/>
        <v>0</v>
      </c>
      <c r="BF201" s="79"/>
      <c r="BG201" s="80"/>
      <c r="BH201" s="81"/>
      <c r="BI201" s="70">
        <f t="shared" si="189"/>
        <v>0</v>
      </c>
      <c r="BJ201" s="71">
        <f t="shared" si="190"/>
        <v>0</v>
      </c>
      <c r="BK201" s="72">
        <f t="shared" si="153"/>
        <v>0</v>
      </c>
      <c r="BL201" s="134">
        <f t="shared" si="194"/>
        <v>0</v>
      </c>
    </row>
    <row r="202" spans="1:64" ht="12.9" hidden="1" x14ac:dyDescent="0.35">
      <c r="A202" s="283"/>
      <c r="B202" s="233"/>
      <c r="C202" s="27"/>
      <c r="D202" s="25"/>
      <c r="E202" s="78">
        <f t="shared" si="154"/>
        <v>0</v>
      </c>
      <c r="F202" s="79"/>
      <c r="G202" s="80"/>
      <c r="H202" s="81"/>
      <c r="I202" s="78">
        <f t="shared" si="172"/>
        <v>0</v>
      </c>
      <c r="J202" s="79"/>
      <c r="K202" s="80"/>
      <c r="L202" s="81"/>
      <c r="M202" s="70">
        <f t="shared" si="164"/>
        <v>0</v>
      </c>
      <c r="N202" s="71">
        <f t="shared" si="165"/>
        <v>0</v>
      </c>
      <c r="O202" s="72">
        <f t="shared" si="166"/>
        <v>0</v>
      </c>
      <c r="P202" s="134">
        <f t="shared" si="167"/>
        <v>0</v>
      </c>
      <c r="Q202" s="78">
        <f t="shared" si="173"/>
        <v>0</v>
      </c>
      <c r="R202" s="79"/>
      <c r="S202" s="80"/>
      <c r="T202" s="81"/>
      <c r="U202" s="70">
        <f t="shared" si="155"/>
        <v>0</v>
      </c>
      <c r="V202" s="71">
        <f t="shared" si="156"/>
        <v>0</v>
      </c>
      <c r="W202" s="72">
        <f t="shared" si="168"/>
        <v>0</v>
      </c>
      <c r="X202" s="134">
        <f t="shared" si="169"/>
        <v>0</v>
      </c>
      <c r="Y202" s="78">
        <f t="shared" si="174"/>
        <v>0</v>
      </c>
      <c r="Z202" s="79"/>
      <c r="AA202" s="80"/>
      <c r="AB202" s="81"/>
      <c r="AC202" s="70">
        <f t="shared" si="157"/>
        <v>0</v>
      </c>
      <c r="AD202" s="71">
        <f t="shared" si="158"/>
        <v>0</v>
      </c>
      <c r="AE202" s="72">
        <f t="shared" si="170"/>
        <v>0</v>
      </c>
      <c r="AF202" s="134">
        <f t="shared" si="171"/>
        <v>0</v>
      </c>
      <c r="AG202" s="78">
        <f t="shared" si="179"/>
        <v>0</v>
      </c>
      <c r="AH202" s="79"/>
      <c r="AI202" s="80"/>
      <c r="AJ202" s="81"/>
      <c r="AK202" s="70">
        <f t="shared" si="180"/>
        <v>0</v>
      </c>
      <c r="AL202" s="71">
        <f t="shared" si="181"/>
        <v>0</v>
      </c>
      <c r="AM202" s="72">
        <f t="shared" si="150"/>
        <v>0</v>
      </c>
      <c r="AN202" s="134">
        <f t="shared" si="191"/>
        <v>0</v>
      </c>
      <c r="AO202" s="78">
        <f t="shared" si="182"/>
        <v>0</v>
      </c>
      <c r="AP202" s="79"/>
      <c r="AQ202" s="80"/>
      <c r="AR202" s="81"/>
      <c r="AS202" s="70">
        <f t="shared" si="183"/>
        <v>0</v>
      </c>
      <c r="AT202" s="71">
        <f t="shared" si="184"/>
        <v>0</v>
      </c>
      <c r="AU202" s="72">
        <f t="shared" si="151"/>
        <v>0</v>
      </c>
      <c r="AV202" s="134">
        <f t="shared" si="192"/>
        <v>0</v>
      </c>
      <c r="AW202" s="78">
        <f t="shared" si="185"/>
        <v>0</v>
      </c>
      <c r="AX202" s="79"/>
      <c r="AY202" s="80"/>
      <c r="AZ202" s="81"/>
      <c r="BA202" s="70">
        <f t="shared" si="186"/>
        <v>0</v>
      </c>
      <c r="BB202" s="71">
        <f t="shared" si="187"/>
        <v>0</v>
      </c>
      <c r="BC202" s="72">
        <f t="shared" si="152"/>
        <v>0</v>
      </c>
      <c r="BD202" s="134">
        <f t="shared" si="193"/>
        <v>0</v>
      </c>
      <c r="BE202" s="78">
        <f t="shared" si="188"/>
        <v>0</v>
      </c>
      <c r="BF202" s="79"/>
      <c r="BG202" s="80"/>
      <c r="BH202" s="81"/>
      <c r="BI202" s="70">
        <f t="shared" si="189"/>
        <v>0</v>
      </c>
      <c r="BJ202" s="71">
        <f t="shared" si="190"/>
        <v>0</v>
      </c>
      <c r="BK202" s="72">
        <f t="shared" si="153"/>
        <v>0</v>
      </c>
      <c r="BL202" s="134">
        <f t="shared" si="194"/>
        <v>0</v>
      </c>
    </row>
    <row r="203" spans="1:64" ht="12.9" hidden="1" x14ac:dyDescent="0.35">
      <c r="A203" s="284"/>
      <c r="B203" s="234"/>
      <c r="C203" s="27"/>
      <c r="D203" s="25"/>
      <c r="E203" s="78">
        <f t="shared" si="154"/>
        <v>0</v>
      </c>
      <c r="F203" s="79"/>
      <c r="G203" s="80"/>
      <c r="H203" s="81"/>
      <c r="I203" s="78">
        <f t="shared" si="172"/>
        <v>0</v>
      </c>
      <c r="J203" s="79"/>
      <c r="K203" s="80"/>
      <c r="L203" s="81"/>
      <c r="M203" s="70">
        <f t="shared" si="164"/>
        <v>0</v>
      </c>
      <c r="N203" s="71">
        <f t="shared" si="165"/>
        <v>0</v>
      </c>
      <c r="O203" s="72">
        <f t="shared" si="166"/>
        <v>0</v>
      </c>
      <c r="P203" s="134">
        <f t="shared" si="167"/>
        <v>0</v>
      </c>
      <c r="Q203" s="78">
        <f t="shared" si="173"/>
        <v>0</v>
      </c>
      <c r="R203" s="79"/>
      <c r="S203" s="80"/>
      <c r="T203" s="81"/>
      <c r="U203" s="70">
        <f t="shared" si="155"/>
        <v>0</v>
      </c>
      <c r="V203" s="71">
        <f t="shared" si="156"/>
        <v>0</v>
      </c>
      <c r="W203" s="72">
        <f t="shared" si="168"/>
        <v>0</v>
      </c>
      <c r="X203" s="134">
        <f t="shared" si="169"/>
        <v>0</v>
      </c>
      <c r="Y203" s="78">
        <f t="shared" si="174"/>
        <v>0</v>
      </c>
      <c r="Z203" s="79"/>
      <c r="AA203" s="80"/>
      <c r="AB203" s="81"/>
      <c r="AC203" s="70">
        <f t="shared" si="157"/>
        <v>0</v>
      </c>
      <c r="AD203" s="71">
        <f t="shared" si="158"/>
        <v>0</v>
      </c>
      <c r="AE203" s="72">
        <f t="shared" si="170"/>
        <v>0</v>
      </c>
      <c r="AF203" s="134">
        <f t="shared" si="171"/>
        <v>0</v>
      </c>
      <c r="AG203" s="78">
        <f t="shared" si="179"/>
        <v>0</v>
      </c>
      <c r="AH203" s="79"/>
      <c r="AI203" s="80"/>
      <c r="AJ203" s="81"/>
      <c r="AK203" s="70">
        <f t="shared" si="180"/>
        <v>0</v>
      </c>
      <c r="AL203" s="71">
        <f t="shared" si="181"/>
        <v>0</v>
      </c>
      <c r="AM203" s="72">
        <f t="shared" si="150"/>
        <v>0</v>
      </c>
      <c r="AN203" s="134">
        <f t="shared" si="191"/>
        <v>0</v>
      </c>
      <c r="AO203" s="78">
        <f t="shared" si="182"/>
        <v>0</v>
      </c>
      <c r="AP203" s="79"/>
      <c r="AQ203" s="80"/>
      <c r="AR203" s="81"/>
      <c r="AS203" s="70">
        <f t="shared" si="183"/>
        <v>0</v>
      </c>
      <c r="AT203" s="71">
        <f t="shared" si="184"/>
        <v>0</v>
      </c>
      <c r="AU203" s="72">
        <f t="shared" si="151"/>
        <v>0</v>
      </c>
      <c r="AV203" s="134">
        <f t="shared" si="192"/>
        <v>0</v>
      </c>
      <c r="AW203" s="78">
        <f t="shared" si="185"/>
        <v>0</v>
      </c>
      <c r="AX203" s="79"/>
      <c r="AY203" s="80"/>
      <c r="AZ203" s="81"/>
      <c r="BA203" s="70">
        <f t="shared" si="186"/>
        <v>0</v>
      </c>
      <c r="BB203" s="71">
        <f t="shared" si="187"/>
        <v>0</v>
      </c>
      <c r="BC203" s="72">
        <f t="shared" si="152"/>
        <v>0</v>
      </c>
      <c r="BD203" s="134">
        <f t="shared" si="193"/>
        <v>0</v>
      </c>
      <c r="BE203" s="78">
        <f t="shared" si="188"/>
        <v>0</v>
      </c>
      <c r="BF203" s="79"/>
      <c r="BG203" s="80"/>
      <c r="BH203" s="81"/>
      <c r="BI203" s="70">
        <f t="shared" si="189"/>
        <v>0</v>
      </c>
      <c r="BJ203" s="71">
        <f t="shared" si="190"/>
        <v>0</v>
      </c>
      <c r="BK203" s="72">
        <f t="shared" si="153"/>
        <v>0</v>
      </c>
      <c r="BL203" s="134">
        <f t="shared" si="194"/>
        <v>0</v>
      </c>
    </row>
    <row r="204" spans="1:64" ht="12.9" hidden="1" x14ac:dyDescent="0.35">
      <c r="A204" s="283"/>
      <c r="B204" s="233"/>
      <c r="C204" s="27"/>
      <c r="D204" s="25"/>
      <c r="E204" s="78">
        <f t="shared" si="154"/>
        <v>0</v>
      </c>
      <c r="F204" s="79"/>
      <c r="G204" s="80"/>
      <c r="H204" s="81"/>
      <c r="I204" s="78">
        <f t="shared" si="172"/>
        <v>0</v>
      </c>
      <c r="J204" s="79"/>
      <c r="K204" s="80"/>
      <c r="L204" s="81"/>
      <c r="M204" s="70">
        <f t="shared" si="164"/>
        <v>0</v>
      </c>
      <c r="N204" s="71">
        <f t="shared" si="165"/>
        <v>0</v>
      </c>
      <c r="O204" s="72">
        <f t="shared" si="166"/>
        <v>0</v>
      </c>
      <c r="P204" s="134">
        <f t="shared" si="167"/>
        <v>0</v>
      </c>
      <c r="Q204" s="78">
        <f t="shared" si="173"/>
        <v>0</v>
      </c>
      <c r="R204" s="79"/>
      <c r="S204" s="80"/>
      <c r="T204" s="81"/>
      <c r="U204" s="70">
        <f t="shared" si="155"/>
        <v>0</v>
      </c>
      <c r="V204" s="71">
        <f t="shared" si="156"/>
        <v>0</v>
      </c>
      <c r="W204" s="72">
        <f t="shared" si="168"/>
        <v>0</v>
      </c>
      <c r="X204" s="134">
        <f t="shared" si="169"/>
        <v>0</v>
      </c>
      <c r="Y204" s="78">
        <f t="shared" si="174"/>
        <v>0</v>
      </c>
      <c r="Z204" s="79"/>
      <c r="AA204" s="80"/>
      <c r="AB204" s="81"/>
      <c r="AC204" s="70">
        <f t="shared" si="157"/>
        <v>0</v>
      </c>
      <c r="AD204" s="71">
        <f t="shared" si="158"/>
        <v>0</v>
      </c>
      <c r="AE204" s="72">
        <f t="shared" si="170"/>
        <v>0</v>
      </c>
      <c r="AF204" s="134">
        <f t="shared" si="171"/>
        <v>0</v>
      </c>
      <c r="AG204" s="78">
        <f t="shared" si="179"/>
        <v>0</v>
      </c>
      <c r="AH204" s="79"/>
      <c r="AI204" s="80"/>
      <c r="AJ204" s="81"/>
      <c r="AK204" s="70">
        <f t="shared" si="180"/>
        <v>0</v>
      </c>
      <c r="AL204" s="71">
        <f t="shared" si="181"/>
        <v>0</v>
      </c>
      <c r="AM204" s="72">
        <f t="shared" si="150"/>
        <v>0</v>
      </c>
      <c r="AN204" s="134">
        <f t="shared" si="191"/>
        <v>0</v>
      </c>
      <c r="AO204" s="78">
        <f t="shared" si="182"/>
        <v>0</v>
      </c>
      <c r="AP204" s="79"/>
      <c r="AQ204" s="80"/>
      <c r="AR204" s="81"/>
      <c r="AS204" s="70">
        <f t="shared" si="183"/>
        <v>0</v>
      </c>
      <c r="AT204" s="71">
        <f t="shared" si="184"/>
        <v>0</v>
      </c>
      <c r="AU204" s="72">
        <f t="shared" si="151"/>
        <v>0</v>
      </c>
      <c r="AV204" s="134">
        <f t="shared" si="192"/>
        <v>0</v>
      </c>
      <c r="AW204" s="78">
        <f t="shared" si="185"/>
        <v>0</v>
      </c>
      <c r="AX204" s="79"/>
      <c r="AY204" s="80"/>
      <c r="AZ204" s="81"/>
      <c r="BA204" s="70">
        <f t="shared" si="186"/>
        <v>0</v>
      </c>
      <c r="BB204" s="71">
        <f t="shared" si="187"/>
        <v>0</v>
      </c>
      <c r="BC204" s="72">
        <f t="shared" si="152"/>
        <v>0</v>
      </c>
      <c r="BD204" s="134">
        <f t="shared" si="193"/>
        <v>0</v>
      </c>
      <c r="BE204" s="78">
        <f t="shared" si="188"/>
        <v>0</v>
      </c>
      <c r="BF204" s="79"/>
      <c r="BG204" s="80"/>
      <c r="BH204" s="81"/>
      <c r="BI204" s="70">
        <f t="shared" si="189"/>
        <v>0</v>
      </c>
      <c r="BJ204" s="71">
        <f t="shared" si="190"/>
        <v>0</v>
      </c>
      <c r="BK204" s="72">
        <f t="shared" si="153"/>
        <v>0</v>
      </c>
      <c r="BL204" s="134">
        <f t="shared" si="194"/>
        <v>0</v>
      </c>
    </row>
    <row r="205" spans="1:64" ht="12.9" hidden="1" x14ac:dyDescent="0.35">
      <c r="A205" s="284"/>
      <c r="B205" s="234"/>
      <c r="C205" s="27"/>
      <c r="D205" s="25"/>
      <c r="E205" s="78">
        <f t="shared" si="154"/>
        <v>0</v>
      </c>
      <c r="F205" s="79">
        <v>0</v>
      </c>
      <c r="G205" s="80">
        <v>0</v>
      </c>
      <c r="H205" s="81">
        <v>0</v>
      </c>
      <c r="I205" s="78">
        <f t="shared" si="172"/>
        <v>0</v>
      </c>
      <c r="J205" s="79">
        <v>0</v>
      </c>
      <c r="K205" s="80">
        <v>0</v>
      </c>
      <c r="L205" s="81">
        <v>0</v>
      </c>
      <c r="M205" s="70">
        <f t="shared" si="164"/>
        <v>0</v>
      </c>
      <c r="N205" s="71">
        <f t="shared" si="165"/>
        <v>0</v>
      </c>
      <c r="O205" s="72">
        <f t="shared" si="166"/>
        <v>0</v>
      </c>
      <c r="P205" s="134">
        <f t="shared" si="167"/>
        <v>0</v>
      </c>
      <c r="Q205" s="78">
        <f t="shared" si="173"/>
        <v>0</v>
      </c>
      <c r="R205" s="79">
        <v>0</v>
      </c>
      <c r="S205" s="80">
        <v>0</v>
      </c>
      <c r="T205" s="81">
        <v>0</v>
      </c>
      <c r="U205" s="70">
        <f t="shared" si="155"/>
        <v>0</v>
      </c>
      <c r="V205" s="71">
        <f t="shared" si="156"/>
        <v>0</v>
      </c>
      <c r="W205" s="72">
        <f t="shared" si="168"/>
        <v>0</v>
      </c>
      <c r="X205" s="134">
        <f t="shared" si="169"/>
        <v>0</v>
      </c>
      <c r="Y205" s="78">
        <f t="shared" si="174"/>
        <v>0</v>
      </c>
      <c r="Z205" s="79">
        <v>0</v>
      </c>
      <c r="AA205" s="80">
        <v>0</v>
      </c>
      <c r="AB205" s="81">
        <v>0</v>
      </c>
      <c r="AC205" s="70">
        <f t="shared" si="157"/>
        <v>0</v>
      </c>
      <c r="AD205" s="71">
        <f t="shared" si="158"/>
        <v>0</v>
      </c>
      <c r="AE205" s="72">
        <f t="shared" si="170"/>
        <v>0</v>
      </c>
      <c r="AF205" s="134">
        <f t="shared" si="171"/>
        <v>0</v>
      </c>
      <c r="AG205" s="78">
        <f t="shared" si="179"/>
        <v>0</v>
      </c>
      <c r="AH205" s="79">
        <v>0</v>
      </c>
      <c r="AI205" s="80">
        <v>0</v>
      </c>
      <c r="AJ205" s="81">
        <v>0</v>
      </c>
      <c r="AK205" s="70">
        <f t="shared" si="180"/>
        <v>0</v>
      </c>
      <c r="AL205" s="71">
        <f t="shared" si="181"/>
        <v>0</v>
      </c>
      <c r="AM205" s="72">
        <f t="shared" si="150"/>
        <v>0</v>
      </c>
      <c r="AN205" s="134">
        <f t="shared" si="191"/>
        <v>0</v>
      </c>
      <c r="AO205" s="78">
        <f t="shared" si="182"/>
        <v>0</v>
      </c>
      <c r="AP205" s="79">
        <v>0</v>
      </c>
      <c r="AQ205" s="80">
        <v>0</v>
      </c>
      <c r="AR205" s="81">
        <v>0</v>
      </c>
      <c r="AS205" s="70">
        <f t="shared" si="183"/>
        <v>0</v>
      </c>
      <c r="AT205" s="71">
        <f t="shared" si="184"/>
        <v>0</v>
      </c>
      <c r="AU205" s="72">
        <f t="shared" si="151"/>
        <v>0</v>
      </c>
      <c r="AV205" s="134">
        <f t="shared" si="192"/>
        <v>0</v>
      </c>
      <c r="AW205" s="78">
        <f t="shared" si="185"/>
        <v>0</v>
      </c>
      <c r="AX205" s="79">
        <v>0</v>
      </c>
      <c r="AY205" s="80">
        <v>0</v>
      </c>
      <c r="AZ205" s="81">
        <v>0</v>
      </c>
      <c r="BA205" s="70">
        <f t="shared" si="186"/>
        <v>0</v>
      </c>
      <c r="BB205" s="71">
        <f t="shared" si="187"/>
        <v>0</v>
      </c>
      <c r="BC205" s="72">
        <f t="shared" si="152"/>
        <v>0</v>
      </c>
      <c r="BD205" s="134">
        <f t="shared" si="193"/>
        <v>0</v>
      </c>
      <c r="BE205" s="78">
        <f t="shared" si="188"/>
        <v>0</v>
      </c>
      <c r="BF205" s="79">
        <v>0</v>
      </c>
      <c r="BG205" s="80">
        <v>0</v>
      </c>
      <c r="BH205" s="81">
        <v>0</v>
      </c>
      <c r="BI205" s="70">
        <f t="shared" si="189"/>
        <v>0</v>
      </c>
      <c r="BJ205" s="71">
        <f t="shared" si="190"/>
        <v>0</v>
      </c>
      <c r="BK205" s="72">
        <f t="shared" si="153"/>
        <v>0</v>
      </c>
      <c r="BL205" s="134">
        <f t="shared" si="194"/>
        <v>0</v>
      </c>
    </row>
    <row r="206" spans="1:64" s="138" customFormat="1" ht="12.45" x14ac:dyDescent="0.3">
      <c r="A206" s="143"/>
      <c r="B206" s="136" t="s">
        <v>240</v>
      </c>
      <c r="C206" s="42" t="s">
        <v>111</v>
      </c>
      <c r="D206" s="144"/>
      <c r="E206" s="73">
        <f>SUM(H206,F206)</f>
        <v>1381.4640000000002</v>
      </c>
      <c r="F206" s="74">
        <f>SUM(F208:F215)</f>
        <v>1375.4640000000002</v>
      </c>
      <c r="G206" s="75">
        <f>SUM(G208:G214)</f>
        <v>1262.6500000000001</v>
      </c>
      <c r="H206" s="133">
        <f>SUM(H208:H214)</f>
        <v>6</v>
      </c>
      <c r="I206" s="73">
        <f>SUM(L206,J206)</f>
        <v>43.556000000000004</v>
      </c>
      <c r="J206" s="74">
        <f>SUM(J208:J215)</f>
        <v>43.556000000000004</v>
      </c>
      <c r="K206" s="75">
        <f>SUM(K208:K214)</f>
        <v>23.408000000000001</v>
      </c>
      <c r="L206" s="133">
        <f>SUM(L208:L214)</f>
        <v>0</v>
      </c>
      <c r="M206" s="73">
        <f t="shared" si="164"/>
        <v>1425.0200000000002</v>
      </c>
      <c r="N206" s="74">
        <f t="shared" si="165"/>
        <v>1419.0200000000002</v>
      </c>
      <c r="O206" s="75">
        <f t="shared" si="166"/>
        <v>1286.058</v>
      </c>
      <c r="P206" s="133">
        <f t="shared" si="167"/>
        <v>6</v>
      </c>
      <c r="Q206" s="73">
        <f>SUM(T206,R206)</f>
        <v>27.997</v>
      </c>
      <c r="R206" s="74">
        <f>SUM(R208:R216)</f>
        <v>27.997</v>
      </c>
      <c r="S206" s="75">
        <f>SUM(S208:S214)</f>
        <v>6.6</v>
      </c>
      <c r="T206" s="133">
        <f>SUM(T208:T214)</f>
        <v>0</v>
      </c>
      <c r="U206" s="73">
        <f t="shared" si="155"/>
        <v>1453.0170000000003</v>
      </c>
      <c r="V206" s="74">
        <f>N206+R206</f>
        <v>1447.0170000000003</v>
      </c>
      <c r="W206" s="75">
        <f t="shared" si="168"/>
        <v>1292.6579999999999</v>
      </c>
      <c r="X206" s="133">
        <f t="shared" si="169"/>
        <v>6</v>
      </c>
      <c r="Y206" s="73">
        <f>SUM(AB206,Z206)</f>
        <v>11.254000000000001</v>
      </c>
      <c r="Z206" s="74">
        <f>SUM(Z208:Z216)</f>
        <v>7.7540000000000004</v>
      </c>
      <c r="AA206" s="75">
        <f>SUM(AA208:AA214)</f>
        <v>-4.2160000000000002</v>
      </c>
      <c r="AB206" s="133">
        <f>SUM(AB208:AB214)</f>
        <v>3.5</v>
      </c>
      <c r="AC206" s="73">
        <f t="shared" si="157"/>
        <v>1464.2710000000002</v>
      </c>
      <c r="AD206" s="74">
        <f>V206+Z206</f>
        <v>1454.7710000000002</v>
      </c>
      <c r="AE206" s="75">
        <f t="shared" si="170"/>
        <v>1288.442</v>
      </c>
      <c r="AF206" s="133">
        <f t="shared" si="171"/>
        <v>9.5</v>
      </c>
      <c r="AG206" s="73">
        <f>SUM(AJ206,AH206)</f>
        <v>11.774000000000001</v>
      </c>
      <c r="AH206" s="74">
        <f>SUM(AH208:AH216)</f>
        <v>8.5739999999999998</v>
      </c>
      <c r="AI206" s="75">
        <f>SUM(AI208:AI214)</f>
        <v>0</v>
      </c>
      <c r="AJ206" s="133">
        <f>SUM(AJ208:AJ214)</f>
        <v>3.2</v>
      </c>
      <c r="AK206" s="73">
        <f t="shared" si="180"/>
        <v>1476.0450000000003</v>
      </c>
      <c r="AL206" s="74">
        <f>AD206+AH206</f>
        <v>1463.3450000000003</v>
      </c>
      <c r="AM206" s="75">
        <f t="shared" si="150"/>
        <v>1288.442</v>
      </c>
      <c r="AN206" s="133">
        <f t="shared" si="191"/>
        <v>12.7</v>
      </c>
      <c r="AO206" s="73">
        <f>SUM(AR206,AP206)</f>
        <v>1.7229999999999999</v>
      </c>
      <c r="AP206" s="74">
        <f>SUM(AP208:AP216)</f>
        <v>4.923</v>
      </c>
      <c r="AQ206" s="75">
        <f>SUM(AQ208:AQ214)</f>
        <v>-5.0999999999999996</v>
      </c>
      <c r="AR206" s="133">
        <f>SUM(AR208:AR214)</f>
        <v>-3.2</v>
      </c>
      <c r="AS206" s="73">
        <f t="shared" si="183"/>
        <v>1477.7680000000003</v>
      </c>
      <c r="AT206" s="74">
        <f>AL206+AP206</f>
        <v>1468.2680000000003</v>
      </c>
      <c r="AU206" s="75">
        <f t="shared" si="151"/>
        <v>1283.3420000000001</v>
      </c>
      <c r="AV206" s="133">
        <f t="shared" si="192"/>
        <v>9.5</v>
      </c>
      <c r="AW206" s="73">
        <f>SUM(AZ206,AX206)</f>
        <v>9.0200000000000031</v>
      </c>
      <c r="AX206" s="74">
        <f>SUM(AX208:AX216)</f>
        <v>15.020000000000003</v>
      </c>
      <c r="AY206" s="75">
        <f>SUM(AY208:AY214)</f>
        <v>-8.4049999999999994</v>
      </c>
      <c r="AZ206" s="133">
        <f>SUM(AZ208:AZ214)</f>
        <v>-6</v>
      </c>
      <c r="BA206" s="73">
        <f t="shared" si="186"/>
        <v>1486.7880000000002</v>
      </c>
      <c r="BB206" s="74">
        <f>AT206+AX206</f>
        <v>1483.2880000000002</v>
      </c>
      <c r="BC206" s="75">
        <f t="shared" si="152"/>
        <v>1274.9370000000001</v>
      </c>
      <c r="BD206" s="133">
        <f t="shared" si="193"/>
        <v>3.5</v>
      </c>
      <c r="BE206" s="73">
        <f>SUM(BH206,BF206)</f>
        <v>33.730000000000004</v>
      </c>
      <c r="BF206" s="74">
        <f>SUM(BF208:BF216)</f>
        <v>17.239999999999998</v>
      </c>
      <c r="BG206" s="75">
        <f>SUM(BG208:BG214)</f>
        <v>15.2</v>
      </c>
      <c r="BH206" s="133">
        <f>SUM(BH208:BH214)</f>
        <v>16.490000000000002</v>
      </c>
      <c r="BI206" s="73">
        <f t="shared" si="189"/>
        <v>1520.5180000000003</v>
      </c>
      <c r="BJ206" s="74">
        <f>BB206+BF206</f>
        <v>1500.5280000000002</v>
      </c>
      <c r="BK206" s="75">
        <f t="shared" si="153"/>
        <v>1290.1370000000002</v>
      </c>
      <c r="BL206" s="133">
        <f t="shared" si="194"/>
        <v>19.990000000000002</v>
      </c>
    </row>
    <row r="207" spans="1:64" ht="12.9" x14ac:dyDescent="0.35">
      <c r="A207" s="131"/>
      <c r="B207" s="4" t="s">
        <v>2</v>
      </c>
      <c r="C207" s="44"/>
      <c r="D207" s="25"/>
      <c r="E207" s="78">
        <f t="shared" si="154"/>
        <v>0</v>
      </c>
      <c r="F207" s="79">
        <v>0</v>
      </c>
      <c r="G207" s="80">
        <v>0</v>
      </c>
      <c r="H207" s="81">
        <v>0</v>
      </c>
      <c r="I207" s="78">
        <f t="shared" ref="I207:I215" si="195">SUM(L207,J207)</f>
        <v>0</v>
      </c>
      <c r="J207" s="79">
        <v>0</v>
      </c>
      <c r="K207" s="80">
        <v>0</v>
      </c>
      <c r="L207" s="81">
        <v>0</v>
      </c>
      <c r="M207" s="70">
        <f t="shared" si="164"/>
        <v>0</v>
      </c>
      <c r="N207" s="71">
        <f t="shared" si="165"/>
        <v>0</v>
      </c>
      <c r="O207" s="72">
        <f t="shared" si="166"/>
        <v>0</v>
      </c>
      <c r="P207" s="134">
        <f t="shared" si="167"/>
        <v>0</v>
      </c>
      <c r="Q207" s="78">
        <f t="shared" ref="Q207:Q216" si="196">SUM(T207,R207)</f>
        <v>0</v>
      </c>
      <c r="R207" s="79">
        <v>0</v>
      </c>
      <c r="S207" s="80">
        <v>0</v>
      </c>
      <c r="T207" s="81">
        <v>0</v>
      </c>
      <c r="U207" s="70">
        <f t="shared" si="155"/>
        <v>0</v>
      </c>
      <c r="V207" s="71">
        <f t="shared" si="156"/>
        <v>0</v>
      </c>
      <c r="W207" s="72">
        <f t="shared" si="168"/>
        <v>0</v>
      </c>
      <c r="X207" s="134">
        <f t="shared" si="169"/>
        <v>0</v>
      </c>
      <c r="Y207" s="78">
        <f t="shared" ref="Y207:Y216" si="197">SUM(AB207,Z207)</f>
        <v>0</v>
      </c>
      <c r="Z207" s="79">
        <v>0</v>
      </c>
      <c r="AA207" s="80">
        <v>0</v>
      </c>
      <c r="AB207" s="81">
        <v>0</v>
      </c>
      <c r="AC207" s="70">
        <f t="shared" si="157"/>
        <v>0</v>
      </c>
      <c r="AD207" s="71">
        <f t="shared" ref="AD207:AD216" si="198">V207+Z207</f>
        <v>0</v>
      </c>
      <c r="AE207" s="72">
        <f t="shared" si="170"/>
        <v>0</v>
      </c>
      <c r="AF207" s="134">
        <f t="shared" si="171"/>
        <v>0</v>
      </c>
      <c r="AG207" s="78">
        <f t="shared" ref="AG207:AG216" si="199">SUM(AJ207,AH207)</f>
        <v>0</v>
      </c>
      <c r="AH207" s="79">
        <v>0</v>
      </c>
      <c r="AI207" s="80">
        <v>0</v>
      </c>
      <c r="AJ207" s="81">
        <v>0</v>
      </c>
      <c r="AK207" s="70">
        <f t="shared" si="180"/>
        <v>0</v>
      </c>
      <c r="AL207" s="71">
        <f t="shared" ref="AL207:AL216" si="200">AD207+AH207</f>
        <v>0</v>
      </c>
      <c r="AM207" s="72">
        <f t="shared" si="150"/>
        <v>0</v>
      </c>
      <c r="AN207" s="134">
        <f t="shared" si="191"/>
        <v>0</v>
      </c>
      <c r="AO207" s="78">
        <f t="shared" ref="AO207:AO216" si="201">SUM(AR207,AP207)</f>
        <v>0</v>
      </c>
      <c r="AP207" s="79">
        <v>0</v>
      </c>
      <c r="AQ207" s="80">
        <v>0</v>
      </c>
      <c r="AR207" s="81">
        <v>0</v>
      </c>
      <c r="AS207" s="70">
        <f t="shared" si="183"/>
        <v>0</v>
      </c>
      <c r="AT207" s="71">
        <f t="shared" ref="AT207:AT216" si="202">AL207+AP207</f>
        <v>0</v>
      </c>
      <c r="AU207" s="72">
        <f t="shared" si="151"/>
        <v>0</v>
      </c>
      <c r="AV207" s="134">
        <f t="shared" si="192"/>
        <v>0</v>
      </c>
      <c r="AW207" s="78">
        <f t="shared" ref="AW207:AW216" si="203">SUM(AZ207,AX207)</f>
        <v>0</v>
      </c>
      <c r="AX207" s="79">
        <v>0</v>
      </c>
      <c r="AY207" s="80">
        <v>0</v>
      </c>
      <c r="AZ207" s="81">
        <v>0</v>
      </c>
      <c r="BA207" s="70">
        <f t="shared" si="186"/>
        <v>0</v>
      </c>
      <c r="BB207" s="71">
        <f t="shared" ref="BB207:BB216" si="204">AT207+AX207</f>
        <v>0</v>
      </c>
      <c r="BC207" s="72">
        <f t="shared" si="152"/>
        <v>0</v>
      </c>
      <c r="BD207" s="134">
        <f t="shared" si="193"/>
        <v>0</v>
      </c>
      <c r="BE207" s="78">
        <f t="shared" ref="BE207:BE216" si="205">SUM(BH207,BF207)</f>
        <v>0</v>
      </c>
      <c r="BF207" s="79">
        <v>0</v>
      </c>
      <c r="BG207" s="80">
        <v>0</v>
      </c>
      <c r="BH207" s="81">
        <v>0</v>
      </c>
      <c r="BI207" s="70">
        <f t="shared" si="189"/>
        <v>0</v>
      </c>
      <c r="BJ207" s="71">
        <f t="shared" ref="BJ207:BJ216" si="206">BB207+BF207</f>
        <v>0</v>
      </c>
      <c r="BK207" s="72">
        <f t="shared" si="153"/>
        <v>0</v>
      </c>
      <c r="BL207" s="134">
        <f t="shared" si="194"/>
        <v>0</v>
      </c>
    </row>
    <row r="208" spans="1:64" ht="12.9" x14ac:dyDescent="0.35">
      <c r="A208" s="25" t="s">
        <v>22</v>
      </c>
      <c r="B208" s="26" t="s">
        <v>34</v>
      </c>
      <c r="C208" s="27" t="s">
        <v>82</v>
      </c>
      <c r="D208" s="25" t="s">
        <v>125</v>
      </c>
      <c r="E208" s="78">
        <f t="shared" si="154"/>
        <v>2.645</v>
      </c>
      <c r="F208" s="79">
        <v>2.645</v>
      </c>
      <c r="G208" s="80"/>
      <c r="H208" s="81"/>
      <c r="I208" s="78">
        <f t="shared" si="195"/>
        <v>0</v>
      </c>
      <c r="J208" s="79"/>
      <c r="K208" s="80"/>
      <c r="L208" s="81"/>
      <c r="M208" s="70">
        <f t="shared" si="164"/>
        <v>2.645</v>
      </c>
      <c r="N208" s="71">
        <f t="shared" si="165"/>
        <v>2.645</v>
      </c>
      <c r="O208" s="72">
        <f t="shared" si="166"/>
        <v>0</v>
      </c>
      <c r="P208" s="134">
        <f t="shared" si="167"/>
        <v>0</v>
      </c>
      <c r="Q208" s="78">
        <f t="shared" si="196"/>
        <v>0</v>
      </c>
      <c r="R208" s="79"/>
      <c r="S208" s="80"/>
      <c r="T208" s="81"/>
      <c r="U208" s="70">
        <f t="shared" si="155"/>
        <v>2.645</v>
      </c>
      <c r="V208" s="71">
        <f t="shared" si="156"/>
        <v>2.645</v>
      </c>
      <c r="W208" s="72">
        <f t="shared" si="168"/>
        <v>0</v>
      </c>
      <c r="X208" s="134">
        <f t="shared" si="169"/>
        <v>0</v>
      </c>
      <c r="Y208" s="78">
        <f t="shared" si="197"/>
        <v>0</v>
      </c>
      <c r="Z208" s="79"/>
      <c r="AA208" s="80"/>
      <c r="AB208" s="81"/>
      <c r="AC208" s="70">
        <f t="shared" si="157"/>
        <v>2.645</v>
      </c>
      <c r="AD208" s="71">
        <f t="shared" si="198"/>
        <v>2.645</v>
      </c>
      <c r="AE208" s="72">
        <f t="shared" si="170"/>
        <v>0</v>
      </c>
      <c r="AF208" s="134">
        <f t="shared" si="171"/>
        <v>0</v>
      </c>
      <c r="AG208" s="78">
        <f t="shared" si="199"/>
        <v>0</v>
      </c>
      <c r="AH208" s="79"/>
      <c r="AI208" s="80"/>
      <c r="AJ208" s="81"/>
      <c r="AK208" s="70">
        <f t="shared" si="180"/>
        <v>2.645</v>
      </c>
      <c r="AL208" s="71">
        <f t="shared" si="200"/>
        <v>2.645</v>
      </c>
      <c r="AM208" s="72">
        <f t="shared" si="150"/>
        <v>0</v>
      </c>
      <c r="AN208" s="134">
        <f t="shared" si="191"/>
        <v>0</v>
      </c>
      <c r="AO208" s="78">
        <f t="shared" si="201"/>
        <v>0</v>
      </c>
      <c r="AP208" s="79"/>
      <c r="AQ208" s="80"/>
      <c r="AR208" s="81"/>
      <c r="AS208" s="70">
        <f t="shared" si="183"/>
        <v>2.645</v>
      </c>
      <c r="AT208" s="71">
        <f t="shared" si="202"/>
        <v>2.645</v>
      </c>
      <c r="AU208" s="72">
        <f t="shared" si="151"/>
        <v>0</v>
      </c>
      <c r="AV208" s="134">
        <f t="shared" si="192"/>
        <v>0</v>
      </c>
      <c r="AW208" s="78">
        <f t="shared" si="203"/>
        <v>0.5</v>
      </c>
      <c r="AX208" s="79">
        <v>0.5</v>
      </c>
      <c r="AY208" s="80"/>
      <c r="AZ208" s="81"/>
      <c r="BA208" s="70">
        <f t="shared" si="186"/>
        <v>3.145</v>
      </c>
      <c r="BB208" s="71">
        <f t="shared" si="204"/>
        <v>3.145</v>
      </c>
      <c r="BC208" s="72">
        <f t="shared" si="152"/>
        <v>0</v>
      </c>
      <c r="BD208" s="134">
        <f t="shared" si="193"/>
        <v>0</v>
      </c>
      <c r="BE208" s="78">
        <f t="shared" si="205"/>
        <v>0</v>
      </c>
      <c r="BF208" s="79"/>
      <c r="BG208" s="80"/>
      <c r="BH208" s="81"/>
      <c r="BI208" s="70">
        <f t="shared" si="189"/>
        <v>3.145</v>
      </c>
      <c r="BJ208" s="71">
        <f t="shared" si="206"/>
        <v>3.145</v>
      </c>
      <c r="BK208" s="72">
        <f t="shared" si="153"/>
        <v>0</v>
      </c>
      <c r="BL208" s="134">
        <f t="shared" si="194"/>
        <v>0</v>
      </c>
    </row>
    <row r="209" spans="1:64" ht="12.9" x14ac:dyDescent="0.35">
      <c r="A209" s="231" t="s">
        <v>25</v>
      </c>
      <c r="B209" s="262" t="s">
        <v>41</v>
      </c>
      <c r="C209" s="27" t="s">
        <v>83</v>
      </c>
      <c r="D209" s="25" t="s">
        <v>125</v>
      </c>
      <c r="E209" s="78">
        <f t="shared" si="154"/>
        <v>1346.624</v>
      </c>
      <c r="F209" s="79">
        <f>1240.555+100.069</f>
        <v>1340.624</v>
      </c>
      <c r="G209" s="80">
        <f>1168.34+73.5</f>
        <v>1241.8399999999999</v>
      </c>
      <c r="H209" s="81">
        <v>6</v>
      </c>
      <c r="I209" s="78">
        <f t="shared" si="195"/>
        <v>0</v>
      </c>
      <c r="J209" s="79"/>
      <c r="K209" s="80"/>
      <c r="L209" s="81"/>
      <c r="M209" s="70">
        <f t="shared" si="164"/>
        <v>1346.624</v>
      </c>
      <c r="N209" s="71">
        <f t="shared" si="165"/>
        <v>1340.624</v>
      </c>
      <c r="O209" s="72">
        <f t="shared" si="166"/>
        <v>1241.8399999999999</v>
      </c>
      <c r="P209" s="134">
        <f t="shared" si="167"/>
        <v>6</v>
      </c>
      <c r="Q209" s="78">
        <f t="shared" si="196"/>
        <v>3.4049999999999998</v>
      </c>
      <c r="R209" s="79">
        <v>3.4049999999999998</v>
      </c>
      <c r="S209" s="80">
        <f>3.015-4.39</f>
        <v>-1.3749999999999996</v>
      </c>
      <c r="T209" s="81"/>
      <c r="U209" s="70">
        <f t="shared" si="155"/>
        <v>1350.029</v>
      </c>
      <c r="V209" s="71">
        <f t="shared" si="156"/>
        <v>1344.029</v>
      </c>
      <c r="W209" s="72">
        <f t="shared" si="168"/>
        <v>1240.4649999999999</v>
      </c>
      <c r="X209" s="134">
        <f t="shared" si="169"/>
        <v>6</v>
      </c>
      <c r="Y209" s="78">
        <f t="shared" si="197"/>
        <v>3.895</v>
      </c>
      <c r="Z209" s="79">
        <v>0.39500000000000002</v>
      </c>
      <c r="AA209" s="80">
        <v>-1.6</v>
      </c>
      <c r="AB209" s="81">
        <v>3.5</v>
      </c>
      <c r="AC209" s="70">
        <f t="shared" si="157"/>
        <v>1353.924</v>
      </c>
      <c r="AD209" s="71">
        <f t="shared" si="198"/>
        <v>1344.424</v>
      </c>
      <c r="AE209" s="72">
        <f t="shared" si="170"/>
        <v>1238.865</v>
      </c>
      <c r="AF209" s="134">
        <f t="shared" si="171"/>
        <v>9.5</v>
      </c>
      <c r="AG209" s="78">
        <f t="shared" si="199"/>
        <v>0</v>
      </c>
      <c r="AH209" s="79"/>
      <c r="AI209" s="80"/>
      <c r="AJ209" s="81"/>
      <c r="AK209" s="70">
        <f t="shared" si="180"/>
        <v>1353.924</v>
      </c>
      <c r="AL209" s="71">
        <f t="shared" si="200"/>
        <v>1344.424</v>
      </c>
      <c r="AM209" s="72">
        <f t="shared" si="150"/>
        <v>1238.865</v>
      </c>
      <c r="AN209" s="134">
        <f t="shared" si="191"/>
        <v>9.5</v>
      </c>
      <c r="AO209" s="78">
        <f t="shared" si="201"/>
        <v>0</v>
      </c>
      <c r="AP209" s="79"/>
      <c r="AQ209" s="80">
        <v>-5.0999999999999996</v>
      </c>
      <c r="AR209" s="81"/>
      <c r="AS209" s="70">
        <f t="shared" si="183"/>
        <v>1353.924</v>
      </c>
      <c r="AT209" s="71">
        <f t="shared" si="202"/>
        <v>1344.424</v>
      </c>
      <c r="AU209" s="72">
        <f t="shared" si="151"/>
        <v>1233.7650000000001</v>
      </c>
      <c r="AV209" s="134">
        <f t="shared" si="192"/>
        <v>9.5</v>
      </c>
      <c r="AW209" s="78">
        <f t="shared" si="203"/>
        <v>-13.86</v>
      </c>
      <c r="AX209" s="79">
        <f>3.2-14.11+1.4+1.65</f>
        <v>-7.8599999999999994</v>
      </c>
      <c r="AY209" s="80">
        <f>-4.863-6.5+0.879+1.259</f>
        <v>-9.2249999999999996</v>
      </c>
      <c r="AZ209" s="81">
        <v>-6</v>
      </c>
      <c r="BA209" s="70">
        <f t="shared" si="186"/>
        <v>1340.0640000000001</v>
      </c>
      <c r="BB209" s="71">
        <f t="shared" si="204"/>
        <v>1336.5640000000001</v>
      </c>
      <c r="BC209" s="72">
        <f t="shared" si="152"/>
        <v>1224.5400000000002</v>
      </c>
      <c r="BD209" s="134">
        <f t="shared" si="193"/>
        <v>3.5</v>
      </c>
      <c r="BE209" s="78">
        <f t="shared" si="205"/>
        <v>27.54</v>
      </c>
      <c r="BF209" s="79">
        <v>17.239999999999998</v>
      </c>
      <c r="BG209" s="80">
        <v>15.2</v>
      </c>
      <c r="BH209" s="81">
        <v>10.3</v>
      </c>
      <c r="BI209" s="70">
        <f t="shared" si="189"/>
        <v>1367.604</v>
      </c>
      <c r="BJ209" s="71">
        <f t="shared" si="206"/>
        <v>1353.8040000000001</v>
      </c>
      <c r="BK209" s="72">
        <f t="shared" si="153"/>
        <v>1239.7400000000002</v>
      </c>
      <c r="BL209" s="134">
        <f t="shared" si="194"/>
        <v>13.8</v>
      </c>
    </row>
    <row r="210" spans="1:64" ht="12.9" x14ac:dyDescent="0.35">
      <c r="A210" s="241"/>
      <c r="B210" s="263"/>
      <c r="C210" s="27" t="s">
        <v>170</v>
      </c>
      <c r="D210" s="25" t="s">
        <v>49</v>
      </c>
      <c r="E210" s="78">
        <f t="shared" si="154"/>
        <v>17.684999999999999</v>
      </c>
      <c r="F210" s="79">
        <v>17.684999999999999</v>
      </c>
      <c r="G210" s="80">
        <v>17.43</v>
      </c>
      <c r="H210" s="81"/>
      <c r="I210" s="78">
        <f t="shared" si="195"/>
        <v>0</v>
      </c>
      <c r="J210" s="79"/>
      <c r="K210" s="80"/>
      <c r="L210" s="81"/>
      <c r="M210" s="70">
        <f t="shared" si="164"/>
        <v>17.684999999999999</v>
      </c>
      <c r="N210" s="71">
        <f t="shared" si="165"/>
        <v>17.684999999999999</v>
      </c>
      <c r="O210" s="72">
        <f t="shared" si="166"/>
        <v>17.43</v>
      </c>
      <c r="P210" s="134">
        <f t="shared" si="167"/>
        <v>0</v>
      </c>
      <c r="Q210" s="78">
        <f t="shared" si="196"/>
        <v>0</v>
      </c>
      <c r="R210" s="79"/>
      <c r="S210" s="80"/>
      <c r="T210" s="81"/>
      <c r="U210" s="70">
        <f t="shared" si="155"/>
        <v>17.684999999999999</v>
      </c>
      <c r="V210" s="71">
        <f t="shared" si="156"/>
        <v>17.684999999999999</v>
      </c>
      <c r="W210" s="72">
        <f t="shared" si="168"/>
        <v>17.43</v>
      </c>
      <c r="X210" s="134">
        <f t="shared" si="169"/>
        <v>0</v>
      </c>
      <c r="Y210" s="78">
        <f t="shared" si="197"/>
        <v>0</v>
      </c>
      <c r="Z210" s="79"/>
      <c r="AA210" s="80"/>
      <c r="AB210" s="81"/>
      <c r="AC210" s="70">
        <f t="shared" si="157"/>
        <v>17.684999999999999</v>
      </c>
      <c r="AD210" s="71">
        <f t="shared" si="198"/>
        <v>17.684999999999999</v>
      </c>
      <c r="AE210" s="72">
        <f t="shared" si="170"/>
        <v>17.43</v>
      </c>
      <c r="AF210" s="134">
        <f t="shared" si="171"/>
        <v>0</v>
      </c>
      <c r="AG210" s="78">
        <f t="shared" si="199"/>
        <v>0</v>
      </c>
      <c r="AH210" s="79"/>
      <c r="AI210" s="80"/>
      <c r="AJ210" s="81"/>
      <c r="AK210" s="70">
        <f t="shared" si="180"/>
        <v>17.684999999999999</v>
      </c>
      <c r="AL210" s="71">
        <f t="shared" si="200"/>
        <v>17.684999999999999</v>
      </c>
      <c r="AM210" s="72">
        <f t="shared" si="150"/>
        <v>17.43</v>
      </c>
      <c r="AN210" s="134">
        <f t="shared" si="191"/>
        <v>0</v>
      </c>
      <c r="AO210" s="78">
        <f t="shared" si="201"/>
        <v>0</v>
      </c>
      <c r="AP210" s="79"/>
      <c r="AQ210" s="80"/>
      <c r="AR210" s="81"/>
      <c r="AS210" s="70">
        <f t="shared" si="183"/>
        <v>17.684999999999999</v>
      </c>
      <c r="AT210" s="71">
        <f t="shared" si="202"/>
        <v>17.684999999999999</v>
      </c>
      <c r="AU210" s="72">
        <f t="shared" si="151"/>
        <v>17.43</v>
      </c>
      <c r="AV210" s="134">
        <f t="shared" si="192"/>
        <v>0</v>
      </c>
      <c r="AW210" s="78">
        <f t="shared" si="203"/>
        <v>0.83</v>
      </c>
      <c r="AX210" s="79">
        <v>0.83</v>
      </c>
      <c r="AY210" s="80">
        <v>0.82</v>
      </c>
      <c r="AZ210" s="81"/>
      <c r="BA210" s="70">
        <f t="shared" si="186"/>
        <v>18.514999999999997</v>
      </c>
      <c r="BB210" s="71">
        <f t="shared" si="204"/>
        <v>18.514999999999997</v>
      </c>
      <c r="BC210" s="72">
        <f t="shared" si="152"/>
        <v>18.25</v>
      </c>
      <c r="BD210" s="134">
        <f t="shared" si="193"/>
        <v>0</v>
      </c>
      <c r="BE210" s="78">
        <f t="shared" si="205"/>
        <v>0</v>
      </c>
      <c r="BF210" s="79"/>
      <c r="BG210" s="80"/>
      <c r="BH210" s="81"/>
      <c r="BI210" s="70">
        <f t="shared" si="189"/>
        <v>18.514999999999997</v>
      </c>
      <c r="BJ210" s="71">
        <f t="shared" si="206"/>
        <v>18.514999999999997</v>
      </c>
      <c r="BK210" s="72">
        <f t="shared" si="153"/>
        <v>18.25</v>
      </c>
      <c r="BL210" s="134">
        <f t="shared" si="194"/>
        <v>0</v>
      </c>
    </row>
    <row r="211" spans="1:64" ht="12.9" x14ac:dyDescent="0.35">
      <c r="A211" s="241"/>
      <c r="B211" s="263"/>
      <c r="C211" s="27" t="s">
        <v>171</v>
      </c>
      <c r="D211" s="25" t="s">
        <v>187</v>
      </c>
      <c r="E211" s="78">
        <f t="shared" si="154"/>
        <v>3.42</v>
      </c>
      <c r="F211" s="79">
        <v>3.42</v>
      </c>
      <c r="G211" s="80">
        <v>2.4500000000000002</v>
      </c>
      <c r="H211" s="81"/>
      <c r="I211" s="78">
        <f t="shared" si="195"/>
        <v>0</v>
      </c>
      <c r="J211" s="79"/>
      <c r="K211" s="80"/>
      <c r="L211" s="81"/>
      <c r="M211" s="70">
        <f t="shared" si="164"/>
        <v>3.42</v>
      </c>
      <c r="N211" s="71">
        <f t="shared" si="165"/>
        <v>3.42</v>
      </c>
      <c r="O211" s="72">
        <f t="shared" si="166"/>
        <v>2.4500000000000002</v>
      </c>
      <c r="P211" s="134">
        <f t="shared" si="167"/>
        <v>0</v>
      </c>
      <c r="Q211" s="78">
        <f t="shared" si="196"/>
        <v>0</v>
      </c>
      <c r="R211" s="79"/>
      <c r="S211" s="80"/>
      <c r="T211" s="81"/>
      <c r="U211" s="70">
        <f t="shared" si="155"/>
        <v>3.42</v>
      </c>
      <c r="V211" s="71">
        <f t="shared" si="156"/>
        <v>3.42</v>
      </c>
      <c r="W211" s="72">
        <f t="shared" si="168"/>
        <v>2.4500000000000002</v>
      </c>
      <c r="X211" s="134">
        <f t="shared" si="169"/>
        <v>0</v>
      </c>
      <c r="Y211" s="78">
        <f t="shared" si="197"/>
        <v>0</v>
      </c>
      <c r="Z211" s="79"/>
      <c r="AA211" s="80"/>
      <c r="AB211" s="81"/>
      <c r="AC211" s="70">
        <f t="shared" si="157"/>
        <v>3.42</v>
      </c>
      <c r="AD211" s="71">
        <f t="shared" si="198"/>
        <v>3.42</v>
      </c>
      <c r="AE211" s="72">
        <f t="shared" si="170"/>
        <v>2.4500000000000002</v>
      </c>
      <c r="AF211" s="134">
        <f t="shared" si="171"/>
        <v>0</v>
      </c>
      <c r="AG211" s="78">
        <f t="shared" si="199"/>
        <v>0</v>
      </c>
      <c r="AH211" s="79"/>
      <c r="AI211" s="80"/>
      <c r="AJ211" s="81"/>
      <c r="AK211" s="70">
        <f t="shared" si="180"/>
        <v>3.42</v>
      </c>
      <c r="AL211" s="71">
        <f t="shared" si="200"/>
        <v>3.42</v>
      </c>
      <c r="AM211" s="72">
        <f t="shared" si="150"/>
        <v>2.4500000000000002</v>
      </c>
      <c r="AN211" s="134">
        <f t="shared" si="191"/>
        <v>0</v>
      </c>
      <c r="AO211" s="78">
        <f t="shared" si="201"/>
        <v>0</v>
      </c>
      <c r="AP211" s="79"/>
      <c r="AQ211" s="80"/>
      <c r="AR211" s="81"/>
      <c r="AS211" s="70">
        <f t="shared" si="183"/>
        <v>3.42</v>
      </c>
      <c r="AT211" s="71">
        <f t="shared" si="202"/>
        <v>3.42</v>
      </c>
      <c r="AU211" s="72">
        <f t="shared" si="151"/>
        <v>2.4500000000000002</v>
      </c>
      <c r="AV211" s="134">
        <f t="shared" si="192"/>
        <v>0</v>
      </c>
      <c r="AW211" s="78">
        <f t="shared" si="203"/>
        <v>0</v>
      </c>
      <c r="AX211" s="79"/>
      <c r="AY211" s="80"/>
      <c r="AZ211" s="81"/>
      <c r="BA211" s="70">
        <f t="shared" si="186"/>
        <v>3.42</v>
      </c>
      <c r="BB211" s="71">
        <f t="shared" si="204"/>
        <v>3.42</v>
      </c>
      <c r="BC211" s="72">
        <f t="shared" si="152"/>
        <v>2.4500000000000002</v>
      </c>
      <c r="BD211" s="134">
        <f t="shared" si="193"/>
        <v>0</v>
      </c>
      <c r="BE211" s="78">
        <f t="shared" si="205"/>
        <v>0</v>
      </c>
      <c r="BF211" s="79"/>
      <c r="BG211" s="80"/>
      <c r="BH211" s="81"/>
      <c r="BI211" s="70">
        <f t="shared" si="189"/>
        <v>3.42</v>
      </c>
      <c r="BJ211" s="71">
        <f t="shared" si="206"/>
        <v>3.42</v>
      </c>
      <c r="BK211" s="72">
        <f t="shared" si="153"/>
        <v>2.4500000000000002</v>
      </c>
      <c r="BL211" s="134">
        <f t="shared" si="194"/>
        <v>0</v>
      </c>
    </row>
    <row r="212" spans="1:64" ht="12.9" x14ac:dyDescent="0.35">
      <c r="A212" s="232"/>
      <c r="B212" s="264"/>
      <c r="C212" s="27" t="s">
        <v>188</v>
      </c>
      <c r="D212" s="25" t="s">
        <v>137</v>
      </c>
      <c r="E212" s="78">
        <f t="shared" si="154"/>
        <v>0.94</v>
      </c>
      <c r="F212" s="79">
        <v>0.94</v>
      </c>
      <c r="G212" s="80">
        <v>0.93</v>
      </c>
      <c r="H212" s="81"/>
      <c r="I212" s="78">
        <f t="shared" si="195"/>
        <v>39.56</v>
      </c>
      <c r="J212" s="79">
        <v>39.56</v>
      </c>
      <c r="K212" s="80">
        <v>23.408000000000001</v>
      </c>
      <c r="L212" s="81"/>
      <c r="M212" s="70">
        <f t="shared" si="164"/>
        <v>40.5</v>
      </c>
      <c r="N212" s="71">
        <f t="shared" si="165"/>
        <v>40.5</v>
      </c>
      <c r="O212" s="72">
        <f t="shared" si="166"/>
        <v>24.338000000000001</v>
      </c>
      <c r="P212" s="134">
        <f t="shared" si="167"/>
        <v>0</v>
      </c>
      <c r="Q212" s="78">
        <f t="shared" si="196"/>
        <v>23.77</v>
      </c>
      <c r="R212" s="79">
        <f>0.59+19.38+3.8</f>
        <v>23.77</v>
      </c>
      <c r="S212" s="80">
        <f>7.01+0.965</f>
        <v>7.9749999999999996</v>
      </c>
      <c r="T212" s="81"/>
      <c r="U212" s="70">
        <f t="shared" si="155"/>
        <v>64.27</v>
      </c>
      <c r="V212" s="71">
        <f t="shared" si="156"/>
        <v>64.27</v>
      </c>
      <c r="W212" s="72">
        <f t="shared" si="168"/>
        <v>32.313000000000002</v>
      </c>
      <c r="X212" s="134">
        <f t="shared" si="169"/>
        <v>0</v>
      </c>
      <c r="Y212" s="78">
        <f t="shared" si="197"/>
        <v>4.3029999999999999</v>
      </c>
      <c r="Z212" s="79">
        <f>1.971+2.332</f>
        <v>4.3029999999999999</v>
      </c>
      <c r="AA212" s="80">
        <v>-2.6160000000000001</v>
      </c>
      <c r="AB212" s="81"/>
      <c r="AC212" s="70">
        <f>SUM(AF212,AD212)</f>
        <v>68.572999999999993</v>
      </c>
      <c r="AD212" s="71">
        <f t="shared" si="198"/>
        <v>68.572999999999993</v>
      </c>
      <c r="AE212" s="72">
        <f t="shared" si="170"/>
        <v>29.697000000000003</v>
      </c>
      <c r="AF212" s="134">
        <f t="shared" si="171"/>
        <v>0</v>
      </c>
      <c r="AG212" s="78">
        <f t="shared" si="199"/>
        <v>11.774000000000001</v>
      </c>
      <c r="AH212" s="79">
        <v>8.5739999999999998</v>
      </c>
      <c r="AI212" s="80"/>
      <c r="AJ212" s="81">
        <v>3.2</v>
      </c>
      <c r="AK212" s="70">
        <f>SUM(AN212,AL212)</f>
        <v>80.346999999999994</v>
      </c>
      <c r="AL212" s="71">
        <f t="shared" si="200"/>
        <v>77.146999999999991</v>
      </c>
      <c r="AM212" s="72">
        <f t="shared" ref="AM212:AM215" si="207">AE212+AI212</f>
        <v>29.697000000000003</v>
      </c>
      <c r="AN212" s="134">
        <f t="shared" si="191"/>
        <v>3.2</v>
      </c>
      <c r="AO212" s="78">
        <f t="shared" si="201"/>
        <v>0</v>
      </c>
      <c r="AP212" s="79">
        <v>3.2</v>
      </c>
      <c r="AQ212" s="80"/>
      <c r="AR212" s="81">
        <v>-3.2</v>
      </c>
      <c r="AS212" s="70">
        <f>SUM(AV212,AT212)</f>
        <v>80.346999999999994</v>
      </c>
      <c r="AT212" s="71">
        <f t="shared" si="202"/>
        <v>80.346999999999994</v>
      </c>
      <c r="AU212" s="72">
        <f t="shared" ref="AU212:AU215" si="208">AM212+AQ212</f>
        <v>29.697000000000003</v>
      </c>
      <c r="AV212" s="134">
        <f t="shared" si="192"/>
        <v>0</v>
      </c>
      <c r="AW212" s="78">
        <f t="shared" si="203"/>
        <v>0</v>
      </c>
      <c r="AX212" s="79"/>
      <c r="AY212" s="80"/>
      <c r="AZ212" s="81"/>
      <c r="BA212" s="70">
        <f>SUM(BD212,BB212)</f>
        <v>80.346999999999994</v>
      </c>
      <c r="BB212" s="71">
        <f t="shared" si="204"/>
        <v>80.346999999999994</v>
      </c>
      <c r="BC212" s="72">
        <f t="shared" ref="BC212:BC215" si="209">AU212+AY212</f>
        <v>29.697000000000003</v>
      </c>
      <c r="BD212" s="134">
        <f t="shared" si="193"/>
        <v>0</v>
      </c>
      <c r="BE212" s="78">
        <f t="shared" si="205"/>
        <v>6.19</v>
      </c>
      <c r="BF212" s="79"/>
      <c r="BG212" s="80"/>
      <c r="BH212" s="81">
        <v>6.19</v>
      </c>
      <c r="BI212" s="70">
        <f>SUM(BL212,BJ212)</f>
        <v>86.536999999999992</v>
      </c>
      <c r="BJ212" s="71">
        <f t="shared" si="206"/>
        <v>80.346999999999994</v>
      </c>
      <c r="BK212" s="72">
        <f t="shared" ref="BK212:BK215" si="210">BC212+BG212</f>
        <v>29.697000000000003</v>
      </c>
      <c r="BL212" s="134">
        <f t="shared" si="194"/>
        <v>6.19</v>
      </c>
    </row>
    <row r="213" spans="1:64" ht="12.9" x14ac:dyDescent="0.35">
      <c r="A213" s="45" t="s">
        <v>33</v>
      </c>
      <c r="B213" s="46" t="s">
        <v>45</v>
      </c>
      <c r="C213" s="27" t="s">
        <v>200</v>
      </c>
      <c r="D213" s="25" t="s">
        <v>125</v>
      </c>
      <c r="E213" s="78">
        <f t="shared" si="154"/>
        <v>0.5</v>
      </c>
      <c r="F213" s="79">
        <v>0.5</v>
      </c>
      <c r="G213" s="80"/>
      <c r="H213" s="81"/>
      <c r="I213" s="78">
        <f t="shared" si="195"/>
        <v>0</v>
      </c>
      <c r="J213" s="79"/>
      <c r="K213" s="80"/>
      <c r="L213" s="81"/>
      <c r="M213" s="70">
        <f t="shared" si="164"/>
        <v>0.5</v>
      </c>
      <c r="N213" s="71">
        <f t="shared" si="165"/>
        <v>0.5</v>
      </c>
      <c r="O213" s="72">
        <f t="shared" si="166"/>
        <v>0</v>
      </c>
      <c r="P213" s="134">
        <f t="shared" si="167"/>
        <v>0</v>
      </c>
      <c r="Q213" s="78">
        <f t="shared" si="196"/>
        <v>0</v>
      </c>
      <c r="R213" s="79"/>
      <c r="S213" s="80"/>
      <c r="T213" s="81"/>
      <c r="U213" s="70">
        <f t="shared" si="155"/>
        <v>0.5</v>
      </c>
      <c r="V213" s="71">
        <f t="shared" si="156"/>
        <v>0.5</v>
      </c>
      <c r="W213" s="72">
        <f t="shared" si="168"/>
        <v>0</v>
      </c>
      <c r="X213" s="134">
        <f t="shared" si="169"/>
        <v>0</v>
      </c>
      <c r="Y213" s="78">
        <f t="shared" si="197"/>
        <v>0</v>
      </c>
      <c r="Z213" s="79"/>
      <c r="AA213" s="80"/>
      <c r="AB213" s="81"/>
      <c r="AC213" s="70">
        <f t="shared" si="157"/>
        <v>0.5</v>
      </c>
      <c r="AD213" s="71">
        <f t="shared" si="198"/>
        <v>0.5</v>
      </c>
      <c r="AE213" s="72">
        <f t="shared" si="170"/>
        <v>0</v>
      </c>
      <c r="AF213" s="134">
        <f t="shared" si="171"/>
        <v>0</v>
      </c>
      <c r="AG213" s="78">
        <f t="shared" si="199"/>
        <v>0</v>
      </c>
      <c r="AH213" s="79"/>
      <c r="AI213" s="80"/>
      <c r="AJ213" s="81"/>
      <c r="AK213" s="70">
        <f t="shared" ref="AK213:AK278" si="211">SUM(AN213,AL213)</f>
        <v>0.5</v>
      </c>
      <c r="AL213" s="71">
        <f t="shared" si="200"/>
        <v>0.5</v>
      </c>
      <c r="AM213" s="72">
        <f t="shared" si="207"/>
        <v>0</v>
      </c>
      <c r="AN213" s="134">
        <f t="shared" si="191"/>
        <v>0</v>
      </c>
      <c r="AO213" s="78">
        <f t="shared" si="201"/>
        <v>0</v>
      </c>
      <c r="AP213" s="79"/>
      <c r="AQ213" s="80"/>
      <c r="AR213" s="81"/>
      <c r="AS213" s="70">
        <f t="shared" ref="AS213:AS278" si="212">SUM(AV213,AT213)</f>
        <v>0.5</v>
      </c>
      <c r="AT213" s="71">
        <f t="shared" si="202"/>
        <v>0.5</v>
      </c>
      <c r="AU213" s="72">
        <f t="shared" si="208"/>
        <v>0</v>
      </c>
      <c r="AV213" s="134">
        <f t="shared" si="192"/>
        <v>0</v>
      </c>
      <c r="AW213" s="78">
        <f t="shared" si="203"/>
        <v>0</v>
      </c>
      <c r="AX213" s="79"/>
      <c r="AY213" s="80"/>
      <c r="AZ213" s="81"/>
      <c r="BA213" s="70">
        <f t="shared" ref="BA213:BA278" si="213">SUM(BD213,BB213)</f>
        <v>0.5</v>
      </c>
      <c r="BB213" s="71">
        <f t="shared" si="204"/>
        <v>0.5</v>
      </c>
      <c r="BC213" s="72">
        <f t="shared" si="209"/>
        <v>0</v>
      </c>
      <c r="BD213" s="134">
        <f t="shared" si="193"/>
        <v>0</v>
      </c>
      <c r="BE213" s="78">
        <f t="shared" si="205"/>
        <v>0</v>
      </c>
      <c r="BF213" s="79"/>
      <c r="BG213" s="80"/>
      <c r="BH213" s="81"/>
      <c r="BI213" s="70">
        <f t="shared" ref="BI213:BI278" si="214">SUM(BL213,BJ213)</f>
        <v>0.5</v>
      </c>
      <c r="BJ213" s="71">
        <f t="shared" si="206"/>
        <v>0.5</v>
      </c>
      <c r="BK213" s="72">
        <f t="shared" si="210"/>
        <v>0</v>
      </c>
      <c r="BL213" s="134">
        <f t="shared" si="194"/>
        <v>0</v>
      </c>
    </row>
    <row r="214" spans="1:64" ht="12.9" x14ac:dyDescent="0.35">
      <c r="A214" s="25" t="s">
        <v>32</v>
      </c>
      <c r="B214" s="76" t="s">
        <v>46</v>
      </c>
      <c r="C214" s="27" t="s">
        <v>252</v>
      </c>
      <c r="D214" s="25" t="s">
        <v>125</v>
      </c>
      <c r="E214" s="78">
        <f t="shared" si="154"/>
        <v>1.65</v>
      </c>
      <c r="F214" s="79">
        <v>1.65</v>
      </c>
      <c r="G214" s="80"/>
      <c r="H214" s="81"/>
      <c r="I214" s="78">
        <f t="shared" si="195"/>
        <v>0</v>
      </c>
      <c r="J214" s="79"/>
      <c r="K214" s="80"/>
      <c r="L214" s="81"/>
      <c r="M214" s="70">
        <f t="shared" si="164"/>
        <v>1.65</v>
      </c>
      <c r="N214" s="71">
        <f t="shared" si="165"/>
        <v>1.65</v>
      </c>
      <c r="O214" s="72">
        <f t="shared" si="166"/>
        <v>0</v>
      </c>
      <c r="P214" s="134">
        <f t="shared" si="167"/>
        <v>0</v>
      </c>
      <c r="Q214" s="78">
        <f t="shared" si="196"/>
        <v>0</v>
      </c>
      <c r="R214" s="79"/>
      <c r="S214" s="80"/>
      <c r="T214" s="81"/>
      <c r="U214" s="70">
        <f t="shared" si="155"/>
        <v>1.65</v>
      </c>
      <c r="V214" s="71">
        <f t="shared" si="156"/>
        <v>1.65</v>
      </c>
      <c r="W214" s="72">
        <f t="shared" si="168"/>
        <v>0</v>
      </c>
      <c r="X214" s="134">
        <f t="shared" si="169"/>
        <v>0</v>
      </c>
      <c r="Y214" s="78">
        <f t="shared" si="197"/>
        <v>0</v>
      </c>
      <c r="Z214" s="79"/>
      <c r="AA214" s="80"/>
      <c r="AB214" s="81"/>
      <c r="AC214" s="70">
        <f t="shared" si="157"/>
        <v>1.65</v>
      </c>
      <c r="AD214" s="71">
        <f t="shared" si="198"/>
        <v>1.65</v>
      </c>
      <c r="AE214" s="72">
        <f t="shared" si="170"/>
        <v>0</v>
      </c>
      <c r="AF214" s="134">
        <f t="shared" si="171"/>
        <v>0</v>
      </c>
      <c r="AG214" s="78">
        <f t="shared" si="199"/>
        <v>0</v>
      </c>
      <c r="AH214" s="79"/>
      <c r="AI214" s="80"/>
      <c r="AJ214" s="81"/>
      <c r="AK214" s="70">
        <f t="shared" si="211"/>
        <v>1.65</v>
      </c>
      <c r="AL214" s="71">
        <f t="shared" si="200"/>
        <v>1.65</v>
      </c>
      <c r="AM214" s="72">
        <f t="shared" si="207"/>
        <v>0</v>
      </c>
      <c r="AN214" s="134">
        <f t="shared" si="191"/>
        <v>0</v>
      </c>
      <c r="AO214" s="78">
        <f t="shared" si="201"/>
        <v>0</v>
      </c>
      <c r="AP214" s="79"/>
      <c r="AQ214" s="80"/>
      <c r="AR214" s="81"/>
      <c r="AS214" s="70">
        <f t="shared" si="212"/>
        <v>1.65</v>
      </c>
      <c r="AT214" s="71">
        <f t="shared" si="202"/>
        <v>1.65</v>
      </c>
      <c r="AU214" s="72">
        <f t="shared" si="208"/>
        <v>0</v>
      </c>
      <c r="AV214" s="134">
        <f t="shared" si="192"/>
        <v>0</v>
      </c>
      <c r="AW214" s="78">
        <f t="shared" si="203"/>
        <v>0.7</v>
      </c>
      <c r="AX214" s="79">
        <v>0.7</v>
      </c>
      <c r="AY214" s="80"/>
      <c r="AZ214" s="81"/>
      <c r="BA214" s="70">
        <f t="shared" si="213"/>
        <v>2.3499999999999996</v>
      </c>
      <c r="BB214" s="71">
        <f t="shared" si="204"/>
        <v>2.3499999999999996</v>
      </c>
      <c r="BC214" s="72">
        <f t="shared" si="209"/>
        <v>0</v>
      </c>
      <c r="BD214" s="134">
        <f t="shared" si="193"/>
        <v>0</v>
      </c>
      <c r="BE214" s="78">
        <f t="shared" si="205"/>
        <v>0</v>
      </c>
      <c r="BF214" s="79"/>
      <c r="BG214" s="80"/>
      <c r="BH214" s="81"/>
      <c r="BI214" s="70">
        <f t="shared" si="214"/>
        <v>2.3499999999999996</v>
      </c>
      <c r="BJ214" s="71">
        <f t="shared" si="206"/>
        <v>2.3499999999999996</v>
      </c>
      <c r="BK214" s="72">
        <f t="shared" si="210"/>
        <v>0</v>
      </c>
      <c r="BL214" s="134">
        <f t="shared" si="194"/>
        <v>0</v>
      </c>
    </row>
    <row r="215" spans="1:64" ht="12.9" x14ac:dyDescent="0.35">
      <c r="A215" s="283" t="s">
        <v>7</v>
      </c>
      <c r="B215" s="237" t="s">
        <v>48</v>
      </c>
      <c r="C215" s="27" t="s">
        <v>253</v>
      </c>
      <c r="D215" s="25" t="s">
        <v>125</v>
      </c>
      <c r="E215" s="78">
        <f t="shared" si="154"/>
        <v>8</v>
      </c>
      <c r="F215" s="79">
        <v>8</v>
      </c>
      <c r="G215" s="80"/>
      <c r="H215" s="81"/>
      <c r="I215" s="78">
        <f t="shared" si="195"/>
        <v>3.996</v>
      </c>
      <c r="J215" s="79">
        <v>3.996</v>
      </c>
      <c r="K215" s="80"/>
      <c r="L215" s="81"/>
      <c r="M215" s="70">
        <f t="shared" si="164"/>
        <v>11.996</v>
      </c>
      <c r="N215" s="71">
        <f t="shared" si="165"/>
        <v>11.996</v>
      </c>
      <c r="O215" s="72">
        <f t="shared" si="166"/>
        <v>0</v>
      </c>
      <c r="P215" s="134">
        <f t="shared" si="167"/>
        <v>0</v>
      </c>
      <c r="Q215" s="78">
        <f t="shared" si="196"/>
        <v>0</v>
      </c>
      <c r="R215" s="79"/>
      <c r="S215" s="80"/>
      <c r="T215" s="81"/>
      <c r="U215" s="70">
        <f t="shared" ref="U215:U282" si="215">SUM(X215,V215)</f>
        <v>11.996</v>
      </c>
      <c r="V215" s="71">
        <f t="shared" ref="V215:V282" si="216">N215+R215</f>
        <v>11.996</v>
      </c>
      <c r="W215" s="72">
        <f t="shared" si="168"/>
        <v>0</v>
      </c>
      <c r="X215" s="134">
        <f t="shared" si="169"/>
        <v>0</v>
      </c>
      <c r="Y215" s="78">
        <f t="shared" si="197"/>
        <v>0</v>
      </c>
      <c r="Z215" s="79"/>
      <c r="AA215" s="80"/>
      <c r="AB215" s="81"/>
      <c r="AC215" s="70">
        <f t="shared" ref="AC215:AC278" si="217">SUM(AF215,AD215)</f>
        <v>11.996</v>
      </c>
      <c r="AD215" s="71">
        <f t="shared" si="198"/>
        <v>11.996</v>
      </c>
      <c r="AE215" s="72">
        <f t="shared" si="170"/>
        <v>0</v>
      </c>
      <c r="AF215" s="134">
        <f t="shared" si="171"/>
        <v>0</v>
      </c>
      <c r="AG215" s="78">
        <f t="shared" si="199"/>
        <v>0</v>
      </c>
      <c r="AH215" s="79"/>
      <c r="AI215" s="80"/>
      <c r="AJ215" s="81"/>
      <c r="AK215" s="70">
        <f t="shared" si="211"/>
        <v>11.996</v>
      </c>
      <c r="AL215" s="71">
        <f t="shared" si="200"/>
        <v>11.996</v>
      </c>
      <c r="AM215" s="72">
        <f t="shared" si="207"/>
        <v>0</v>
      </c>
      <c r="AN215" s="134">
        <f t="shared" si="191"/>
        <v>0</v>
      </c>
      <c r="AO215" s="78">
        <f t="shared" si="201"/>
        <v>0</v>
      </c>
      <c r="AP215" s="79"/>
      <c r="AQ215" s="80"/>
      <c r="AR215" s="81"/>
      <c r="AS215" s="70">
        <f t="shared" si="212"/>
        <v>11.996</v>
      </c>
      <c r="AT215" s="71">
        <f t="shared" si="202"/>
        <v>11.996</v>
      </c>
      <c r="AU215" s="72">
        <f t="shared" si="208"/>
        <v>0</v>
      </c>
      <c r="AV215" s="134">
        <f t="shared" si="192"/>
        <v>0</v>
      </c>
      <c r="AW215" s="78">
        <f t="shared" si="203"/>
        <v>20.85</v>
      </c>
      <c r="AX215" s="79">
        <v>20.85</v>
      </c>
      <c r="AY215" s="80"/>
      <c r="AZ215" s="81"/>
      <c r="BA215" s="70">
        <f t="shared" si="213"/>
        <v>32.846000000000004</v>
      </c>
      <c r="BB215" s="71">
        <f t="shared" si="204"/>
        <v>32.846000000000004</v>
      </c>
      <c r="BC215" s="72">
        <f t="shared" si="209"/>
        <v>0</v>
      </c>
      <c r="BD215" s="134">
        <f t="shared" si="193"/>
        <v>0</v>
      </c>
      <c r="BE215" s="78">
        <f t="shared" si="205"/>
        <v>0</v>
      </c>
      <c r="BF215" s="79"/>
      <c r="BG215" s="80"/>
      <c r="BH215" s="81"/>
      <c r="BI215" s="70">
        <f t="shared" si="214"/>
        <v>32.846000000000004</v>
      </c>
      <c r="BJ215" s="71">
        <f t="shared" si="206"/>
        <v>32.846000000000004</v>
      </c>
      <c r="BK215" s="72">
        <f t="shared" si="210"/>
        <v>0</v>
      </c>
      <c r="BL215" s="134">
        <f t="shared" si="194"/>
        <v>0</v>
      </c>
    </row>
    <row r="216" spans="1:64" ht="12.9" x14ac:dyDescent="0.35">
      <c r="A216" s="284"/>
      <c r="B216" s="238"/>
      <c r="C216" s="27" t="s">
        <v>259</v>
      </c>
      <c r="D216" s="25" t="s">
        <v>137</v>
      </c>
      <c r="E216" s="78"/>
      <c r="F216" s="79"/>
      <c r="G216" s="80"/>
      <c r="H216" s="81"/>
      <c r="I216" s="78"/>
      <c r="J216" s="79"/>
      <c r="K216" s="80"/>
      <c r="L216" s="81"/>
      <c r="M216" s="70"/>
      <c r="N216" s="71"/>
      <c r="O216" s="72"/>
      <c r="P216" s="134"/>
      <c r="Q216" s="78">
        <f t="shared" si="196"/>
        <v>0.82199999999999995</v>
      </c>
      <c r="R216" s="79">
        <v>0.82199999999999995</v>
      </c>
      <c r="S216" s="80"/>
      <c r="T216" s="81"/>
      <c r="U216" s="70">
        <f t="shared" ref="U216" si="218">SUM(X216,V216)</f>
        <v>0.82199999999999995</v>
      </c>
      <c r="V216" s="71">
        <f t="shared" ref="V216" si="219">N216+R216</f>
        <v>0.82199999999999995</v>
      </c>
      <c r="W216" s="72"/>
      <c r="X216" s="134"/>
      <c r="Y216" s="78">
        <f t="shared" si="197"/>
        <v>3.056</v>
      </c>
      <c r="Z216" s="164">
        <v>3.056</v>
      </c>
      <c r="AA216" s="80"/>
      <c r="AB216" s="81"/>
      <c r="AC216" s="70">
        <f t="shared" si="217"/>
        <v>3.8780000000000001</v>
      </c>
      <c r="AD216" s="71">
        <f t="shared" si="198"/>
        <v>3.8780000000000001</v>
      </c>
      <c r="AE216" s="72"/>
      <c r="AF216" s="134"/>
      <c r="AG216" s="78">
        <f t="shared" si="199"/>
        <v>0</v>
      </c>
      <c r="AH216" s="79"/>
      <c r="AI216" s="80"/>
      <c r="AJ216" s="81"/>
      <c r="AK216" s="70">
        <f t="shared" si="211"/>
        <v>3.8780000000000001</v>
      </c>
      <c r="AL216" s="71">
        <f t="shared" si="200"/>
        <v>3.8780000000000001</v>
      </c>
      <c r="AM216" s="72"/>
      <c r="AN216" s="134"/>
      <c r="AO216" s="78">
        <f t="shared" si="201"/>
        <v>1.7230000000000001</v>
      </c>
      <c r="AP216" s="79">
        <v>1.7230000000000001</v>
      </c>
      <c r="AQ216" s="80"/>
      <c r="AR216" s="81"/>
      <c r="AS216" s="70">
        <f t="shared" si="212"/>
        <v>5.601</v>
      </c>
      <c r="AT216" s="71">
        <f t="shared" si="202"/>
        <v>5.601</v>
      </c>
      <c r="AU216" s="72"/>
      <c r="AV216" s="134"/>
      <c r="AW216" s="78">
        <f t="shared" si="203"/>
        <v>0</v>
      </c>
      <c r="AX216" s="79"/>
      <c r="AY216" s="80"/>
      <c r="AZ216" s="81"/>
      <c r="BA216" s="70">
        <f t="shared" si="213"/>
        <v>5.601</v>
      </c>
      <c r="BB216" s="71">
        <f t="shared" si="204"/>
        <v>5.601</v>
      </c>
      <c r="BC216" s="72"/>
      <c r="BD216" s="134"/>
      <c r="BE216" s="78">
        <f t="shared" si="205"/>
        <v>0</v>
      </c>
      <c r="BF216" s="79"/>
      <c r="BG216" s="80"/>
      <c r="BH216" s="81"/>
      <c r="BI216" s="70">
        <f t="shared" si="214"/>
        <v>5.601</v>
      </c>
      <c r="BJ216" s="71">
        <f t="shared" si="206"/>
        <v>5.601</v>
      </c>
      <c r="BK216" s="72"/>
      <c r="BL216" s="134"/>
    </row>
    <row r="217" spans="1:64" s="138" customFormat="1" ht="12.45" x14ac:dyDescent="0.3">
      <c r="A217" s="135"/>
      <c r="B217" s="142" t="s">
        <v>204</v>
      </c>
      <c r="C217" s="28" t="s">
        <v>112</v>
      </c>
      <c r="D217" s="137"/>
      <c r="E217" s="73">
        <f>SUM(H217,F217)</f>
        <v>179.52700000000002</v>
      </c>
      <c r="F217" s="74">
        <f>SUM(F219:F225)</f>
        <v>179.52700000000002</v>
      </c>
      <c r="G217" s="75">
        <f>SUM(G219:G226)</f>
        <v>160.1</v>
      </c>
      <c r="H217" s="133">
        <f>SUM(H219:H225)</f>
        <v>0</v>
      </c>
      <c r="I217" s="73">
        <f>SUM(L217,J217)</f>
        <v>0</v>
      </c>
      <c r="J217" s="74">
        <f>SUM(J219:J225)</f>
        <v>0</v>
      </c>
      <c r="K217" s="75">
        <f>SUM(K219:K226)</f>
        <v>0</v>
      </c>
      <c r="L217" s="133">
        <f>SUM(L219:L225)</f>
        <v>0</v>
      </c>
      <c r="M217" s="73">
        <f t="shared" ref="M217:M283" si="220">SUM(P217,N217)</f>
        <v>179.52700000000002</v>
      </c>
      <c r="N217" s="74">
        <f t="shared" ref="N217:N283" si="221">F217+J217</f>
        <v>179.52700000000002</v>
      </c>
      <c r="O217" s="75">
        <f t="shared" ref="O217:O283" si="222">G217+K217</f>
        <v>160.1</v>
      </c>
      <c r="P217" s="133">
        <f t="shared" ref="P217:P283" si="223">H217+L217</f>
        <v>0</v>
      </c>
      <c r="Q217" s="73">
        <f>SUM(T217,R217)</f>
        <v>2</v>
      </c>
      <c r="R217" s="74">
        <f>SUM(R219:R226)</f>
        <v>2</v>
      </c>
      <c r="S217" s="75">
        <f>SUM(S219:S226)</f>
        <v>0</v>
      </c>
      <c r="T217" s="133">
        <f>SUM(T219:T225)</f>
        <v>0</v>
      </c>
      <c r="U217" s="73">
        <f t="shared" si="215"/>
        <v>181.52700000000002</v>
      </c>
      <c r="V217" s="74">
        <f>N217+R217</f>
        <v>181.52700000000002</v>
      </c>
      <c r="W217" s="75">
        <f t="shared" ref="W217:W283" si="224">O217+S217</f>
        <v>160.1</v>
      </c>
      <c r="X217" s="133">
        <f t="shared" ref="X217:X283" si="225">P217+T217</f>
        <v>0</v>
      </c>
      <c r="Y217" s="73">
        <f>SUM(AB217,Z217)</f>
        <v>0.5</v>
      </c>
      <c r="Z217" s="74">
        <f>SUM(Z219:Z226)</f>
        <v>0.5</v>
      </c>
      <c r="AA217" s="75">
        <f>SUM(AA219:AA226)</f>
        <v>0</v>
      </c>
      <c r="AB217" s="133">
        <f>SUM(AB219:AB225)</f>
        <v>0</v>
      </c>
      <c r="AC217" s="73">
        <f t="shared" si="217"/>
        <v>182.02700000000002</v>
      </c>
      <c r="AD217" s="74">
        <f>V217+Z217</f>
        <v>182.02700000000002</v>
      </c>
      <c r="AE217" s="75">
        <f t="shared" ref="AE217:AE283" si="226">W217+AA217</f>
        <v>160.1</v>
      </c>
      <c r="AF217" s="133">
        <f t="shared" ref="AF217:AF283" si="227">X217+AB217</f>
        <v>0</v>
      </c>
      <c r="AG217" s="73">
        <f>SUM(AJ217,AH217)</f>
        <v>0</v>
      </c>
      <c r="AH217" s="74">
        <f>SUM(AH219:AH226)</f>
        <v>0</v>
      </c>
      <c r="AI217" s="75">
        <f>SUM(AI219:AI226)</f>
        <v>0</v>
      </c>
      <c r="AJ217" s="133">
        <f>SUM(AJ219:AJ225)</f>
        <v>0</v>
      </c>
      <c r="AK217" s="73">
        <f t="shared" si="211"/>
        <v>182.02700000000002</v>
      </c>
      <c r="AL217" s="74">
        <f>AD217+AH217</f>
        <v>182.02700000000002</v>
      </c>
      <c r="AM217" s="75">
        <f t="shared" ref="AM217:AM283" si="228">AE217+AI217</f>
        <v>160.1</v>
      </c>
      <c r="AN217" s="133">
        <f t="shared" ref="AN217:AN283" si="229">AF217+AJ217</f>
        <v>0</v>
      </c>
      <c r="AO217" s="73">
        <f>SUM(AR217,AP217)</f>
        <v>0</v>
      </c>
      <c r="AP217" s="74">
        <f>SUM(AP219:AP226)</f>
        <v>0</v>
      </c>
      <c r="AQ217" s="75">
        <f>SUM(AQ219:AQ226)</f>
        <v>0</v>
      </c>
      <c r="AR217" s="133">
        <f>SUM(AR219:AR225)</f>
        <v>0</v>
      </c>
      <c r="AS217" s="73">
        <f t="shared" si="212"/>
        <v>182.02700000000002</v>
      </c>
      <c r="AT217" s="74">
        <f>AL217+AP217</f>
        <v>182.02700000000002</v>
      </c>
      <c r="AU217" s="75">
        <f t="shared" ref="AU217:AU283" si="230">AM217+AQ217</f>
        <v>160.1</v>
      </c>
      <c r="AV217" s="133">
        <f t="shared" ref="AV217:AV283" si="231">AN217+AR217</f>
        <v>0</v>
      </c>
      <c r="AW217" s="73">
        <f>SUM(AZ217,AX217)</f>
        <v>18.725000000000001</v>
      </c>
      <c r="AX217" s="74">
        <f>SUM(AX219:AX226)</f>
        <v>18.725000000000001</v>
      </c>
      <c r="AY217" s="75">
        <f>SUM(AY219:AY226)</f>
        <v>15.645</v>
      </c>
      <c r="AZ217" s="133">
        <f>SUM(AZ219:AZ225)</f>
        <v>0</v>
      </c>
      <c r="BA217" s="73">
        <f t="shared" si="213"/>
        <v>200.75200000000001</v>
      </c>
      <c r="BB217" s="74">
        <f>AT217+AX217</f>
        <v>200.75200000000001</v>
      </c>
      <c r="BC217" s="75">
        <f t="shared" ref="BC217:BC283" si="232">AU217+AY217</f>
        <v>175.745</v>
      </c>
      <c r="BD217" s="133">
        <f t="shared" ref="BD217:BD283" si="233">AV217+AZ217</f>
        <v>0</v>
      </c>
      <c r="BE217" s="73">
        <f>SUM(BH217,BF217)</f>
        <v>0</v>
      </c>
      <c r="BF217" s="74">
        <f>SUM(BF219:BF226)</f>
        <v>0</v>
      </c>
      <c r="BG217" s="75">
        <f>SUM(BG219:BG226)</f>
        <v>0</v>
      </c>
      <c r="BH217" s="133">
        <f>SUM(BH219:BH225)</f>
        <v>0</v>
      </c>
      <c r="BI217" s="73">
        <f t="shared" si="214"/>
        <v>200.75200000000001</v>
      </c>
      <c r="BJ217" s="74">
        <f>BB217+BF217</f>
        <v>200.75200000000001</v>
      </c>
      <c r="BK217" s="75">
        <f t="shared" ref="BK217:BK261" si="234">BC217+BG217</f>
        <v>175.745</v>
      </c>
      <c r="BL217" s="133">
        <f t="shared" ref="BL217:BL261" si="235">BD217+BH217</f>
        <v>0</v>
      </c>
    </row>
    <row r="218" spans="1:64" ht="12.9" x14ac:dyDescent="0.35">
      <c r="A218" s="43"/>
      <c r="B218" s="4" t="s">
        <v>2</v>
      </c>
      <c r="C218" s="44"/>
      <c r="D218" s="28"/>
      <c r="E218" s="78">
        <f t="shared" ref="E218:E263" si="236">SUM(H218,F218)</f>
        <v>0</v>
      </c>
      <c r="F218" s="79">
        <v>0</v>
      </c>
      <c r="G218" s="80">
        <v>0</v>
      </c>
      <c r="H218" s="81">
        <v>0</v>
      </c>
      <c r="I218" s="78">
        <f t="shared" ref="I218:I223" si="237">SUM(L218,J218)</f>
        <v>0</v>
      </c>
      <c r="J218" s="79">
        <v>0</v>
      </c>
      <c r="K218" s="80">
        <v>0</v>
      </c>
      <c r="L218" s="81">
        <v>0</v>
      </c>
      <c r="M218" s="70">
        <f t="shared" si="220"/>
        <v>0</v>
      </c>
      <c r="N218" s="71">
        <f t="shared" si="221"/>
        <v>0</v>
      </c>
      <c r="O218" s="72">
        <f t="shared" si="222"/>
        <v>0</v>
      </c>
      <c r="P218" s="134">
        <f t="shared" si="223"/>
        <v>0</v>
      </c>
      <c r="Q218" s="78">
        <f t="shared" ref="Q218:Q223" si="238">SUM(T218,R218)</f>
        <v>0</v>
      </c>
      <c r="R218" s="79">
        <v>0</v>
      </c>
      <c r="S218" s="80">
        <v>0</v>
      </c>
      <c r="T218" s="81">
        <v>0</v>
      </c>
      <c r="U218" s="70">
        <f t="shared" si="215"/>
        <v>0</v>
      </c>
      <c r="V218" s="71">
        <f t="shared" si="216"/>
        <v>0</v>
      </c>
      <c r="W218" s="72">
        <f t="shared" si="224"/>
        <v>0</v>
      </c>
      <c r="X218" s="134">
        <f t="shared" si="225"/>
        <v>0</v>
      </c>
      <c r="Y218" s="78">
        <f t="shared" ref="Y218:Y223" si="239">SUM(AB218,Z218)</f>
        <v>0</v>
      </c>
      <c r="Z218" s="79">
        <v>0</v>
      </c>
      <c r="AA218" s="80">
        <v>0</v>
      </c>
      <c r="AB218" s="81">
        <v>0</v>
      </c>
      <c r="AC218" s="70">
        <f t="shared" si="217"/>
        <v>0</v>
      </c>
      <c r="AD218" s="71">
        <f t="shared" ref="AD218:AD253" si="240">V218+Z218</f>
        <v>0</v>
      </c>
      <c r="AE218" s="72">
        <f t="shared" si="226"/>
        <v>0</v>
      </c>
      <c r="AF218" s="134">
        <f t="shared" si="227"/>
        <v>0</v>
      </c>
      <c r="AG218" s="78">
        <f t="shared" ref="AG218:AG223" si="241">SUM(AJ218,AH218)</f>
        <v>0</v>
      </c>
      <c r="AH218" s="79">
        <v>0</v>
      </c>
      <c r="AI218" s="80">
        <v>0</v>
      </c>
      <c r="AJ218" s="81">
        <v>0</v>
      </c>
      <c r="AK218" s="70">
        <f t="shared" si="211"/>
        <v>0</v>
      </c>
      <c r="AL218" s="71">
        <f t="shared" ref="AL218:AL253" si="242">AD218+AH218</f>
        <v>0</v>
      </c>
      <c r="AM218" s="72">
        <f t="shared" si="228"/>
        <v>0</v>
      </c>
      <c r="AN218" s="134">
        <f t="shared" si="229"/>
        <v>0</v>
      </c>
      <c r="AO218" s="78">
        <f t="shared" ref="AO218:AO223" si="243">SUM(AR218,AP218)</f>
        <v>0</v>
      </c>
      <c r="AP218" s="79">
        <v>0</v>
      </c>
      <c r="AQ218" s="80">
        <v>0</v>
      </c>
      <c r="AR218" s="81">
        <v>0</v>
      </c>
      <c r="AS218" s="70">
        <f t="shared" si="212"/>
        <v>0</v>
      </c>
      <c r="AT218" s="71">
        <f t="shared" ref="AT218:AT253" si="244">AL218+AP218</f>
        <v>0</v>
      </c>
      <c r="AU218" s="72">
        <f t="shared" si="230"/>
        <v>0</v>
      </c>
      <c r="AV218" s="134">
        <f t="shared" si="231"/>
        <v>0</v>
      </c>
      <c r="AW218" s="78">
        <f t="shared" ref="AW218:AW223" si="245">SUM(AZ218,AX218)</f>
        <v>0</v>
      </c>
      <c r="AX218" s="79">
        <v>0</v>
      </c>
      <c r="AY218" s="80">
        <v>0</v>
      </c>
      <c r="AZ218" s="81">
        <v>0</v>
      </c>
      <c r="BA218" s="70">
        <f t="shared" si="213"/>
        <v>0</v>
      </c>
      <c r="BB218" s="71">
        <f t="shared" ref="BB218:BB253" si="246">AT218+AX218</f>
        <v>0</v>
      </c>
      <c r="BC218" s="72">
        <f t="shared" si="232"/>
        <v>0</v>
      </c>
      <c r="BD218" s="134">
        <f t="shared" si="233"/>
        <v>0</v>
      </c>
      <c r="BE218" s="78">
        <f t="shared" ref="BE218:BE223" si="247">SUM(BH218,BF218)</f>
        <v>0</v>
      </c>
      <c r="BF218" s="79">
        <v>0</v>
      </c>
      <c r="BG218" s="80">
        <v>0</v>
      </c>
      <c r="BH218" s="81">
        <v>0</v>
      </c>
      <c r="BI218" s="70">
        <f t="shared" si="214"/>
        <v>0</v>
      </c>
      <c r="BJ218" s="71">
        <f t="shared" ref="BJ218:BJ253" si="248">BB218+BF218</f>
        <v>0</v>
      </c>
      <c r="BK218" s="72">
        <f t="shared" si="234"/>
        <v>0</v>
      </c>
      <c r="BL218" s="134">
        <f t="shared" si="235"/>
        <v>0</v>
      </c>
    </row>
    <row r="219" spans="1:64" ht="12.9" x14ac:dyDescent="0.35">
      <c r="A219" s="47" t="s">
        <v>22</v>
      </c>
      <c r="B219" s="26" t="s">
        <v>34</v>
      </c>
      <c r="C219" s="27" t="s">
        <v>84</v>
      </c>
      <c r="D219" s="40" t="s">
        <v>125</v>
      </c>
      <c r="E219" s="78">
        <f t="shared" si="236"/>
        <v>0.3</v>
      </c>
      <c r="F219" s="79">
        <v>0.3</v>
      </c>
      <c r="G219" s="80"/>
      <c r="H219" s="81"/>
      <c r="I219" s="78">
        <f t="shared" si="237"/>
        <v>0</v>
      </c>
      <c r="J219" s="79"/>
      <c r="K219" s="80"/>
      <c r="L219" s="81"/>
      <c r="M219" s="70">
        <f t="shared" si="220"/>
        <v>0.3</v>
      </c>
      <c r="N219" s="71">
        <f t="shared" si="221"/>
        <v>0.3</v>
      </c>
      <c r="O219" s="72">
        <f t="shared" si="222"/>
        <v>0</v>
      </c>
      <c r="P219" s="134">
        <f t="shared" si="223"/>
        <v>0</v>
      </c>
      <c r="Q219" s="78">
        <f t="shared" si="238"/>
        <v>0</v>
      </c>
      <c r="R219" s="79"/>
      <c r="S219" s="80"/>
      <c r="T219" s="81"/>
      <c r="U219" s="70">
        <f t="shared" si="215"/>
        <v>0.3</v>
      </c>
      <c r="V219" s="71">
        <f t="shared" si="216"/>
        <v>0.3</v>
      </c>
      <c r="W219" s="72">
        <f t="shared" si="224"/>
        <v>0</v>
      </c>
      <c r="X219" s="134">
        <f t="shared" si="225"/>
        <v>0</v>
      </c>
      <c r="Y219" s="78">
        <f t="shared" si="239"/>
        <v>0</v>
      </c>
      <c r="Z219" s="79"/>
      <c r="AA219" s="80"/>
      <c r="AB219" s="81"/>
      <c r="AC219" s="70">
        <f t="shared" si="217"/>
        <v>0.3</v>
      </c>
      <c r="AD219" s="71">
        <f t="shared" si="240"/>
        <v>0.3</v>
      </c>
      <c r="AE219" s="72">
        <f t="shared" si="226"/>
        <v>0</v>
      </c>
      <c r="AF219" s="134">
        <f t="shared" si="227"/>
        <v>0</v>
      </c>
      <c r="AG219" s="78">
        <f t="shared" si="241"/>
        <v>0</v>
      </c>
      <c r="AH219" s="79"/>
      <c r="AI219" s="80"/>
      <c r="AJ219" s="81"/>
      <c r="AK219" s="70">
        <f t="shared" si="211"/>
        <v>0.3</v>
      </c>
      <c r="AL219" s="71">
        <f t="shared" si="242"/>
        <v>0.3</v>
      </c>
      <c r="AM219" s="72">
        <f t="shared" si="228"/>
        <v>0</v>
      </c>
      <c r="AN219" s="134">
        <f t="shared" si="229"/>
        <v>0</v>
      </c>
      <c r="AO219" s="78">
        <f t="shared" si="243"/>
        <v>0</v>
      </c>
      <c r="AP219" s="79"/>
      <c r="AQ219" s="80"/>
      <c r="AR219" s="81"/>
      <c r="AS219" s="70">
        <f t="shared" si="212"/>
        <v>0.3</v>
      </c>
      <c r="AT219" s="71">
        <f t="shared" si="244"/>
        <v>0.3</v>
      </c>
      <c r="AU219" s="72">
        <f t="shared" si="230"/>
        <v>0</v>
      </c>
      <c r="AV219" s="134">
        <f t="shared" si="231"/>
        <v>0</v>
      </c>
      <c r="AW219" s="78">
        <f t="shared" si="245"/>
        <v>0.5</v>
      </c>
      <c r="AX219" s="79">
        <v>0.5</v>
      </c>
      <c r="AY219" s="80"/>
      <c r="AZ219" s="81"/>
      <c r="BA219" s="70">
        <f t="shared" si="213"/>
        <v>0.8</v>
      </c>
      <c r="BB219" s="71">
        <f t="shared" si="246"/>
        <v>0.8</v>
      </c>
      <c r="BC219" s="72">
        <f t="shared" si="232"/>
        <v>0</v>
      </c>
      <c r="BD219" s="134">
        <f t="shared" si="233"/>
        <v>0</v>
      </c>
      <c r="BE219" s="78">
        <f t="shared" si="247"/>
        <v>0</v>
      </c>
      <c r="BF219" s="79"/>
      <c r="BG219" s="80"/>
      <c r="BH219" s="81"/>
      <c r="BI219" s="70">
        <f t="shared" si="214"/>
        <v>0.8</v>
      </c>
      <c r="BJ219" s="71">
        <f t="shared" si="248"/>
        <v>0.8</v>
      </c>
      <c r="BK219" s="72">
        <f t="shared" si="234"/>
        <v>0</v>
      </c>
      <c r="BL219" s="134">
        <f t="shared" si="235"/>
        <v>0</v>
      </c>
    </row>
    <row r="220" spans="1:64" ht="12.9" x14ac:dyDescent="0.35">
      <c r="A220" s="283" t="s">
        <v>25</v>
      </c>
      <c r="B220" s="233" t="s">
        <v>41</v>
      </c>
      <c r="C220" s="27" t="s">
        <v>85</v>
      </c>
      <c r="D220" s="25" t="s">
        <v>125</v>
      </c>
      <c r="E220" s="78">
        <f t="shared" si="236"/>
        <v>129.952</v>
      </c>
      <c r="F220" s="79">
        <f>118.75+11.202</f>
        <v>129.952</v>
      </c>
      <c r="G220" s="80">
        <v>111.63</v>
      </c>
      <c r="H220" s="81"/>
      <c r="I220" s="78">
        <f t="shared" si="237"/>
        <v>0</v>
      </c>
      <c r="J220" s="79"/>
      <c r="K220" s="80"/>
      <c r="L220" s="81"/>
      <c r="M220" s="70">
        <f t="shared" si="220"/>
        <v>129.952</v>
      </c>
      <c r="N220" s="71">
        <f t="shared" si="221"/>
        <v>129.952</v>
      </c>
      <c r="O220" s="72">
        <f t="shared" si="222"/>
        <v>111.63</v>
      </c>
      <c r="P220" s="134">
        <f t="shared" si="223"/>
        <v>0</v>
      </c>
      <c r="Q220" s="78">
        <f t="shared" si="238"/>
        <v>0</v>
      </c>
      <c r="R220" s="79"/>
      <c r="S220" s="80"/>
      <c r="T220" s="81"/>
      <c r="U220" s="70">
        <f t="shared" si="215"/>
        <v>129.952</v>
      </c>
      <c r="V220" s="71">
        <f t="shared" si="216"/>
        <v>129.952</v>
      </c>
      <c r="W220" s="72">
        <f t="shared" si="224"/>
        <v>111.63</v>
      </c>
      <c r="X220" s="134">
        <f t="shared" si="225"/>
        <v>0</v>
      </c>
      <c r="Y220" s="78">
        <f t="shared" si="239"/>
        <v>0</v>
      </c>
      <c r="Z220" s="79"/>
      <c r="AA220" s="80"/>
      <c r="AB220" s="81"/>
      <c r="AC220" s="70">
        <f t="shared" si="217"/>
        <v>129.952</v>
      </c>
      <c r="AD220" s="71">
        <f t="shared" si="240"/>
        <v>129.952</v>
      </c>
      <c r="AE220" s="72">
        <f t="shared" si="226"/>
        <v>111.63</v>
      </c>
      <c r="AF220" s="134">
        <f t="shared" si="227"/>
        <v>0</v>
      </c>
      <c r="AG220" s="78">
        <f t="shared" si="241"/>
        <v>0</v>
      </c>
      <c r="AH220" s="79"/>
      <c r="AI220" s="80"/>
      <c r="AJ220" s="81"/>
      <c r="AK220" s="70">
        <f t="shared" si="211"/>
        <v>129.952</v>
      </c>
      <c r="AL220" s="71">
        <f t="shared" si="242"/>
        <v>129.952</v>
      </c>
      <c r="AM220" s="72">
        <f t="shared" si="228"/>
        <v>111.63</v>
      </c>
      <c r="AN220" s="134">
        <f t="shared" si="229"/>
        <v>0</v>
      </c>
      <c r="AO220" s="78">
        <f t="shared" si="243"/>
        <v>0</v>
      </c>
      <c r="AP220" s="79"/>
      <c r="AQ220" s="80"/>
      <c r="AR220" s="81"/>
      <c r="AS220" s="70">
        <f t="shared" si="212"/>
        <v>129.952</v>
      </c>
      <c r="AT220" s="71">
        <f t="shared" si="244"/>
        <v>129.952</v>
      </c>
      <c r="AU220" s="72">
        <f t="shared" si="230"/>
        <v>111.63</v>
      </c>
      <c r="AV220" s="134">
        <f t="shared" si="231"/>
        <v>0</v>
      </c>
      <c r="AW220" s="78">
        <f t="shared" si="245"/>
        <v>12.9</v>
      </c>
      <c r="AX220" s="79">
        <f>10.8+2.1</f>
        <v>12.9</v>
      </c>
      <c r="AY220" s="80">
        <v>10.4</v>
      </c>
      <c r="AZ220" s="81"/>
      <c r="BA220" s="70">
        <f t="shared" si="213"/>
        <v>142.852</v>
      </c>
      <c r="BB220" s="71">
        <f t="shared" si="246"/>
        <v>142.852</v>
      </c>
      <c r="BC220" s="72">
        <f t="shared" si="232"/>
        <v>122.03</v>
      </c>
      <c r="BD220" s="134">
        <f t="shared" si="233"/>
        <v>0</v>
      </c>
      <c r="BE220" s="78">
        <f t="shared" si="247"/>
        <v>0</v>
      </c>
      <c r="BF220" s="79"/>
      <c r="BG220" s="80"/>
      <c r="BH220" s="81"/>
      <c r="BI220" s="70">
        <f t="shared" si="214"/>
        <v>142.852</v>
      </c>
      <c r="BJ220" s="71">
        <f t="shared" si="248"/>
        <v>142.852</v>
      </c>
      <c r="BK220" s="72">
        <f t="shared" si="234"/>
        <v>122.03</v>
      </c>
      <c r="BL220" s="134">
        <f t="shared" si="235"/>
        <v>0</v>
      </c>
    </row>
    <row r="221" spans="1:64" ht="12.9" x14ac:dyDescent="0.35">
      <c r="A221" s="284"/>
      <c r="B221" s="242"/>
      <c r="C221" s="27" t="s">
        <v>172</v>
      </c>
      <c r="D221" s="25" t="s">
        <v>49</v>
      </c>
      <c r="E221" s="78">
        <f t="shared" si="236"/>
        <v>49.274999999999999</v>
      </c>
      <c r="F221" s="79">
        <v>49.274999999999999</v>
      </c>
      <c r="G221" s="80">
        <f>48.57-0.1</f>
        <v>48.47</v>
      </c>
      <c r="H221" s="81"/>
      <c r="I221" s="78">
        <f t="shared" si="237"/>
        <v>0</v>
      </c>
      <c r="J221" s="79"/>
      <c r="K221" s="80"/>
      <c r="L221" s="81"/>
      <c r="M221" s="70">
        <f t="shared" si="220"/>
        <v>49.274999999999999</v>
      </c>
      <c r="N221" s="71">
        <f t="shared" si="221"/>
        <v>49.274999999999999</v>
      </c>
      <c r="O221" s="72">
        <f t="shared" si="222"/>
        <v>48.47</v>
      </c>
      <c r="P221" s="134">
        <f t="shared" si="223"/>
        <v>0</v>
      </c>
      <c r="Q221" s="78">
        <f t="shared" si="238"/>
        <v>0</v>
      </c>
      <c r="R221" s="79"/>
      <c r="S221" s="80"/>
      <c r="T221" s="81"/>
      <c r="U221" s="70">
        <f t="shared" si="215"/>
        <v>49.274999999999999</v>
      </c>
      <c r="V221" s="71">
        <f t="shared" si="216"/>
        <v>49.274999999999999</v>
      </c>
      <c r="W221" s="72">
        <f t="shared" si="224"/>
        <v>48.47</v>
      </c>
      <c r="X221" s="134">
        <f t="shared" si="225"/>
        <v>0</v>
      </c>
      <c r="Y221" s="78">
        <f t="shared" si="239"/>
        <v>0</v>
      </c>
      <c r="Z221" s="79"/>
      <c r="AA221" s="80"/>
      <c r="AB221" s="81"/>
      <c r="AC221" s="70">
        <f t="shared" si="217"/>
        <v>49.274999999999999</v>
      </c>
      <c r="AD221" s="71">
        <f t="shared" si="240"/>
        <v>49.274999999999999</v>
      </c>
      <c r="AE221" s="72">
        <f t="shared" si="226"/>
        <v>48.47</v>
      </c>
      <c r="AF221" s="134">
        <f t="shared" si="227"/>
        <v>0</v>
      </c>
      <c r="AG221" s="78">
        <f t="shared" si="241"/>
        <v>0</v>
      </c>
      <c r="AH221" s="79"/>
      <c r="AI221" s="80"/>
      <c r="AJ221" s="81"/>
      <c r="AK221" s="70">
        <f t="shared" si="211"/>
        <v>49.274999999999999</v>
      </c>
      <c r="AL221" s="71">
        <f t="shared" si="242"/>
        <v>49.274999999999999</v>
      </c>
      <c r="AM221" s="72">
        <f t="shared" si="228"/>
        <v>48.47</v>
      </c>
      <c r="AN221" s="134">
        <f t="shared" si="229"/>
        <v>0</v>
      </c>
      <c r="AO221" s="78">
        <f t="shared" si="243"/>
        <v>0</v>
      </c>
      <c r="AP221" s="79"/>
      <c r="AQ221" s="80"/>
      <c r="AR221" s="81"/>
      <c r="AS221" s="70">
        <f t="shared" si="212"/>
        <v>49.274999999999999</v>
      </c>
      <c r="AT221" s="71">
        <f t="shared" si="244"/>
        <v>49.274999999999999</v>
      </c>
      <c r="AU221" s="72">
        <f t="shared" si="230"/>
        <v>48.47</v>
      </c>
      <c r="AV221" s="134">
        <f t="shared" si="231"/>
        <v>0</v>
      </c>
      <c r="AW221" s="78">
        <f t="shared" si="245"/>
        <v>5.3250000000000002</v>
      </c>
      <c r="AX221" s="79">
        <v>5.3250000000000002</v>
      </c>
      <c r="AY221" s="80">
        <v>5.2450000000000001</v>
      </c>
      <c r="AZ221" s="81"/>
      <c r="BA221" s="70">
        <f t="shared" si="213"/>
        <v>54.6</v>
      </c>
      <c r="BB221" s="71">
        <f t="shared" si="246"/>
        <v>54.6</v>
      </c>
      <c r="BC221" s="72">
        <f t="shared" si="232"/>
        <v>53.714999999999996</v>
      </c>
      <c r="BD221" s="134">
        <f t="shared" si="233"/>
        <v>0</v>
      </c>
      <c r="BE221" s="78">
        <f t="shared" si="247"/>
        <v>0</v>
      </c>
      <c r="BF221" s="79"/>
      <c r="BG221" s="80"/>
      <c r="BH221" s="81"/>
      <c r="BI221" s="70">
        <f t="shared" si="214"/>
        <v>54.6</v>
      </c>
      <c r="BJ221" s="71">
        <f t="shared" si="248"/>
        <v>54.6</v>
      </c>
      <c r="BK221" s="72">
        <f t="shared" si="234"/>
        <v>53.714999999999996</v>
      </c>
      <c r="BL221" s="134">
        <f t="shared" si="235"/>
        <v>0</v>
      </c>
    </row>
    <row r="222" spans="1:64" ht="13.3" hidden="1" customHeight="1" x14ac:dyDescent="0.35">
      <c r="A222" s="148"/>
      <c r="B222" s="234"/>
      <c r="C222" s="27"/>
      <c r="D222" s="25" t="s">
        <v>137</v>
      </c>
      <c r="E222" s="78">
        <f t="shared" si="236"/>
        <v>0</v>
      </c>
      <c r="F222" s="79"/>
      <c r="G222" s="80"/>
      <c r="H222" s="81"/>
      <c r="I222" s="78">
        <f t="shared" si="237"/>
        <v>0</v>
      </c>
      <c r="J222" s="79"/>
      <c r="K222" s="80"/>
      <c r="L222" s="81"/>
      <c r="M222" s="70">
        <f t="shared" si="220"/>
        <v>0</v>
      </c>
      <c r="N222" s="71">
        <f t="shared" si="221"/>
        <v>0</v>
      </c>
      <c r="O222" s="72">
        <f t="shared" si="222"/>
        <v>0</v>
      </c>
      <c r="P222" s="134">
        <f t="shared" si="223"/>
        <v>0</v>
      </c>
      <c r="Q222" s="78">
        <f t="shared" si="238"/>
        <v>0</v>
      </c>
      <c r="R222" s="79"/>
      <c r="S222" s="80"/>
      <c r="T222" s="81"/>
      <c r="U222" s="70">
        <f t="shared" si="215"/>
        <v>0</v>
      </c>
      <c r="V222" s="71">
        <f t="shared" si="216"/>
        <v>0</v>
      </c>
      <c r="W222" s="72">
        <f t="shared" si="224"/>
        <v>0</v>
      </c>
      <c r="X222" s="134">
        <f t="shared" si="225"/>
        <v>0</v>
      </c>
      <c r="Y222" s="78">
        <f t="shared" si="239"/>
        <v>0</v>
      </c>
      <c r="Z222" s="79"/>
      <c r="AA222" s="80"/>
      <c r="AB222" s="81"/>
      <c r="AC222" s="70">
        <f t="shared" si="217"/>
        <v>0</v>
      </c>
      <c r="AD222" s="71">
        <f t="shared" si="240"/>
        <v>0</v>
      </c>
      <c r="AE222" s="72">
        <f t="shared" si="226"/>
        <v>0</v>
      </c>
      <c r="AF222" s="134">
        <f t="shared" si="227"/>
        <v>0</v>
      </c>
      <c r="AG222" s="78">
        <f t="shared" si="241"/>
        <v>0</v>
      </c>
      <c r="AH222" s="79"/>
      <c r="AI222" s="80"/>
      <c r="AJ222" s="81"/>
      <c r="AK222" s="70">
        <f t="shared" si="211"/>
        <v>0</v>
      </c>
      <c r="AL222" s="71">
        <f t="shared" si="242"/>
        <v>0</v>
      </c>
      <c r="AM222" s="72">
        <f t="shared" si="228"/>
        <v>0</v>
      </c>
      <c r="AN222" s="134">
        <f t="shared" si="229"/>
        <v>0</v>
      </c>
      <c r="AO222" s="78">
        <f t="shared" si="243"/>
        <v>0</v>
      </c>
      <c r="AP222" s="79"/>
      <c r="AQ222" s="80"/>
      <c r="AR222" s="81"/>
      <c r="AS222" s="70">
        <f t="shared" si="212"/>
        <v>0</v>
      </c>
      <c r="AT222" s="71">
        <f t="shared" si="244"/>
        <v>0</v>
      </c>
      <c r="AU222" s="72">
        <f t="shared" si="230"/>
        <v>0</v>
      </c>
      <c r="AV222" s="134">
        <f t="shared" si="231"/>
        <v>0</v>
      </c>
      <c r="AW222" s="78">
        <f t="shared" si="245"/>
        <v>0</v>
      </c>
      <c r="AX222" s="79"/>
      <c r="AY222" s="80"/>
      <c r="AZ222" s="81"/>
      <c r="BA222" s="70">
        <f t="shared" si="213"/>
        <v>0</v>
      </c>
      <c r="BB222" s="71">
        <f t="shared" si="246"/>
        <v>0</v>
      </c>
      <c r="BC222" s="72">
        <f t="shared" si="232"/>
        <v>0</v>
      </c>
      <c r="BD222" s="134">
        <f t="shared" si="233"/>
        <v>0</v>
      </c>
      <c r="BE222" s="78">
        <f t="shared" si="247"/>
        <v>0</v>
      </c>
      <c r="BF222" s="79"/>
      <c r="BG222" s="80"/>
      <c r="BH222" s="81"/>
      <c r="BI222" s="70">
        <f t="shared" si="214"/>
        <v>0</v>
      </c>
      <c r="BJ222" s="71">
        <f t="shared" si="248"/>
        <v>0</v>
      </c>
      <c r="BK222" s="72">
        <f t="shared" si="234"/>
        <v>0</v>
      </c>
      <c r="BL222" s="134">
        <f t="shared" si="235"/>
        <v>0</v>
      </c>
    </row>
    <row r="223" spans="1:64" ht="12.9" x14ac:dyDescent="0.35">
      <c r="A223" s="118" t="s">
        <v>33</v>
      </c>
      <c r="B223" s="23" t="s">
        <v>45</v>
      </c>
      <c r="C223" s="27" t="s">
        <v>189</v>
      </c>
      <c r="D223" s="25" t="s">
        <v>50</v>
      </c>
      <c r="E223" s="78">
        <f t="shared" si="236"/>
        <v>0</v>
      </c>
      <c r="F223" s="79"/>
      <c r="G223" s="80"/>
      <c r="H223" s="81"/>
      <c r="I223" s="78">
        <f t="shared" si="237"/>
        <v>0</v>
      </c>
      <c r="J223" s="79"/>
      <c r="K223" s="80"/>
      <c r="L223" s="81"/>
      <c r="M223" s="70">
        <f t="shared" si="220"/>
        <v>0</v>
      </c>
      <c r="N223" s="71">
        <f t="shared" si="221"/>
        <v>0</v>
      </c>
      <c r="O223" s="72">
        <f t="shared" si="222"/>
        <v>0</v>
      </c>
      <c r="P223" s="134">
        <f t="shared" si="223"/>
        <v>0</v>
      </c>
      <c r="Q223" s="78">
        <f t="shared" si="238"/>
        <v>0</v>
      </c>
      <c r="R223" s="79"/>
      <c r="S223" s="80"/>
      <c r="T223" s="81"/>
      <c r="U223" s="70">
        <f t="shared" si="215"/>
        <v>0</v>
      </c>
      <c r="V223" s="71">
        <f t="shared" si="216"/>
        <v>0</v>
      </c>
      <c r="W223" s="72">
        <f t="shared" si="224"/>
        <v>0</v>
      </c>
      <c r="X223" s="134">
        <f t="shared" si="225"/>
        <v>0</v>
      </c>
      <c r="Y223" s="78">
        <f t="shared" si="239"/>
        <v>0.5</v>
      </c>
      <c r="Z223" s="79">
        <v>0.5</v>
      </c>
      <c r="AA223" s="80"/>
      <c r="AB223" s="81"/>
      <c r="AC223" s="70">
        <f t="shared" si="217"/>
        <v>0.5</v>
      </c>
      <c r="AD223" s="71">
        <f t="shared" si="240"/>
        <v>0.5</v>
      </c>
      <c r="AE223" s="72">
        <f t="shared" si="226"/>
        <v>0</v>
      </c>
      <c r="AF223" s="134">
        <f t="shared" si="227"/>
        <v>0</v>
      </c>
      <c r="AG223" s="78">
        <f t="shared" si="241"/>
        <v>0</v>
      </c>
      <c r="AH223" s="79"/>
      <c r="AI223" s="80"/>
      <c r="AJ223" s="81"/>
      <c r="AK223" s="70">
        <f t="shared" si="211"/>
        <v>0.5</v>
      </c>
      <c r="AL223" s="71">
        <f t="shared" si="242"/>
        <v>0.5</v>
      </c>
      <c r="AM223" s="72">
        <f t="shared" si="228"/>
        <v>0</v>
      </c>
      <c r="AN223" s="134">
        <f t="shared" si="229"/>
        <v>0</v>
      </c>
      <c r="AO223" s="78">
        <f t="shared" si="243"/>
        <v>0</v>
      </c>
      <c r="AP223" s="79"/>
      <c r="AQ223" s="80"/>
      <c r="AR223" s="81"/>
      <c r="AS223" s="70">
        <f t="shared" si="212"/>
        <v>0.5</v>
      </c>
      <c r="AT223" s="71">
        <f t="shared" si="244"/>
        <v>0.5</v>
      </c>
      <c r="AU223" s="72">
        <f t="shared" si="230"/>
        <v>0</v>
      </c>
      <c r="AV223" s="134">
        <f t="shared" si="231"/>
        <v>0</v>
      </c>
      <c r="AW223" s="78">
        <f t="shared" si="245"/>
        <v>0</v>
      </c>
      <c r="AX223" s="79"/>
      <c r="AY223" s="80"/>
      <c r="AZ223" s="81"/>
      <c r="BA223" s="70">
        <f t="shared" si="213"/>
        <v>0.5</v>
      </c>
      <c r="BB223" s="71">
        <f t="shared" si="246"/>
        <v>0.5</v>
      </c>
      <c r="BC223" s="72">
        <f t="shared" si="232"/>
        <v>0</v>
      </c>
      <c r="BD223" s="134">
        <f t="shared" si="233"/>
        <v>0</v>
      </c>
      <c r="BE223" s="78">
        <f t="shared" si="247"/>
        <v>0</v>
      </c>
      <c r="BF223" s="79"/>
      <c r="BG223" s="80"/>
      <c r="BH223" s="81"/>
      <c r="BI223" s="70">
        <f t="shared" si="214"/>
        <v>0.5</v>
      </c>
      <c r="BJ223" s="71">
        <f t="shared" si="248"/>
        <v>0.5</v>
      </c>
      <c r="BK223" s="72">
        <f t="shared" si="234"/>
        <v>0</v>
      </c>
      <c r="BL223" s="134">
        <f t="shared" si="235"/>
        <v>0</v>
      </c>
    </row>
    <row r="224" spans="1:64" ht="12.9" hidden="1" x14ac:dyDescent="0.35">
      <c r="A224" s="283" t="s">
        <v>33</v>
      </c>
      <c r="B224" s="233" t="s">
        <v>45</v>
      </c>
      <c r="C224" s="27"/>
      <c r="D224" s="25" t="s">
        <v>125</v>
      </c>
      <c r="E224" s="78"/>
      <c r="F224" s="79"/>
      <c r="G224" s="80"/>
      <c r="H224" s="81"/>
      <c r="I224" s="78"/>
      <c r="J224" s="79"/>
      <c r="K224" s="80"/>
      <c r="L224" s="81"/>
      <c r="M224" s="70">
        <f t="shared" si="220"/>
        <v>0</v>
      </c>
      <c r="N224" s="71">
        <f t="shared" si="221"/>
        <v>0</v>
      </c>
      <c r="O224" s="72">
        <f t="shared" si="222"/>
        <v>0</v>
      </c>
      <c r="P224" s="134">
        <f t="shared" si="223"/>
        <v>0</v>
      </c>
      <c r="Q224" s="78"/>
      <c r="R224" s="79"/>
      <c r="S224" s="80"/>
      <c r="T224" s="81"/>
      <c r="U224" s="70">
        <f t="shared" si="215"/>
        <v>0</v>
      </c>
      <c r="V224" s="71">
        <f t="shared" si="216"/>
        <v>0</v>
      </c>
      <c r="W224" s="72">
        <f t="shared" si="224"/>
        <v>0</v>
      </c>
      <c r="X224" s="134">
        <f t="shared" si="225"/>
        <v>0</v>
      </c>
      <c r="Y224" s="78"/>
      <c r="Z224" s="79"/>
      <c r="AA224" s="80"/>
      <c r="AB224" s="81"/>
      <c r="AC224" s="70">
        <f t="shared" si="217"/>
        <v>0</v>
      </c>
      <c r="AD224" s="71">
        <f t="shared" si="240"/>
        <v>0</v>
      </c>
      <c r="AE224" s="72">
        <f t="shared" si="226"/>
        <v>0</v>
      </c>
      <c r="AF224" s="134">
        <f t="shared" si="227"/>
        <v>0</v>
      </c>
      <c r="AG224" s="78"/>
      <c r="AH224" s="79"/>
      <c r="AI224" s="80"/>
      <c r="AJ224" s="81"/>
      <c r="AK224" s="70">
        <f t="shared" si="211"/>
        <v>0</v>
      </c>
      <c r="AL224" s="71">
        <f t="shared" si="242"/>
        <v>0</v>
      </c>
      <c r="AM224" s="72">
        <f t="shared" si="228"/>
        <v>0</v>
      </c>
      <c r="AN224" s="134">
        <f t="shared" si="229"/>
        <v>0</v>
      </c>
      <c r="AO224" s="78"/>
      <c r="AP224" s="79"/>
      <c r="AQ224" s="80"/>
      <c r="AR224" s="81"/>
      <c r="AS224" s="70">
        <f t="shared" si="212"/>
        <v>0</v>
      </c>
      <c r="AT224" s="71">
        <f t="shared" si="244"/>
        <v>0</v>
      </c>
      <c r="AU224" s="72">
        <f t="shared" si="230"/>
        <v>0</v>
      </c>
      <c r="AV224" s="134">
        <f t="shared" si="231"/>
        <v>0</v>
      </c>
      <c r="AW224" s="78"/>
      <c r="AX224" s="79"/>
      <c r="AY224" s="80"/>
      <c r="AZ224" s="81"/>
      <c r="BA224" s="70">
        <f t="shared" si="213"/>
        <v>0</v>
      </c>
      <c r="BB224" s="71">
        <f t="shared" si="246"/>
        <v>0</v>
      </c>
      <c r="BC224" s="72">
        <f t="shared" si="232"/>
        <v>0</v>
      </c>
      <c r="BD224" s="134">
        <f t="shared" si="233"/>
        <v>0</v>
      </c>
      <c r="BE224" s="78"/>
      <c r="BF224" s="79"/>
      <c r="BG224" s="80"/>
      <c r="BH224" s="81"/>
      <c r="BI224" s="70">
        <f t="shared" si="214"/>
        <v>0</v>
      </c>
      <c r="BJ224" s="71">
        <f t="shared" si="248"/>
        <v>0</v>
      </c>
      <c r="BK224" s="72">
        <f t="shared" si="234"/>
        <v>0</v>
      </c>
      <c r="BL224" s="134">
        <f t="shared" si="235"/>
        <v>0</v>
      </c>
    </row>
    <row r="225" spans="1:64" ht="12.9" hidden="1" x14ac:dyDescent="0.35">
      <c r="A225" s="284"/>
      <c r="B225" s="234"/>
      <c r="C225" s="27"/>
      <c r="D225" s="25" t="s">
        <v>137</v>
      </c>
      <c r="E225" s="78">
        <f t="shared" si="236"/>
        <v>0</v>
      </c>
      <c r="F225" s="79"/>
      <c r="G225" s="80"/>
      <c r="H225" s="81"/>
      <c r="I225" s="78">
        <f t="shared" ref="I225:I263" si="249">SUM(L225,J225)</f>
        <v>0</v>
      </c>
      <c r="J225" s="79"/>
      <c r="K225" s="80"/>
      <c r="L225" s="81"/>
      <c r="M225" s="70">
        <f t="shared" si="220"/>
        <v>0</v>
      </c>
      <c r="N225" s="71">
        <f t="shared" si="221"/>
        <v>0</v>
      </c>
      <c r="O225" s="72">
        <f t="shared" si="222"/>
        <v>0</v>
      </c>
      <c r="P225" s="134">
        <f t="shared" si="223"/>
        <v>0</v>
      </c>
      <c r="Q225" s="78">
        <f t="shared" ref="Q225:Q264" si="250">SUM(T225,R225)</f>
        <v>0</v>
      </c>
      <c r="R225" s="79"/>
      <c r="S225" s="80"/>
      <c r="T225" s="81"/>
      <c r="U225" s="70">
        <f t="shared" si="215"/>
        <v>0</v>
      </c>
      <c r="V225" s="71">
        <f t="shared" si="216"/>
        <v>0</v>
      </c>
      <c r="W225" s="72">
        <f t="shared" si="224"/>
        <v>0</v>
      </c>
      <c r="X225" s="134">
        <f t="shared" si="225"/>
        <v>0</v>
      </c>
      <c r="Y225" s="78">
        <f t="shared" ref="Y225:Y264" si="251">SUM(AB225,Z225)</f>
        <v>0</v>
      </c>
      <c r="Z225" s="79"/>
      <c r="AA225" s="80"/>
      <c r="AB225" s="81"/>
      <c r="AC225" s="70">
        <f t="shared" si="217"/>
        <v>0</v>
      </c>
      <c r="AD225" s="71">
        <f t="shared" si="240"/>
        <v>0</v>
      </c>
      <c r="AE225" s="72">
        <f t="shared" si="226"/>
        <v>0</v>
      </c>
      <c r="AF225" s="134">
        <f t="shared" si="227"/>
        <v>0</v>
      </c>
      <c r="AG225" s="78">
        <f t="shared" ref="AG225:AG264" si="252">SUM(AJ225,AH225)</f>
        <v>0</v>
      </c>
      <c r="AH225" s="79"/>
      <c r="AI225" s="80"/>
      <c r="AJ225" s="81"/>
      <c r="AK225" s="70">
        <f t="shared" si="211"/>
        <v>0</v>
      </c>
      <c r="AL225" s="71">
        <f t="shared" si="242"/>
        <v>0</v>
      </c>
      <c r="AM225" s="72">
        <f t="shared" si="228"/>
        <v>0</v>
      </c>
      <c r="AN225" s="134">
        <f t="shared" si="229"/>
        <v>0</v>
      </c>
      <c r="AO225" s="78">
        <f t="shared" ref="AO225:AO264" si="253">SUM(AR225,AP225)</f>
        <v>0</v>
      </c>
      <c r="AP225" s="79"/>
      <c r="AQ225" s="80"/>
      <c r="AR225" s="81"/>
      <c r="AS225" s="70">
        <f t="shared" si="212"/>
        <v>0</v>
      </c>
      <c r="AT225" s="71">
        <f t="shared" si="244"/>
        <v>0</v>
      </c>
      <c r="AU225" s="72">
        <f t="shared" si="230"/>
        <v>0</v>
      </c>
      <c r="AV225" s="134">
        <f t="shared" si="231"/>
        <v>0</v>
      </c>
      <c r="AW225" s="78">
        <f t="shared" ref="AW225:AW264" si="254">SUM(AZ225,AX225)</f>
        <v>0</v>
      </c>
      <c r="AX225" s="79"/>
      <c r="AY225" s="80"/>
      <c r="AZ225" s="81"/>
      <c r="BA225" s="70">
        <f t="shared" si="213"/>
        <v>0</v>
      </c>
      <c r="BB225" s="71">
        <f t="shared" si="246"/>
        <v>0</v>
      </c>
      <c r="BC225" s="72">
        <f t="shared" si="232"/>
        <v>0</v>
      </c>
      <c r="BD225" s="134">
        <f t="shared" si="233"/>
        <v>0</v>
      </c>
      <c r="BE225" s="78">
        <f t="shared" ref="BE225:BE264" si="255">SUM(BH225,BF225)</f>
        <v>0</v>
      </c>
      <c r="BF225" s="79"/>
      <c r="BG225" s="80"/>
      <c r="BH225" s="81"/>
      <c r="BI225" s="70">
        <f t="shared" si="214"/>
        <v>0</v>
      </c>
      <c r="BJ225" s="71">
        <f t="shared" si="248"/>
        <v>0</v>
      </c>
      <c r="BK225" s="72">
        <f t="shared" si="234"/>
        <v>0</v>
      </c>
      <c r="BL225" s="134">
        <f t="shared" si="235"/>
        <v>0</v>
      </c>
    </row>
    <row r="226" spans="1:64" ht="12.9" x14ac:dyDescent="0.35">
      <c r="A226" s="25" t="s">
        <v>7</v>
      </c>
      <c r="B226" s="23" t="s">
        <v>48</v>
      </c>
      <c r="C226" s="27" t="s">
        <v>191</v>
      </c>
      <c r="D226" s="25" t="s">
        <v>137</v>
      </c>
      <c r="E226" s="78">
        <f t="shared" si="236"/>
        <v>0</v>
      </c>
      <c r="F226" s="79">
        <v>0</v>
      </c>
      <c r="G226" s="80">
        <v>0</v>
      </c>
      <c r="H226" s="81">
        <v>0</v>
      </c>
      <c r="I226" s="78">
        <f t="shared" si="249"/>
        <v>0</v>
      </c>
      <c r="J226" s="79">
        <v>0</v>
      </c>
      <c r="K226" s="80">
        <v>0</v>
      </c>
      <c r="L226" s="81">
        <v>0</v>
      </c>
      <c r="M226" s="70">
        <f t="shared" si="220"/>
        <v>0</v>
      </c>
      <c r="N226" s="71">
        <f t="shared" si="221"/>
        <v>0</v>
      </c>
      <c r="O226" s="72">
        <f t="shared" si="222"/>
        <v>0</v>
      </c>
      <c r="P226" s="134">
        <f t="shared" si="223"/>
        <v>0</v>
      </c>
      <c r="Q226" s="78">
        <f t="shared" si="250"/>
        <v>2</v>
      </c>
      <c r="R226" s="79">
        <v>2</v>
      </c>
      <c r="S226" s="80">
        <v>0</v>
      </c>
      <c r="T226" s="81">
        <v>0</v>
      </c>
      <c r="U226" s="70">
        <f t="shared" si="215"/>
        <v>2</v>
      </c>
      <c r="V226" s="71">
        <f t="shared" si="216"/>
        <v>2</v>
      </c>
      <c r="W226" s="72">
        <f t="shared" si="224"/>
        <v>0</v>
      </c>
      <c r="X226" s="134">
        <f t="shared" si="225"/>
        <v>0</v>
      </c>
      <c r="Y226" s="78">
        <f t="shared" si="251"/>
        <v>0</v>
      </c>
      <c r="Z226" s="79"/>
      <c r="AA226" s="80">
        <v>0</v>
      </c>
      <c r="AB226" s="81">
        <v>0</v>
      </c>
      <c r="AC226" s="70">
        <f t="shared" si="217"/>
        <v>2</v>
      </c>
      <c r="AD226" s="71">
        <f t="shared" si="240"/>
        <v>2</v>
      </c>
      <c r="AE226" s="72">
        <f t="shared" si="226"/>
        <v>0</v>
      </c>
      <c r="AF226" s="134">
        <f t="shared" si="227"/>
        <v>0</v>
      </c>
      <c r="AG226" s="78">
        <f t="shared" si="252"/>
        <v>0</v>
      </c>
      <c r="AH226" s="79"/>
      <c r="AI226" s="80">
        <v>0</v>
      </c>
      <c r="AJ226" s="81">
        <v>0</v>
      </c>
      <c r="AK226" s="70">
        <f t="shared" si="211"/>
        <v>2</v>
      </c>
      <c r="AL226" s="71">
        <f t="shared" si="242"/>
        <v>2</v>
      </c>
      <c r="AM226" s="72">
        <f t="shared" si="228"/>
        <v>0</v>
      </c>
      <c r="AN226" s="134">
        <f t="shared" si="229"/>
        <v>0</v>
      </c>
      <c r="AO226" s="78">
        <f t="shared" si="253"/>
        <v>0</v>
      </c>
      <c r="AP226" s="79"/>
      <c r="AQ226" s="80">
        <v>0</v>
      </c>
      <c r="AR226" s="81">
        <v>0</v>
      </c>
      <c r="AS226" s="70">
        <f t="shared" si="212"/>
        <v>2</v>
      </c>
      <c r="AT226" s="71">
        <f t="shared" si="244"/>
        <v>2</v>
      </c>
      <c r="AU226" s="72">
        <f t="shared" si="230"/>
        <v>0</v>
      </c>
      <c r="AV226" s="134">
        <f t="shared" si="231"/>
        <v>0</v>
      </c>
      <c r="AW226" s="78">
        <f t="shared" si="254"/>
        <v>0</v>
      </c>
      <c r="AX226" s="79"/>
      <c r="AY226" s="80">
        <v>0</v>
      </c>
      <c r="AZ226" s="81">
        <v>0</v>
      </c>
      <c r="BA226" s="70">
        <f t="shared" si="213"/>
        <v>2</v>
      </c>
      <c r="BB226" s="71">
        <f t="shared" si="246"/>
        <v>2</v>
      </c>
      <c r="BC226" s="72">
        <f t="shared" si="232"/>
        <v>0</v>
      </c>
      <c r="BD226" s="134">
        <f t="shared" si="233"/>
        <v>0</v>
      </c>
      <c r="BE226" s="78">
        <f t="shared" si="255"/>
        <v>0</v>
      </c>
      <c r="BF226" s="79"/>
      <c r="BG226" s="80">
        <v>0</v>
      </c>
      <c r="BH226" s="81">
        <v>0</v>
      </c>
      <c r="BI226" s="70">
        <f t="shared" si="214"/>
        <v>2</v>
      </c>
      <c r="BJ226" s="71">
        <f t="shared" si="248"/>
        <v>2</v>
      </c>
      <c r="BK226" s="72">
        <f t="shared" si="234"/>
        <v>0</v>
      </c>
      <c r="BL226" s="134">
        <f t="shared" si="235"/>
        <v>0</v>
      </c>
    </row>
    <row r="227" spans="1:64" s="138" customFormat="1" ht="12.45" x14ac:dyDescent="0.3">
      <c r="A227" s="135"/>
      <c r="B227" s="141" t="s">
        <v>133</v>
      </c>
      <c r="C227" s="28" t="s">
        <v>113</v>
      </c>
      <c r="D227" s="137"/>
      <c r="E227" s="73">
        <f t="shared" si="236"/>
        <v>427.10299999999995</v>
      </c>
      <c r="F227" s="74">
        <f>SUM(F229:F240)</f>
        <v>424.60299999999995</v>
      </c>
      <c r="G227" s="75">
        <f>SUM(G229:G240)</f>
        <v>251.48000000000002</v>
      </c>
      <c r="H227" s="133">
        <f>SUM(H229:H240)</f>
        <v>2.5</v>
      </c>
      <c r="I227" s="73">
        <f t="shared" si="249"/>
        <v>0</v>
      </c>
      <c r="J227" s="74">
        <f>SUM(J229:J240)</f>
        <v>0</v>
      </c>
      <c r="K227" s="75">
        <f>SUM(K229:K240)</f>
        <v>0</v>
      </c>
      <c r="L227" s="133">
        <f>SUM(L229:L240)</f>
        <v>0</v>
      </c>
      <c r="M227" s="73">
        <f t="shared" si="220"/>
        <v>427.10299999999995</v>
      </c>
      <c r="N227" s="74">
        <f t="shared" si="221"/>
        <v>424.60299999999995</v>
      </c>
      <c r="O227" s="75">
        <f t="shared" si="222"/>
        <v>251.48000000000002</v>
      </c>
      <c r="P227" s="133">
        <f t="shared" si="223"/>
        <v>2.5</v>
      </c>
      <c r="Q227" s="73">
        <f t="shared" si="250"/>
        <v>6.8689999999999998</v>
      </c>
      <c r="R227" s="74">
        <f>SUM(R229:R240)</f>
        <v>6.8689999999999998</v>
      </c>
      <c r="S227" s="75">
        <f>SUM(S229:S240)</f>
        <v>6.46</v>
      </c>
      <c r="T227" s="133">
        <f>SUM(T229:T240)</f>
        <v>0</v>
      </c>
      <c r="U227" s="73">
        <f t="shared" si="215"/>
        <v>433.97199999999998</v>
      </c>
      <c r="V227" s="74">
        <f t="shared" si="216"/>
        <v>431.47199999999998</v>
      </c>
      <c r="W227" s="75">
        <f t="shared" si="224"/>
        <v>257.94</v>
      </c>
      <c r="X227" s="133">
        <f t="shared" si="225"/>
        <v>2.5</v>
      </c>
      <c r="Y227" s="73">
        <f t="shared" si="251"/>
        <v>0</v>
      </c>
      <c r="Z227" s="74">
        <f>SUM(Z229:Z240)</f>
        <v>0</v>
      </c>
      <c r="AA227" s="75">
        <f>SUM(AA229:AA240)</f>
        <v>0</v>
      </c>
      <c r="AB227" s="133">
        <f>SUM(AB229:AB240)</f>
        <v>0</v>
      </c>
      <c r="AC227" s="73">
        <f t="shared" si="217"/>
        <v>433.97199999999998</v>
      </c>
      <c r="AD227" s="74">
        <f t="shared" si="240"/>
        <v>431.47199999999998</v>
      </c>
      <c r="AE227" s="75">
        <f t="shared" si="226"/>
        <v>257.94</v>
      </c>
      <c r="AF227" s="133">
        <f t="shared" si="227"/>
        <v>2.5</v>
      </c>
      <c r="AG227" s="73">
        <f t="shared" si="252"/>
        <v>0</v>
      </c>
      <c r="AH227" s="74">
        <f>SUM(AH229:AH240)</f>
        <v>0</v>
      </c>
      <c r="AI227" s="75">
        <f>SUM(AI229:AI240)</f>
        <v>0</v>
      </c>
      <c r="AJ227" s="133">
        <f>SUM(AJ229:AJ240)</f>
        <v>0</v>
      </c>
      <c r="AK227" s="73">
        <f t="shared" si="211"/>
        <v>433.97199999999998</v>
      </c>
      <c r="AL227" s="74">
        <f t="shared" si="242"/>
        <v>431.47199999999998</v>
      </c>
      <c r="AM227" s="75">
        <f t="shared" si="228"/>
        <v>257.94</v>
      </c>
      <c r="AN227" s="133">
        <f t="shared" si="229"/>
        <v>2.5</v>
      </c>
      <c r="AO227" s="73">
        <f t="shared" si="253"/>
        <v>3.9</v>
      </c>
      <c r="AP227" s="74">
        <f>SUM(AP229:AP240)</f>
        <v>3.9</v>
      </c>
      <c r="AQ227" s="75">
        <f>SUM(AQ229:AQ240)</f>
        <v>0</v>
      </c>
      <c r="AR227" s="133">
        <f>SUM(AR229:AR240)</f>
        <v>0</v>
      </c>
      <c r="AS227" s="73">
        <f t="shared" si="212"/>
        <v>437.87199999999996</v>
      </c>
      <c r="AT227" s="74">
        <f t="shared" si="244"/>
        <v>435.37199999999996</v>
      </c>
      <c r="AU227" s="75">
        <f t="shared" si="230"/>
        <v>257.94</v>
      </c>
      <c r="AV227" s="133">
        <f t="shared" si="231"/>
        <v>2.5</v>
      </c>
      <c r="AW227" s="73">
        <f t="shared" si="254"/>
        <v>2.7230000000000003</v>
      </c>
      <c r="AX227" s="74">
        <f>SUM(AX229:AX240)</f>
        <v>2.7230000000000003</v>
      </c>
      <c r="AY227" s="75">
        <f>SUM(AY229:AY240)</f>
        <v>0</v>
      </c>
      <c r="AZ227" s="133">
        <f>SUM(AZ229:AZ240)</f>
        <v>0</v>
      </c>
      <c r="BA227" s="73">
        <f t="shared" si="213"/>
        <v>440.59499999999997</v>
      </c>
      <c r="BB227" s="74">
        <f t="shared" si="246"/>
        <v>438.09499999999997</v>
      </c>
      <c r="BC227" s="75">
        <f t="shared" si="232"/>
        <v>257.94</v>
      </c>
      <c r="BD227" s="133">
        <f t="shared" si="233"/>
        <v>2.5</v>
      </c>
      <c r="BE227" s="73">
        <f t="shared" si="255"/>
        <v>6.8</v>
      </c>
      <c r="BF227" s="74">
        <f>SUM(BF229:BF240)</f>
        <v>7.6779999999999999</v>
      </c>
      <c r="BG227" s="75">
        <f>SUM(BG229:BG240)</f>
        <v>0</v>
      </c>
      <c r="BH227" s="133">
        <f>SUM(BH229:BH240)</f>
        <v>-0.878</v>
      </c>
      <c r="BI227" s="73">
        <f t="shared" si="214"/>
        <v>447.39499999999998</v>
      </c>
      <c r="BJ227" s="74">
        <f t="shared" si="248"/>
        <v>445.77299999999997</v>
      </c>
      <c r="BK227" s="75">
        <f t="shared" si="234"/>
        <v>257.94</v>
      </c>
      <c r="BL227" s="133">
        <f t="shared" si="235"/>
        <v>1.6219999999999999</v>
      </c>
    </row>
    <row r="228" spans="1:64" ht="12.9" x14ac:dyDescent="0.35">
      <c r="A228" s="43"/>
      <c r="B228" s="4" t="s">
        <v>2</v>
      </c>
      <c r="C228" s="44"/>
      <c r="D228" s="28"/>
      <c r="E228" s="78">
        <f t="shared" si="236"/>
        <v>0</v>
      </c>
      <c r="F228" s="79">
        <v>0</v>
      </c>
      <c r="G228" s="80">
        <v>0</v>
      </c>
      <c r="H228" s="81">
        <v>0</v>
      </c>
      <c r="I228" s="78">
        <f t="shared" si="249"/>
        <v>0</v>
      </c>
      <c r="J228" s="79">
        <v>0</v>
      </c>
      <c r="K228" s="80">
        <v>0</v>
      </c>
      <c r="L228" s="81">
        <v>0</v>
      </c>
      <c r="M228" s="70">
        <f t="shared" si="220"/>
        <v>0</v>
      </c>
      <c r="N228" s="71">
        <f t="shared" si="221"/>
        <v>0</v>
      </c>
      <c r="O228" s="72">
        <f t="shared" si="222"/>
        <v>0</v>
      </c>
      <c r="P228" s="134">
        <f t="shared" si="223"/>
        <v>0</v>
      </c>
      <c r="Q228" s="78">
        <f t="shared" si="250"/>
        <v>0</v>
      </c>
      <c r="R228" s="79">
        <v>0</v>
      </c>
      <c r="S228" s="80">
        <v>0</v>
      </c>
      <c r="T228" s="81">
        <v>0</v>
      </c>
      <c r="U228" s="70">
        <f t="shared" si="215"/>
        <v>0</v>
      </c>
      <c r="V228" s="71">
        <f t="shared" si="216"/>
        <v>0</v>
      </c>
      <c r="W228" s="72">
        <f t="shared" si="224"/>
        <v>0</v>
      </c>
      <c r="X228" s="134">
        <f t="shared" si="225"/>
        <v>0</v>
      </c>
      <c r="Y228" s="78">
        <f t="shared" si="251"/>
        <v>0</v>
      </c>
      <c r="Z228" s="79">
        <v>0</v>
      </c>
      <c r="AA228" s="80">
        <v>0</v>
      </c>
      <c r="AB228" s="81">
        <v>0</v>
      </c>
      <c r="AC228" s="70">
        <f t="shared" si="217"/>
        <v>0</v>
      </c>
      <c r="AD228" s="71">
        <f t="shared" si="240"/>
        <v>0</v>
      </c>
      <c r="AE228" s="72">
        <f t="shared" si="226"/>
        <v>0</v>
      </c>
      <c r="AF228" s="134">
        <f t="shared" si="227"/>
        <v>0</v>
      </c>
      <c r="AG228" s="78">
        <f t="shared" si="252"/>
        <v>0</v>
      </c>
      <c r="AH228" s="79">
        <v>0</v>
      </c>
      <c r="AI228" s="80">
        <v>0</v>
      </c>
      <c r="AJ228" s="81">
        <v>0</v>
      </c>
      <c r="AK228" s="70">
        <f t="shared" si="211"/>
        <v>0</v>
      </c>
      <c r="AL228" s="71">
        <f t="shared" si="242"/>
        <v>0</v>
      </c>
      <c r="AM228" s="72">
        <f t="shared" si="228"/>
        <v>0</v>
      </c>
      <c r="AN228" s="134">
        <f t="shared" si="229"/>
        <v>0</v>
      </c>
      <c r="AO228" s="78">
        <f t="shared" si="253"/>
        <v>0</v>
      </c>
      <c r="AP228" s="79">
        <v>0</v>
      </c>
      <c r="AQ228" s="80">
        <v>0</v>
      </c>
      <c r="AR228" s="81">
        <v>0</v>
      </c>
      <c r="AS228" s="70">
        <f t="shared" si="212"/>
        <v>0</v>
      </c>
      <c r="AT228" s="71">
        <f t="shared" si="244"/>
        <v>0</v>
      </c>
      <c r="AU228" s="72">
        <f t="shared" si="230"/>
        <v>0</v>
      </c>
      <c r="AV228" s="134">
        <f t="shared" si="231"/>
        <v>0</v>
      </c>
      <c r="AW228" s="78">
        <f t="shared" si="254"/>
        <v>0</v>
      </c>
      <c r="AX228" s="79">
        <v>0</v>
      </c>
      <c r="AY228" s="80">
        <v>0</v>
      </c>
      <c r="AZ228" s="81">
        <v>0</v>
      </c>
      <c r="BA228" s="70">
        <f t="shared" si="213"/>
        <v>0</v>
      </c>
      <c r="BB228" s="71">
        <f t="shared" si="246"/>
        <v>0</v>
      </c>
      <c r="BC228" s="72">
        <f t="shared" si="232"/>
        <v>0</v>
      </c>
      <c r="BD228" s="134">
        <f t="shared" si="233"/>
        <v>0</v>
      </c>
      <c r="BE228" s="78">
        <f t="shared" si="255"/>
        <v>0</v>
      </c>
      <c r="BF228" s="79">
        <v>0</v>
      </c>
      <c r="BG228" s="80">
        <v>0</v>
      </c>
      <c r="BH228" s="81">
        <v>0</v>
      </c>
      <c r="BI228" s="70">
        <f t="shared" si="214"/>
        <v>0</v>
      </c>
      <c r="BJ228" s="71">
        <f t="shared" si="248"/>
        <v>0</v>
      </c>
      <c r="BK228" s="72">
        <f t="shared" si="234"/>
        <v>0</v>
      </c>
      <c r="BL228" s="134">
        <f t="shared" si="235"/>
        <v>0</v>
      </c>
    </row>
    <row r="229" spans="1:64" ht="12.9" x14ac:dyDescent="0.35">
      <c r="A229" s="47" t="s">
        <v>22</v>
      </c>
      <c r="B229" s="26" t="s">
        <v>34</v>
      </c>
      <c r="C229" s="27" t="s">
        <v>86</v>
      </c>
      <c r="D229" s="25" t="s">
        <v>125</v>
      </c>
      <c r="E229" s="78">
        <f t="shared" si="236"/>
        <v>0.4</v>
      </c>
      <c r="F229" s="79">
        <v>0.4</v>
      </c>
      <c r="G229" s="80"/>
      <c r="H229" s="81"/>
      <c r="I229" s="78">
        <f t="shared" si="249"/>
        <v>0</v>
      </c>
      <c r="J229" s="79"/>
      <c r="K229" s="80"/>
      <c r="L229" s="81"/>
      <c r="M229" s="70">
        <f t="shared" si="220"/>
        <v>0.4</v>
      </c>
      <c r="N229" s="71">
        <f t="shared" si="221"/>
        <v>0.4</v>
      </c>
      <c r="O229" s="72">
        <f t="shared" si="222"/>
        <v>0</v>
      </c>
      <c r="P229" s="134">
        <f t="shared" si="223"/>
        <v>0</v>
      </c>
      <c r="Q229" s="78">
        <f t="shared" si="250"/>
        <v>0</v>
      </c>
      <c r="R229" s="79"/>
      <c r="S229" s="80"/>
      <c r="T229" s="81"/>
      <c r="U229" s="70">
        <f t="shared" si="215"/>
        <v>0.4</v>
      </c>
      <c r="V229" s="71">
        <f t="shared" si="216"/>
        <v>0.4</v>
      </c>
      <c r="W229" s="72">
        <f t="shared" si="224"/>
        <v>0</v>
      </c>
      <c r="X229" s="134">
        <f t="shared" si="225"/>
        <v>0</v>
      </c>
      <c r="Y229" s="78">
        <f t="shared" si="251"/>
        <v>0</v>
      </c>
      <c r="Z229" s="79"/>
      <c r="AA229" s="80"/>
      <c r="AB229" s="81"/>
      <c r="AC229" s="70">
        <f t="shared" si="217"/>
        <v>0.4</v>
      </c>
      <c r="AD229" s="71">
        <f t="shared" si="240"/>
        <v>0.4</v>
      </c>
      <c r="AE229" s="72">
        <f t="shared" si="226"/>
        <v>0</v>
      </c>
      <c r="AF229" s="134">
        <f t="shared" si="227"/>
        <v>0</v>
      </c>
      <c r="AG229" s="78">
        <f t="shared" si="252"/>
        <v>0</v>
      </c>
      <c r="AH229" s="79"/>
      <c r="AI229" s="80"/>
      <c r="AJ229" s="81"/>
      <c r="AK229" s="70">
        <f t="shared" si="211"/>
        <v>0.4</v>
      </c>
      <c r="AL229" s="71">
        <f t="shared" si="242"/>
        <v>0.4</v>
      </c>
      <c r="AM229" s="72">
        <f t="shared" si="228"/>
        <v>0</v>
      </c>
      <c r="AN229" s="134">
        <f t="shared" si="229"/>
        <v>0</v>
      </c>
      <c r="AO229" s="78">
        <f t="shared" si="253"/>
        <v>0</v>
      </c>
      <c r="AP229" s="79"/>
      <c r="AQ229" s="80"/>
      <c r="AR229" s="81"/>
      <c r="AS229" s="70">
        <f t="shared" si="212"/>
        <v>0.4</v>
      </c>
      <c r="AT229" s="71">
        <f t="shared" si="244"/>
        <v>0.4</v>
      </c>
      <c r="AU229" s="72">
        <f t="shared" si="230"/>
        <v>0</v>
      </c>
      <c r="AV229" s="134">
        <f t="shared" si="231"/>
        <v>0</v>
      </c>
      <c r="AW229" s="78">
        <f t="shared" si="254"/>
        <v>0.5</v>
      </c>
      <c r="AX229" s="79">
        <v>0.5</v>
      </c>
      <c r="AY229" s="80"/>
      <c r="AZ229" s="81"/>
      <c r="BA229" s="70">
        <f t="shared" si="213"/>
        <v>0.9</v>
      </c>
      <c r="BB229" s="71">
        <f t="shared" si="246"/>
        <v>0.9</v>
      </c>
      <c r="BC229" s="72">
        <f t="shared" si="232"/>
        <v>0</v>
      </c>
      <c r="BD229" s="134">
        <f t="shared" si="233"/>
        <v>0</v>
      </c>
      <c r="BE229" s="78">
        <f t="shared" si="255"/>
        <v>0</v>
      </c>
      <c r="BF229" s="79"/>
      <c r="BG229" s="80"/>
      <c r="BH229" s="81"/>
      <c r="BI229" s="70">
        <f t="shared" si="214"/>
        <v>0.9</v>
      </c>
      <c r="BJ229" s="71">
        <f t="shared" si="248"/>
        <v>0.9</v>
      </c>
      <c r="BK229" s="72">
        <f t="shared" si="234"/>
        <v>0</v>
      </c>
      <c r="BL229" s="134">
        <f t="shared" si="235"/>
        <v>0</v>
      </c>
    </row>
    <row r="230" spans="1:64" ht="12.9" hidden="1" x14ac:dyDescent="0.35">
      <c r="A230" s="120" t="s">
        <v>25</v>
      </c>
      <c r="B230" s="116" t="s">
        <v>41</v>
      </c>
      <c r="C230" s="27"/>
      <c r="D230" s="25" t="s">
        <v>125</v>
      </c>
      <c r="E230" s="78">
        <f t="shared" si="236"/>
        <v>0</v>
      </c>
      <c r="F230" s="79"/>
      <c r="G230" s="80"/>
      <c r="H230" s="81"/>
      <c r="I230" s="78">
        <f t="shared" si="249"/>
        <v>0</v>
      </c>
      <c r="J230" s="79"/>
      <c r="K230" s="80"/>
      <c r="L230" s="81"/>
      <c r="M230" s="70">
        <f t="shared" si="220"/>
        <v>0</v>
      </c>
      <c r="N230" s="71">
        <f t="shared" si="221"/>
        <v>0</v>
      </c>
      <c r="O230" s="72">
        <f t="shared" si="222"/>
        <v>0</v>
      </c>
      <c r="P230" s="134">
        <f t="shared" si="223"/>
        <v>0</v>
      </c>
      <c r="Q230" s="78">
        <f t="shared" si="250"/>
        <v>0</v>
      </c>
      <c r="R230" s="79"/>
      <c r="S230" s="80"/>
      <c r="T230" s="81"/>
      <c r="U230" s="70">
        <f t="shared" si="215"/>
        <v>0</v>
      </c>
      <c r="V230" s="71">
        <f t="shared" si="216"/>
        <v>0</v>
      </c>
      <c r="W230" s="72">
        <f t="shared" si="224"/>
        <v>0</v>
      </c>
      <c r="X230" s="134">
        <f t="shared" si="225"/>
        <v>0</v>
      </c>
      <c r="Y230" s="78">
        <f t="shared" si="251"/>
        <v>0</v>
      </c>
      <c r="Z230" s="79"/>
      <c r="AA230" s="80"/>
      <c r="AB230" s="81"/>
      <c r="AC230" s="70">
        <f t="shared" si="217"/>
        <v>0</v>
      </c>
      <c r="AD230" s="71">
        <f t="shared" si="240"/>
        <v>0</v>
      </c>
      <c r="AE230" s="72">
        <f t="shared" si="226"/>
        <v>0</v>
      </c>
      <c r="AF230" s="134">
        <f t="shared" si="227"/>
        <v>0</v>
      </c>
      <c r="AG230" s="78">
        <f t="shared" si="252"/>
        <v>0</v>
      </c>
      <c r="AH230" s="79"/>
      <c r="AI230" s="80"/>
      <c r="AJ230" s="81"/>
      <c r="AK230" s="70">
        <f t="shared" si="211"/>
        <v>0</v>
      </c>
      <c r="AL230" s="71">
        <f t="shared" si="242"/>
        <v>0</v>
      </c>
      <c r="AM230" s="72">
        <f t="shared" si="228"/>
        <v>0</v>
      </c>
      <c r="AN230" s="134">
        <f t="shared" si="229"/>
        <v>0</v>
      </c>
      <c r="AO230" s="78">
        <f t="shared" si="253"/>
        <v>0</v>
      </c>
      <c r="AP230" s="79"/>
      <c r="AQ230" s="80"/>
      <c r="AR230" s="81"/>
      <c r="AS230" s="70">
        <f t="shared" si="212"/>
        <v>0</v>
      </c>
      <c r="AT230" s="71">
        <f t="shared" si="244"/>
        <v>0</v>
      </c>
      <c r="AU230" s="72">
        <f t="shared" si="230"/>
        <v>0</v>
      </c>
      <c r="AV230" s="134">
        <f t="shared" si="231"/>
        <v>0</v>
      </c>
      <c r="AW230" s="78">
        <f t="shared" si="254"/>
        <v>0</v>
      </c>
      <c r="AX230" s="79"/>
      <c r="AY230" s="80"/>
      <c r="AZ230" s="81"/>
      <c r="BA230" s="70">
        <f t="shared" si="213"/>
        <v>0</v>
      </c>
      <c r="BB230" s="71">
        <f t="shared" si="246"/>
        <v>0</v>
      </c>
      <c r="BC230" s="72">
        <f t="shared" si="232"/>
        <v>0</v>
      </c>
      <c r="BD230" s="134">
        <f t="shared" si="233"/>
        <v>0</v>
      </c>
      <c r="BE230" s="78">
        <f t="shared" si="255"/>
        <v>0</v>
      </c>
      <c r="BF230" s="79"/>
      <c r="BG230" s="80"/>
      <c r="BH230" s="81"/>
      <c r="BI230" s="70">
        <f t="shared" si="214"/>
        <v>0</v>
      </c>
      <c r="BJ230" s="71">
        <f t="shared" si="248"/>
        <v>0</v>
      </c>
      <c r="BK230" s="72">
        <f t="shared" si="234"/>
        <v>0</v>
      </c>
      <c r="BL230" s="134">
        <f t="shared" si="235"/>
        <v>0</v>
      </c>
    </row>
    <row r="231" spans="1:64" ht="12.9" hidden="1" x14ac:dyDescent="0.35">
      <c r="A231" s="45" t="s">
        <v>31</v>
      </c>
      <c r="B231" s="116" t="s">
        <v>131</v>
      </c>
      <c r="C231" s="27"/>
      <c r="D231" s="25" t="s">
        <v>125</v>
      </c>
      <c r="E231" s="78">
        <f t="shared" si="236"/>
        <v>0</v>
      </c>
      <c r="F231" s="79"/>
      <c r="G231" s="80"/>
      <c r="H231" s="81"/>
      <c r="I231" s="78">
        <f t="shared" si="249"/>
        <v>0</v>
      </c>
      <c r="J231" s="79"/>
      <c r="K231" s="80"/>
      <c r="L231" s="81"/>
      <c r="M231" s="70">
        <f t="shared" si="220"/>
        <v>0</v>
      </c>
      <c r="N231" s="71">
        <f t="shared" si="221"/>
        <v>0</v>
      </c>
      <c r="O231" s="72">
        <f t="shared" si="222"/>
        <v>0</v>
      </c>
      <c r="P231" s="134">
        <f t="shared" si="223"/>
        <v>0</v>
      </c>
      <c r="Q231" s="78">
        <f t="shared" si="250"/>
        <v>0</v>
      </c>
      <c r="R231" s="79"/>
      <c r="S231" s="80"/>
      <c r="T231" s="81"/>
      <c r="U231" s="70">
        <f t="shared" si="215"/>
        <v>0</v>
      </c>
      <c r="V231" s="71">
        <f t="shared" si="216"/>
        <v>0</v>
      </c>
      <c r="W231" s="72">
        <f t="shared" si="224"/>
        <v>0</v>
      </c>
      <c r="X231" s="134">
        <f t="shared" si="225"/>
        <v>0</v>
      </c>
      <c r="Y231" s="78">
        <f t="shared" si="251"/>
        <v>0</v>
      </c>
      <c r="Z231" s="79"/>
      <c r="AA231" s="80"/>
      <c r="AB231" s="81"/>
      <c r="AC231" s="70">
        <f t="shared" si="217"/>
        <v>0</v>
      </c>
      <c r="AD231" s="71">
        <f t="shared" si="240"/>
        <v>0</v>
      </c>
      <c r="AE231" s="72">
        <f t="shared" si="226"/>
        <v>0</v>
      </c>
      <c r="AF231" s="134">
        <f t="shared" si="227"/>
        <v>0</v>
      </c>
      <c r="AG231" s="78">
        <f t="shared" si="252"/>
        <v>0</v>
      </c>
      <c r="AH231" s="79"/>
      <c r="AI231" s="80"/>
      <c r="AJ231" s="81"/>
      <c r="AK231" s="70">
        <f t="shared" si="211"/>
        <v>0</v>
      </c>
      <c r="AL231" s="71">
        <f t="shared" si="242"/>
        <v>0</v>
      </c>
      <c r="AM231" s="72">
        <f t="shared" si="228"/>
        <v>0</v>
      </c>
      <c r="AN231" s="134">
        <f t="shared" si="229"/>
        <v>0</v>
      </c>
      <c r="AO231" s="78">
        <f t="shared" si="253"/>
        <v>0</v>
      </c>
      <c r="AP231" s="79"/>
      <c r="AQ231" s="80"/>
      <c r="AR231" s="81"/>
      <c r="AS231" s="70">
        <f t="shared" si="212"/>
        <v>0</v>
      </c>
      <c r="AT231" s="71">
        <f t="shared" si="244"/>
        <v>0</v>
      </c>
      <c r="AU231" s="72">
        <f t="shared" si="230"/>
        <v>0</v>
      </c>
      <c r="AV231" s="134">
        <f t="shared" si="231"/>
        <v>0</v>
      </c>
      <c r="AW231" s="78">
        <f t="shared" si="254"/>
        <v>0</v>
      </c>
      <c r="AX231" s="79"/>
      <c r="AY231" s="80"/>
      <c r="AZ231" s="81"/>
      <c r="BA231" s="70">
        <f t="shared" si="213"/>
        <v>0</v>
      </c>
      <c r="BB231" s="71">
        <f t="shared" si="246"/>
        <v>0</v>
      </c>
      <c r="BC231" s="72">
        <f t="shared" si="232"/>
        <v>0</v>
      </c>
      <c r="BD231" s="134">
        <f t="shared" si="233"/>
        <v>0</v>
      </c>
      <c r="BE231" s="78">
        <f t="shared" si="255"/>
        <v>0</v>
      </c>
      <c r="BF231" s="79"/>
      <c r="BG231" s="80"/>
      <c r="BH231" s="81"/>
      <c r="BI231" s="70">
        <f t="shared" si="214"/>
        <v>0</v>
      </c>
      <c r="BJ231" s="71">
        <f t="shared" si="248"/>
        <v>0</v>
      </c>
      <c r="BK231" s="72">
        <f t="shared" si="234"/>
        <v>0</v>
      </c>
      <c r="BL231" s="134">
        <f t="shared" si="235"/>
        <v>0</v>
      </c>
    </row>
    <row r="232" spans="1:64" ht="25.75" hidden="1" x14ac:dyDescent="0.35">
      <c r="A232" s="118" t="s">
        <v>30</v>
      </c>
      <c r="B232" s="23" t="s">
        <v>43</v>
      </c>
      <c r="C232" s="27"/>
      <c r="D232" s="25" t="s">
        <v>125</v>
      </c>
      <c r="E232" s="78">
        <f t="shared" si="236"/>
        <v>0</v>
      </c>
      <c r="F232" s="79"/>
      <c r="G232" s="80"/>
      <c r="H232" s="81"/>
      <c r="I232" s="78">
        <f t="shared" si="249"/>
        <v>0</v>
      </c>
      <c r="J232" s="79"/>
      <c r="K232" s="80"/>
      <c r="L232" s="81"/>
      <c r="M232" s="70">
        <f t="shared" si="220"/>
        <v>0</v>
      </c>
      <c r="N232" s="71">
        <f t="shared" si="221"/>
        <v>0</v>
      </c>
      <c r="O232" s="72">
        <f t="shared" si="222"/>
        <v>0</v>
      </c>
      <c r="P232" s="134">
        <f t="shared" si="223"/>
        <v>0</v>
      </c>
      <c r="Q232" s="78">
        <f t="shared" si="250"/>
        <v>0</v>
      </c>
      <c r="R232" s="79"/>
      <c r="S232" s="80"/>
      <c r="T232" s="81"/>
      <c r="U232" s="70">
        <f t="shared" si="215"/>
        <v>0</v>
      </c>
      <c r="V232" s="71">
        <f t="shared" si="216"/>
        <v>0</v>
      </c>
      <c r="W232" s="72">
        <f t="shared" si="224"/>
        <v>0</v>
      </c>
      <c r="X232" s="134">
        <f t="shared" si="225"/>
        <v>0</v>
      </c>
      <c r="Y232" s="78">
        <f t="shared" si="251"/>
        <v>0</v>
      </c>
      <c r="Z232" s="79"/>
      <c r="AA232" s="80"/>
      <c r="AB232" s="81"/>
      <c r="AC232" s="70">
        <f t="shared" si="217"/>
        <v>0</v>
      </c>
      <c r="AD232" s="71">
        <f t="shared" si="240"/>
        <v>0</v>
      </c>
      <c r="AE232" s="72">
        <f t="shared" si="226"/>
        <v>0</v>
      </c>
      <c r="AF232" s="134">
        <f t="shared" si="227"/>
        <v>0</v>
      </c>
      <c r="AG232" s="78">
        <f t="shared" si="252"/>
        <v>0</v>
      </c>
      <c r="AH232" s="79"/>
      <c r="AI232" s="80"/>
      <c r="AJ232" s="81"/>
      <c r="AK232" s="70">
        <f t="shared" si="211"/>
        <v>0</v>
      </c>
      <c r="AL232" s="71">
        <f t="shared" si="242"/>
        <v>0</v>
      </c>
      <c r="AM232" s="72">
        <f t="shared" si="228"/>
        <v>0</v>
      </c>
      <c r="AN232" s="134">
        <f t="shared" si="229"/>
        <v>0</v>
      </c>
      <c r="AO232" s="78">
        <f t="shared" si="253"/>
        <v>0</v>
      </c>
      <c r="AP232" s="79"/>
      <c r="AQ232" s="80"/>
      <c r="AR232" s="81"/>
      <c r="AS232" s="70">
        <f t="shared" si="212"/>
        <v>0</v>
      </c>
      <c r="AT232" s="71">
        <f t="shared" si="244"/>
        <v>0</v>
      </c>
      <c r="AU232" s="72">
        <f t="shared" si="230"/>
        <v>0</v>
      </c>
      <c r="AV232" s="134">
        <f t="shared" si="231"/>
        <v>0</v>
      </c>
      <c r="AW232" s="78">
        <f t="shared" si="254"/>
        <v>0</v>
      </c>
      <c r="AX232" s="79"/>
      <c r="AY232" s="80"/>
      <c r="AZ232" s="81"/>
      <c r="BA232" s="70">
        <f t="shared" si="213"/>
        <v>0</v>
      </c>
      <c r="BB232" s="71">
        <f t="shared" si="246"/>
        <v>0</v>
      </c>
      <c r="BC232" s="72">
        <f t="shared" si="232"/>
        <v>0</v>
      </c>
      <c r="BD232" s="134">
        <f t="shared" si="233"/>
        <v>0</v>
      </c>
      <c r="BE232" s="78">
        <f t="shared" si="255"/>
        <v>0</v>
      </c>
      <c r="BF232" s="79"/>
      <c r="BG232" s="80"/>
      <c r="BH232" s="81"/>
      <c r="BI232" s="70">
        <f t="shared" si="214"/>
        <v>0</v>
      </c>
      <c r="BJ232" s="71">
        <f t="shared" si="248"/>
        <v>0</v>
      </c>
      <c r="BK232" s="72">
        <f t="shared" si="234"/>
        <v>0</v>
      </c>
      <c r="BL232" s="134">
        <f t="shared" si="235"/>
        <v>0</v>
      </c>
    </row>
    <row r="233" spans="1:64" ht="12.9" hidden="1" x14ac:dyDescent="0.35">
      <c r="A233" s="118" t="s">
        <v>39</v>
      </c>
      <c r="B233" s="23" t="s">
        <v>124</v>
      </c>
      <c r="C233" s="27"/>
      <c r="D233" s="25" t="s">
        <v>125</v>
      </c>
      <c r="E233" s="78">
        <f t="shared" si="236"/>
        <v>0</v>
      </c>
      <c r="F233" s="79"/>
      <c r="G233" s="80"/>
      <c r="H233" s="81"/>
      <c r="I233" s="78">
        <f t="shared" si="249"/>
        <v>0</v>
      </c>
      <c r="J233" s="79"/>
      <c r="K233" s="80"/>
      <c r="L233" s="81"/>
      <c r="M233" s="70">
        <f t="shared" si="220"/>
        <v>0</v>
      </c>
      <c r="N233" s="71">
        <f t="shared" si="221"/>
        <v>0</v>
      </c>
      <c r="O233" s="72">
        <f t="shared" si="222"/>
        <v>0</v>
      </c>
      <c r="P233" s="134">
        <f t="shared" si="223"/>
        <v>0</v>
      </c>
      <c r="Q233" s="78">
        <f t="shared" si="250"/>
        <v>0</v>
      </c>
      <c r="R233" s="79"/>
      <c r="S233" s="80"/>
      <c r="T233" s="81"/>
      <c r="U233" s="70">
        <f t="shared" si="215"/>
        <v>0</v>
      </c>
      <c r="V233" s="71">
        <f t="shared" si="216"/>
        <v>0</v>
      </c>
      <c r="W233" s="72">
        <f t="shared" si="224"/>
        <v>0</v>
      </c>
      <c r="X233" s="134">
        <f t="shared" si="225"/>
        <v>0</v>
      </c>
      <c r="Y233" s="78">
        <f t="shared" si="251"/>
        <v>0</v>
      </c>
      <c r="Z233" s="79"/>
      <c r="AA233" s="80"/>
      <c r="AB233" s="81"/>
      <c r="AC233" s="70">
        <f t="shared" si="217"/>
        <v>0</v>
      </c>
      <c r="AD233" s="71">
        <f t="shared" si="240"/>
        <v>0</v>
      </c>
      <c r="AE233" s="72">
        <f t="shared" si="226"/>
        <v>0</v>
      </c>
      <c r="AF233" s="134">
        <f t="shared" si="227"/>
        <v>0</v>
      </c>
      <c r="AG233" s="78">
        <f t="shared" si="252"/>
        <v>0</v>
      </c>
      <c r="AH233" s="79"/>
      <c r="AI233" s="80"/>
      <c r="AJ233" s="81"/>
      <c r="AK233" s="70">
        <f t="shared" si="211"/>
        <v>0</v>
      </c>
      <c r="AL233" s="71">
        <f t="shared" si="242"/>
        <v>0</v>
      </c>
      <c r="AM233" s="72">
        <f t="shared" si="228"/>
        <v>0</v>
      </c>
      <c r="AN233" s="134">
        <f t="shared" si="229"/>
        <v>0</v>
      </c>
      <c r="AO233" s="78">
        <f t="shared" si="253"/>
        <v>0</v>
      </c>
      <c r="AP233" s="79"/>
      <c r="AQ233" s="80"/>
      <c r="AR233" s="81"/>
      <c r="AS233" s="70">
        <f t="shared" si="212"/>
        <v>0</v>
      </c>
      <c r="AT233" s="71">
        <f t="shared" si="244"/>
        <v>0</v>
      </c>
      <c r="AU233" s="72">
        <f t="shared" si="230"/>
        <v>0</v>
      </c>
      <c r="AV233" s="134">
        <f t="shared" si="231"/>
        <v>0</v>
      </c>
      <c r="AW233" s="78">
        <f t="shared" si="254"/>
        <v>0</v>
      </c>
      <c r="AX233" s="79"/>
      <c r="AY233" s="80"/>
      <c r="AZ233" s="81"/>
      <c r="BA233" s="70">
        <f t="shared" si="213"/>
        <v>0</v>
      </c>
      <c r="BB233" s="71">
        <f t="shared" si="246"/>
        <v>0</v>
      </c>
      <c r="BC233" s="72">
        <f t="shared" si="232"/>
        <v>0</v>
      </c>
      <c r="BD233" s="134">
        <f t="shared" si="233"/>
        <v>0</v>
      </c>
      <c r="BE233" s="78">
        <f t="shared" si="255"/>
        <v>0</v>
      </c>
      <c r="BF233" s="79"/>
      <c r="BG233" s="80"/>
      <c r="BH233" s="81"/>
      <c r="BI233" s="70">
        <f t="shared" si="214"/>
        <v>0</v>
      </c>
      <c r="BJ233" s="71">
        <f t="shared" si="248"/>
        <v>0</v>
      </c>
      <c r="BK233" s="72">
        <f t="shared" si="234"/>
        <v>0</v>
      </c>
      <c r="BL233" s="134">
        <f t="shared" si="235"/>
        <v>0</v>
      </c>
    </row>
    <row r="234" spans="1:64" ht="12.9" hidden="1" x14ac:dyDescent="0.35">
      <c r="A234" s="118" t="s">
        <v>23</v>
      </c>
      <c r="B234" s="23" t="s">
        <v>44</v>
      </c>
      <c r="C234" s="27"/>
      <c r="D234" s="25" t="s">
        <v>125</v>
      </c>
      <c r="E234" s="78">
        <f t="shared" si="236"/>
        <v>0</v>
      </c>
      <c r="F234" s="79"/>
      <c r="G234" s="80"/>
      <c r="H234" s="81"/>
      <c r="I234" s="78">
        <f t="shared" si="249"/>
        <v>0</v>
      </c>
      <c r="J234" s="79"/>
      <c r="K234" s="80"/>
      <c r="L234" s="81"/>
      <c r="M234" s="70">
        <f t="shared" si="220"/>
        <v>0</v>
      </c>
      <c r="N234" s="71">
        <f t="shared" si="221"/>
        <v>0</v>
      </c>
      <c r="O234" s="72">
        <f t="shared" si="222"/>
        <v>0</v>
      </c>
      <c r="P234" s="134">
        <f t="shared" si="223"/>
        <v>0</v>
      </c>
      <c r="Q234" s="78">
        <f t="shared" si="250"/>
        <v>0</v>
      </c>
      <c r="R234" s="79"/>
      <c r="S234" s="80"/>
      <c r="T234" s="81"/>
      <c r="U234" s="70">
        <f t="shared" si="215"/>
        <v>0</v>
      </c>
      <c r="V234" s="71">
        <f t="shared" si="216"/>
        <v>0</v>
      </c>
      <c r="W234" s="72">
        <f t="shared" si="224"/>
        <v>0</v>
      </c>
      <c r="X234" s="134">
        <f t="shared" si="225"/>
        <v>0</v>
      </c>
      <c r="Y234" s="78">
        <f t="shared" si="251"/>
        <v>0</v>
      </c>
      <c r="Z234" s="79"/>
      <c r="AA234" s="80"/>
      <c r="AB234" s="81"/>
      <c r="AC234" s="70">
        <f t="shared" si="217"/>
        <v>0</v>
      </c>
      <c r="AD234" s="71">
        <f t="shared" si="240"/>
        <v>0</v>
      </c>
      <c r="AE234" s="72">
        <f t="shared" si="226"/>
        <v>0</v>
      </c>
      <c r="AF234" s="134">
        <f t="shared" si="227"/>
        <v>0</v>
      </c>
      <c r="AG234" s="78">
        <f t="shared" si="252"/>
        <v>0</v>
      </c>
      <c r="AH234" s="79"/>
      <c r="AI234" s="80"/>
      <c r="AJ234" s="81"/>
      <c r="AK234" s="70">
        <f t="shared" si="211"/>
        <v>0</v>
      </c>
      <c r="AL234" s="71">
        <f t="shared" si="242"/>
        <v>0</v>
      </c>
      <c r="AM234" s="72">
        <f t="shared" si="228"/>
        <v>0</v>
      </c>
      <c r="AN234" s="134">
        <f t="shared" si="229"/>
        <v>0</v>
      </c>
      <c r="AO234" s="78">
        <f t="shared" si="253"/>
        <v>0</v>
      </c>
      <c r="AP234" s="79"/>
      <c r="AQ234" s="80"/>
      <c r="AR234" s="81"/>
      <c r="AS234" s="70">
        <f t="shared" si="212"/>
        <v>0</v>
      </c>
      <c r="AT234" s="71">
        <f t="shared" si="244"/>
        <v>0</v>
      </c>
      <c r="AU234" s="72">
        <f t="shared" si="230"/>
        <v>0</v>
      </c>
      <c r="AV234" s="134">
        <f t="shared" si="231"/>
        <v>0</v>
      </c>
      <c r="AW234" s="78">
        <f t="shared" si="254"/>
        <v>0</v>
      </c>
      <c r="AX234" s="79"/>
      <c r="AY234" s="80"/>
      <c r="AZ234" s="81"/>
      <c r="BA234" s="70">
        <f t="shared" si="213"/>
        <v>0</v>
      </c>
      <c r="BB234" s="71">
        <f t="shared" si="246"/>
        <v>0</v>
      </c>
      <c r="BC234" s="72">
        <f t="shared" si="232"/>
        <v>0</v>
      </c>
      <c r="BD234" s="134">
        <f t="shared" si="233"/>
        <v>0</v>
      </c>
      <c r="BE234" s="78">
        <f t="shared" si="255"/>
        <v>0</v>
      </c>
      <c r="BF234" s="79"/>
      <c r="BG234" s="80"/>
      <c r="BH234" s="81"/>
      <c r="BI234" s="70">
        <f t="shared" si="214"/>
        <v>0</v>
      </c>
      <c r="BJ234" s="71">
        <f t="shared" si="248"/>
        <v>0</v>
      </c>
      <c r="BK234" s="72">
        <f t="shared" si="234"/>
        <v>0</v>
      </c>
      <c r="BL234" s="134">
        <f t="shared" si="235"/>
        <v>0</v>
      </c>
    </row>
    <row r="235" spans="1:64" ht="13.75" customHeight="1" x14ac:dyDescent="0.35">
      <c r="A235" s="283" t="s">
        <v>33</v>
      </c>
      <c r="B235" s="233" t="s">
        <v>45</v>
      </c>
      <c r="C235" s="27" t="s">
        <v>180</v>
      </c>
      <c r="D235" s="25" t="s">
        <v>125</v>
      </c>
      <c r="E235" s="78">
        <f t="shared" si="236"/>
        <v>0.8</v>
      </c>
      <c r="F235" s="79">
        <v>0.8</v>
      </c>
      <c r="G235" s="80"/>
      <c r="H235" s="81"/>
      <c r="I235" s="78">
        <f t="shared" si="249"/>
        <v>0</v>
      </c>
      <c r="J235" s="79"/>
      <c r="K235" s="80"/>
      <c r="L235" s="81"/>
      <c r="M235" s="70">
        <f t="shared" si="220"/>
        <v>0.8</v>
      </c>
      <c r="N235" s="71">
        <f t="shared" si="221"/>
        <v>0.8</v>
      </c>
      <c r="O235" s="72">
        <f t="shared" si="222"/>
        <v>0</v>
      </c>
      <c r="P235" s="134">
        <f t="shared" si="223"/>
        <v>0</v>
      </c>
      <c r="Q235" s="78">
        <f t="shared" si="250"/>
        <v>0</v>
      </c>
      <c r="R235" s="79"/>
      <c r="S235" s="80"/>
      <c r="T235" s="81"/>
      <c r="U235" s="70">
        <f t="shared" si="215"/>
        <v>0.8</v>
      </c>
      <c r="V235" s="71">
        <f t="shared" si="216"/>
        <v>0.8</v>
      </c>
      <c r="W235" s="72">
        <f t="shared" si="224"/>
        <v>0</v>
      </c>
      <c r="X235" s="134">
        <f t="shared" si="225"/>
        <v>0</v>
      </c>
      <c r="Y235" s="78">
        <f t="shared" si="251"/>
        <v>0</v>
      </c>
      <c r="Z235" s="79"/>
      <c r="AA235" s="80"/>
      <c r="AB235" s="81"/>
      <c r="AC235" s="70">
        <f t="shared" si="217"/>
        <v>0.8</v>
      </c>
      <c r="AD235" s="71">
        <f t="shared" si="240"/>
        <v>0.8</v>
      </c>
      <c r="AE235" s="72">
        <f t="shared" si="226"/>
        <v>0</v>
      </c>
      <c r="AF235" s="134">
        <f t="shared" si="227"/>
        <v>0</v>
      </c>
      <c r="AG235" s="78">
        <f t="shared" si="252"/>
        <v>0</v>
      </c>
      <c r="AH235" s="79"/>
      <c r="AI235" s="80"/>
      <c r="AJ235" s="81"/>
      <c r="AK235" s="70">
        <f t="shared" si="211"/>
        <v>0.8</v>
      </c>
      <c r="AL235" s="71">
        <f t="shared" si="242"/>
        <v>0.8</v>
      </c>
      <c r="AM235" s="72">
        <f t="shared" si="228"/>
        <v>0</v>
      </c>
      <c r="AN235" s="134">
        <f t="shared" si="229"/>
        <v>0</v>
      </c>
      <c r="AO235" s="78">
        <f t="shared" si="253"/>
        <v>0</v>
      </c>
      <c r="AP235" s="79"/>
      <c r="AQ235" s="80"/>
      <c r="AR235" s="81"/>
      <c r="AS235" s="70">
        <f t="shared" si="212"/>
        <v>0.8</v>
      </c>
      <c r="AT235" s="71">
        <f t="shared" si="244"/>
        <v>0.8</v>
      </c>
      <c r="AU235" s="72">
        <f t="shared" si="230"/>
        <v>0</v>
      </c>
      <c r="AV235" s="134">
        <f t="shared" si="231"/>
        <v>0</v>
      </c>
      <c r="AW235" s="78">
        <f t="shared" si="254"/>
        <v>0</v>
      </c>
      <c r="AX235" s="79"/>
      <c r="AY235" s="80"/>
      <c r="AZ235" s="81"/>
      <c r="BA235" s="70">
        <f t="shared" si="213"/>
        <v>0.8</v>
      </c>
      <c r="BB235" s="71">
        <f t="shared" si="246"/>
        <v>0.8</v>
      </c>
      <c r="BC235" s="72">
        <f t="shared" si="232"/>
        <v>0</v>
      </c>
      <c r="BD235" s="134">
        <f t="shared" si="233"/>
        <v>0</v>
      </c>
      <c r="BE235" s="78">
        <f t="shared" si="255"/>
        <v>0</v>
      </c>
      <c r="BF235" s="79"/>
      <c r="BG235" s="80"/>
      <c r="BH235" s="81"/>
      <c r="BI235" s="70">
        <f t="shared" si="214"/>
        <v>0.8</v>
      </c>
      <c r="BJ235" s="71">
        <f t="shared" si="248"/>
        <v>0.8</v>
      </c>
      <c r="BK235" s="72">
        <f t="shared" si="234"/>
        <v>0</v>
      </c>
      <c r="BL235" s="134">
        <f t="shared" si="235"/>
        <v>0</v>
      </c>
    </row>
    <row r="236" spans="1:64" ht="12.9" x14ac:dyDescent="0.35">
      <c r="A236" s="284"/>
      <c r="B236" s="234"/>
      <c r="C236" s="27" t="s">
        <v>181</v>
      </c>
      <c r="D236" s="25" t="s">
        <v>137</v>
      </c>
      <c r="E236" s="78">
        <f t="shared" si="236"/>
        <v>0</v>
      </c>
      <c r="F236" s="79"/>
      <c r="G236" s="80"/>
      <c r="H236" s="81"/>
      <c r="I236" s="78">
        <f t="shared" si="249"/>
        <v>0</v>
      </c>
      <c r="J236" s="79"/>
      <c r="K236" s="80"/>
      <c r="L236" s="81"/>
      <c r="M236" s="70">
        <f t="shared" si="220"/>
        <v>0</v>
      </c>
      <c r="N236" s="71">
        <f t="shared" si="221"/>
        <v>0</v>
      </c>
      <c r="O236" s="72">
        <f t="shared" si="222"/>
        <v>0</v>
      </c>
      <c r="P236" s="134">
        <f t="shared" si="223"/>
        <v>0</v>
      </c>
      <c r="Q236" s="78">
        <f t="shared" si="250"/>
        <v>0.26900000000000002</v>
      </c>
      <c r="R236" s="79">
        <v>0.26900000000000002</v>
      </c>
      <c r="S236" s="80"/>
      <c r="T236" s="81"/>
      <c r="U236" s="70">
        <f t="shared" si="215"/>
        <v>0.26900000000000002</v>
      </c>
      <c r="V236" s="71">
        <f t="shared" si="216"/>
        <v>0.26900000000000002</v>
      </c>
      <c r="W236" s="72">
        <f t="shared" si="224"/>
        <v>0</v>
      </c>
      <c r="X236" s="134">
        <f t="shared" si="225"/>
        <v>0</v>
      </c>
      <c r="Y236" s="78">
        <f t="shared" si="251"/>
        <v>0</v>
      </c>
      <c r="Z236" s="79"/>
      <c r="AA236" s="80"/>
      <c r="AB236" s="81"/>
      <c r="AC236" s="70">
        <f t="shared" si="217"/>
        <v>0.26900000000000002</v>
      </c>
      <c r="AD236" s="71">
        <f t="shared" si="240"/>
        <v>0.26900000000000002</v>
      </c>
      <c r="AE236" s="72">
        <f t="shared" si="226"/>
        <v>0</v>
      </c>
      <c r="AF236" s="134">
        <f t="shared" si="227"/>
        <v>0</v>
      </c>
      <c r="AG236" s="78">
        <f t="shared" si="252"/>
        <v>0</v>
      </c>
      <c r="AH236" s="79"/>
      <c r="AI236" s="80"/>
      <c r="AJ236" s="81"/>
      <c r="AK236" s="70">
        <f t="shared" si="211"/>
        <v>0.26900000000000002</v>
      </c>
      <c r="AL236" s="71">
        <f t="shared" si="242"/>
        <v>0.26900000000000002</v>
      </c>
      <c r="AM236" s="72">
        <f t="shared" si="228"/>
        <v>0</v>
      </c>
      <c r="AN236" s="134">
        <f t="shared" si="229"/>
        <v>0</v>
      </c>
      <c r="AO236" s="78">
        <f t="shared" si="253"/>
        <v>0</v>
      </c>
      <c r="AP236" s="79"/>
      <c r="AQ236" s="80"/>
      <c r="AR236" s="81"/>
      <c r="AS236" s="70">
        <f t="shared" si="212"/>
        <v>0.26900000000000002</v>
      </c>
      <c r="AT236" s="71">
        <f t="shared" si="244"/>
        <v>0.26900000000000002</v>
      </c>
      <c r="AU236" s="72">
        <f t="shared" si="230"/>
        <v>0</v>
      </c>
      <c r="AV236" s="134">
        <f t="shared" si="231"/>
        <v>0</v>
      </c>
      <c r="AW236" s="78">
        <f t="shared" si="254"/>
        <v>0.223</v>
      </c>
      <c r="AX236" s="79">
        <v>0.223</v>
      </c>
      <c r="AY236" s="80"/>
      <c r="AZ236" s="81"/>
      <c r="BA236" s="70">
        <f t="shared" si="213"/>
        <v>0.49199999999999999</v>
      </c>
      <c r="BB236" s="71">
        <f t="shared" si="246"/>
        <v>0.49199999999999999</v>
      </c>
      <c r="BC236" s="72">
        <f t="shared" si="232"/>
        <v>0</v>
      </c>
      <c r="BD236" s="134">
        <f t="shared" si="233"/>
        <v>0</v>
      </c>
      <c r="BE236" s="78">
        <f t="shared" si="255"/>
        <v>0</v>
      </c>
      <c r="BF236" s="79"/>
      <c r="BG236" s="80"/>
      <c r="BH236" s="81"/>
      <c r="BI236" s="70">
        <f t="shared" si="214"/>
        <v>0.49199999999999999</v>
      </c>
      <c r="BJ236" s="71">
        <f t="shared" si="248"/>
        <v>0.49199999999999999</v>
      </c>
      <c r="BK236" s="72">
        <f t="shared" si="234"/>
        <v>0</v>
      </c>
      <c r="BL236" s="134">
        <f t="shared" si="235"/>
        <v>0</v>
      </c>
    </row>
    <row r="237" spans="1:64" ht="12.9" x14ac:dyDescent="0.35">
      <c r="A237" s="45" t="s">
        <v>32</v>
      </c>
      <c r="B237" s="46" t="s">
        <v>46</v>
      </c>
      <c r="C237" s="27" t="s">
        <v>213</v>
      </c>
      <c r="D237" s="25" t="s">
        <v>125</v>
      </c>
      <c r="E237" s="78">
        <f t="shared" si="236"/>
        <v>1.2</v>
      </c>
      <c r="F237" s="79">
        <v>1.2</v>
      </c>
      <c r="G237" s="80"/>
      <c r="H237" s="81"/>
      <c r="I237" s="78">
        <f t="shared" si="249"/>
        <v>0</v>
      </c>
      <c r="J237" s="79"/>
      <c r="K237" s="80"/>
      <c r="L237" s="81"/>
      <c r="M237" s="70">
        <f t="shared" si="220"/>
        <v>1.2</v>
      </c>
      <c r="N237" s="71">
        <f t="shared" si="221"/>
        <v>1.2</v>
      </c>
      <c r="O237" s="72">
        <f t="shared" si="222"/>
        <v>0</v>
      </c>
      <c r="P237" s="134">
        <f t="shared" si="223"/>
        <v>0</v>
      </c>
      <c r="Q237" s="78">
        <f t="shared" si="250"/>
        <v>0</v>
      </c>
      <c r="R237" s="79"/>
      <c r="S237" s="80"/>
      <c r="T237" s="81"/>
      <c r="U237" s="70">
        <f t="shared" si="215"/>
        <v>1.2</v>
      </c>
      <c r="V237" s="71">
        <f t="shared" si="216"/>
        <v>1.2</v>
      </c>
      <c r="W237" s="72">
        <f t="shared" si="224"/>
        <v>0</v>
      </c>
      <c r="X237" s="134">
        <f t="shared" si="225"/>
        <v>0</v>
      </c>
      <c r="Y237" s="78">
        <f t="shared" si="251"/>
        <v>0</v>
      </c>
      <c r="Z237" s="79"/>
      <c r="AA237" s="80"/>
      <c r="AB237" s="81"/>
      <c r="AC237" s="70">
        <f t="shared" si="217"/>
        <v>1.2</v>
      </c>
      <c r="AD237" s="71">
        <f t="shared" si="240"/>
        <v>1.2</v>
      </c>
      <c r="AE237" s="72">
        <f t="shared" si="226"/>
        <v>0</v>
      </c>
      <c r="AF237" s="134">
        <f t="shared" si="227"/>
        <v>0</v>
      </c>
      <c r="AG237" s="78">
        <f t="shared" si="252"/>
        <v>0</v>
      </c>
      <c r="AH237" s="79"/>
      <c r="AI237" s="80"/>
      <c r="AJ237" s="81"/>
      <c r="AK237" s="70">
        <f t="shared" si="211"/>
        <v>1.2</v>
      </c>
      <c r="AL237" s="71">
        <f t="shared" si="242"/>
        <v>1.2</v>
      </c>
      <c r="AM237" s="72">
        <f t="shared" si="228"/>
        <v>0</v>
      </c>
      <c r="AN237" s="134">
        <f t="shared" si="229"/>
        <v>0</v>
      </c>
      <c r="AO237" s="78">
        <f t="shared" si="253"/>
        <v>0</v>
      </c>
      <c r="AP237" s="79"/>
      <c r="AQ237" s="80"/>
      <c r="AR237" s="81"/>
      <c r="AS237" s="70">
        <f t="shared" si="212"/>
        <v>1.2</v>
      </c>
      <c r="AT237" s="71">
        <f t="shared" si="244"/>
        <v>1.2</v>
      </c>
      <c r="AU237" s="72">
        <f t="shared" si="230"/>
        <v>0</v>
      </c>
      <c r="AV237" s="134">
        <f t="shared" si="231"/>
        <v>0</v>
      </c>
      <c r="AW237" s="78">
        <f t="shared" si="254"/>
        <v>-1.2</v>
      </c>
      <c r="AX237" s="79">
        <v>-1.2</v>
      </c>
      <c r="AY237" s="80"/>
      <c r="AZ237" s="81"/>
      <c r="BA237" s="70">
        <f t="shared" si="213"/>
        <v>0</v>
      </c>
      <c r="BB237" s="71">
        <f t="shared" si="246"/>
        <v>0</v>
      </c>
      <c r="BC237" s="72">
        <f t="shared" si="232"/>
        <v>0</v>
      </c>
      <c r="BD237" s="134">
        <f t="shared" si="233"/>
        <v>0</v>
      </c>
      <c r="BE237" s="78">
        <f t="shared" si="255"/>
        <v>0</v>
      </c>
      <c r="BF237" s="79"/>
      <c r="BG237" s="80"/>
      <c r="BH237" s="81"/>
      <c r="BI237" s="70">
        <f t="shared" si="214"/>
        <v>0</v>
      </c>
      <c r="BJ237" s="71">
        <f t="shared" si="248"/>
        <v>0</v>
      </c>
      <c r="BK237" s="72">
        <f t="shared" si="234"/>
        <v>0</v>
      </c>
      <c r="BL237" s="134">
        <f t="shared" si="235"/>
        <v>0</v>
      </c>
    </row>
    <row r="238" spans="1:64" ht="13.75" customHeight="1" x14ac:dyDescent="0.35">
      <c r="A238" s="285" t="s">
        <v>40</v>
      </c>
      <c r="B238" s="237" t="s">
        <v>47</v>
      </c>
      <c r="C238" s="27" t="s">
        <v>245</v>
      </c>
      <c r="D238" s="25" t="s">
        <v>125</v>
      </c>
      <c r="E238" s="78">
        <f t="shared" si="236"/>
        <v>371.38299999999998</v>
      </c>
      <c r="F238" s="79">
        <f>242.26+124.593+2.03</f>
        <v>368.88299999999998</v>
      </c>
      <c r="G238" s="80">
        <f>184.27+20.44+7+2</f>
        <v>213.71</v>
      </c>
      <c r="H238" s="81">
        <v>2.5</v>
      </c>
      <c r="I238" s="78">
        <f t="shared" si="249"/>
        <v>0</v>
      </c>
      <c r="J238" s="79"/>
      <c r="K238" s="80"/>
      <c r="L238" s="81"/>
      <c r="M238" s="70">
        <f t="shared" si="220"/>
        <v>371.38299999999998</v>
      </c>
      <c r="N238" s="71">
        <f t="shared" si="221"/>
        <v>368.88299999999998</v>
      </c>
      <c r="O238" s="72">
        <f t="shared" si="222"/>
        <v>213.71</v>
      </c>
      <c r="P238" s="134">
        <f t="shared" si="223"/>
        <v>2.5</v>
      </c>
      <c r="Q238" s="78">
        <f t="shared" si="250"/>
        <v>0</v>
      </c>
      <c r="R238" s="79"/>
      <c r="S238" s="80"/>
      <c r="T238" s="81"/>
      <c r="U238" s="70">
        <f t="shared" si="215"/>
        <v>371.38299999999998</v>
      </c>
      <c r="V238" s="71">
        <f t="shared" si="216"/>
        <v>368.88299999999998</v>
      </c>
      <c r="W238" s="72">
        <f t="shared" si="224"/>
        <v>213.71</v>
      </c>
      <c r="X238" s="134">
        <f t="shared" si="225"/>
        <v>2.5</v>
      </c>
      <c r="Y238" s="78">
        <f t="shared" si="251"/>
        <v>0</v>
      </c>
      <c r="Z238" s="79"/>
      <c r="AA238" s="80"/>
      <c r="AB238" s="81"/>
      <c r="AC238" s="70">
        <f t="shared" si="217"/>
        <v>371.38299999999998</v>
      </c>
      <c r="AD238" s="71">
        <f t="shared" si="240"/>
        <v>368.88299999999998</v>
      </c>
      <c r="AE238" s="72">
        <f t="shared" si="226"/>
        <v>213.71</v>
      </c>
      <c r="AF238" s="134">
        <f t="shared" si="227"/>
        <v>2.5</v>
      </c>
      <c r="AG238" s="78">
        <f t="shared" si="252"/>
        <v>0</v>
      </c>
      <c r="AH238" s="79"/>
      <c r="AI238" s="80"/>
      <c r="AJ238" s="81"/>
      <c r="AK238" s="70">
        <f t="shared" si="211"/>
        <v>371.38299999999998</v>
      </c>
      <c r="AL238" s="71">
        <f t="shared" si="242"/>
        <v>368.88299999999998</v>
      </c>
      <c r="AM238" s="72">
        <f t="shared" si="228"/>
        <v>213.71</v>
      </c>
      <c r="AN238" s="134">
        <f t="shared" si="229"/>
        <v>2.5</v>
      </c>
      <c r="AO238" s="78">
        <f t="shared" si="253"/>
        <v>1.3399999999999999</v>
      </c>
      <c r="AP238" s="79">
        <f>3.9-2.56</f>
        <v>1.3399999999999999</v>
      </c>
      <c r="AQ238" s="80">
        <v>-2.52</v>
      </c>
      <c r="AR238" s="81"/>
      <c r="AS238" s="70">
        <f t="shared" si="212"/>
        <v>372.72299999999996</v>
      </c>
      <c r="AT238" s="71">
        <f t="shared" si="244"/>
        <v>370.22299999999996</v>
      </c>
      <c r="AU238" s="72">
        <f t="shared" si="230"/>
        <v>211.19</v>
      </c>
      <c r="AV238" s="134">
        <f t="shared" si="231"/>
        <v>2.5</v>
      </c>
      <c r="AW238" s="78">
        <f t="shared" si="254"/>
        <v>3.2</v>
      </c>
      <c r="AX238" s="79">
        <v>3.2</v>
      </c>
      <c r="AY238" s="80"/>
      <c r="AZ238" s="81"/>
      <c r="BA238" s="70">
        <f t="shared" si="213"/>
        <v>375.92299999999994</v>
      </c>
      <c r="BB238" s="71">
        <f t="shared" si="246"/>
        <v>373.42299999999994</v>
      </c>
      <c r="BC238" s="72">
        <f t="shared" si="232"/>
        <v>211.19</v>
      </c>
      <c r="BD238" s="134">
        <f t="shared" si="233"/>
        <v>2.5</v>
      </c>
      <c r="BE238" s="78">
        <f t="shared" si="255"/>
        <v>6.8</v>
      </c>
      <c r="BF238" s="79">
        <v>7.6779999999999999</v>
      </c>
      <c r="BG238" s="80"/>
      <c r="BH238" s="81">
        <v>-0.878</v>
      </c>
      <c r="BI238" s="70">
        <f t="shared" si="214"/>
        <v>382.72299999999996</v>
      </c>
      <c r="BJ238" s="71">
        <f t="shared" si="248"/>
        <v>381.10099999999994</v>
      </c>
      <c r="BK238" s="72">
        <f t="shared" si="234"/>
        <v>211.19</v>
      </c>
      <c r="BL238" s="134">
        <f t="shared" si="235"/>
        <v>1.6219999999999999</v>
      </c>
    </row>
    <row r="239" spans="1:64" ht="12.9" x14ac:dyDescent="0.35">
      <c r="A239" s="286"/>
      <c r="B239" s="238"/>
      <c r="C239" s="27" t="s">
        <v>256</v>
      </c>
      <c r="D239" s="25" t="s">
        <v>38</v>
      </c>
      <c r="E239" s="78">
        <f t="shared" si="236"/>
        <v>0</v>
      </c>
      <c r="F239" s="79"/>
      <c r="G239" s="80"/>
      <c r="H239" s="81"/>
      <c r="I239" s="78">
        <f t="shared" si="249"/>
        <v>0</v>
      </c>
      <c r="J239" s="79"/>
      <c r="K239" s="80"/>
      <c r="L239" s="81"/>
      <c r="M239" s="70">
        <f t="shared" si="220"/>
        <v>0</v>
      </c>
      <c r="N239" s="71">
        <f t="shared" si="221"/>
        <v>0</v>
      </c>
      <c r="O239" s="72">
        <f t="shared" si="222"/>
        <v>0</v>
      </c>
      <c r="P239" s="134">
        <f t="shared" si="223"/>
        <v>0</v>
      </c>
      <c r="Q239" s="78">
        <f t="shared" si="250"/>
        <v>6.6</v>
      </c>
      <c r="R239" s="79">
        <v>6.6</v>
      </c>
      <c r="S239" s="80">
        <v>6.46</v>
      </c>
      <c r="T239" s="81"/>
      <c r="U239" s="70">
        <f t="shared" si="215"/>
        <v>6.6</v>
      </c>
      <c r="V239" s="71">
        <f t="shared" si="216"/>
        <v>6.6</v>
      </c>
      <c r="W239" s="72">
        <f t="shared" si="224"/>
        <v>6.46</v>
      </c>
      <c r="X239" s="134">
        <f t="shared" si="225"/>
        <v>0</v>
      </c>
      <c r="Y239" s="78">
        <f t="shared" si="251"/>
        <v>0</v>
      </c>
      <c r="Z239" s="79"/>
      <c r="AA239" s="80"/>
      <c r="AB239" s="81"/>
      <c r="AC239" s="70">
        <f t="shared" si="217"/>
        <v>6.6</v>
      </c>
      <c r="AD239" s="71">
        <f t="shared" si="240"/>
        <v>6.6</v>
      </c>
      <c r="AE239" s="72">
        <f t="shared" si="226"/>
        <v>6.46</v>
      </c>
      <c r="AF239" s="134">
        <f t="shared" si="227"/>
        <v>0</v>
      </c>
      <c r="AG239" s="78">
        <f t="shared" si="252"/>
        <v>0</v>
      </c>
      <c r="AH239" s="79"/>
      <c r="AI239" s="80"/>
      <c r="AJ239" s="81"/>
      <c r="AK239" s="70">
        <f t="shared" si="211"/>
        <v>6.6</v>
      </c>
      <c r="AL239" s="71">
        <f t="shared" si="242"/>
        <v>6.6</v>
      </c>
      <c r="AM239" s="72">
        <f t="shared" si="228"/>
        <v>6.46</v>
      </c>
      <c r="AN239" s="134">
        <f t="shared" si="229"/>
        <v>0</v>
      </c>
      <c r="AO239" s="78">
        <f t="shared" si="253"/>
        <v>0</v>
      </c>
      <c r="AP239" s="79"/>
      <c r="AQ239" s="80"/>
      <c r="AR239" s="81"/>
      <c r="AS239" s="70">
        <f t="shared" si="212"/>
        <v>6.6</v>
      </c>
      <c r="AT239" s="71">
        <f t="shared" si="244"/>
        <v>6.6</v>
      </c>
      <c r="AU239" s="72">
        <f t="shared" si="230"/>
        <v>6.46</v>
      </c>
      <c r="AV239" s="134">
        <f t="shared" si="231"/>
        <v>0</v>
      </c>
      <c r="AW239" s="78">
        <f t="shared" si="254"/>
        <v>0</v>
      </c>
      <c r="AX239" s="79"/>
      <c r="AY239" s="80"/>
      <c r="AZ239" s="81"/>
      <c r="BA239" s="70">
        <f t="shared" si="213"/>
        <v>6.6</v>
      </c>
      <c r="BB239" s="71">
        <f t="shared" si="246"/>
        <v>6.6</v>
      </c>
      <c r="BC239" s="72">
        <f t="shared" si="232"/>
        <v>6.46</v>
      </c>
      <c r="BD239" s="134">
        <f t="shared" si="233"/>
        <v>0</v>
      </c>
      <c r="BE239" s="78">
        <f t="shared" si="255"/>
        <v>0</v>
      </c>
      <c r="BF239" s="79"/>
      <c r="BG239" s="80"/>
      <c r="BH239" s="81"/>
      <c r="BI239" s="70">
        <f t="shared" si="214"/>
        <v>6.6</v>
      </c>
      <c r="BJ239" s="71">
        <f t="shared" si="248"/>
        <v>6.6</v>
      </c>
      <c r="BK239" s="72">
        <f t="shared" si="234"/>
        <v>6.46</v>
      </c>
      <c r="BL239" s="134">
        <f t="shared" si="235"/>
        <v>0</v>
      </c>
    </row>
    <row r="240" spans="1:64" ht="12.9" x14ac:dyDescent="0.35">
      <c r="A240" s="45" t="s">
        <v>7</v>
      </c>
      <c r="B240" s="23" t="s">
        <v>48</v>
      </c>
      <c r="C240" s="27" t="s">
        <v>268</v>
      </c>
      <c r="D240" s="25" t="s">
        <v>125</v>
      </c>
      <c r="E240" s="78">
        <f t="shared" si="236"/>
        <v>53.32</v>
      </c>
      <c r="F240" s="79">
        <f>55.35-2.03</f>
        <v>53.32</v>
      </c>
      <c r="G240" s="80">
        <f>39.77-2</f>
        <v>37.770000000000003</v>
      </c>
      <c r="H240" s="81"/>
      <c r="I240" s="78">
        <f t="shared" si="249"/>
        <v>0</v>
      </c>
      <c r="J240" s="79"/>
      <c r="K240" s="80"/>
      <c r="L240" s="81"/>
      <c r="M240" s="70">
        <f t="shared" si="220"/>
        <v>53.32</v>
      </c>
      <c r="N240" s="71">
        <f t="shared" si="221"/>
        <v>53.32</v>
      </c>
      <c r="O240" s="72">
        <f t="shared" si="222"/>
        <v>37.770000000000003</v>
      </c>
      <c r="P240" s="134">
        <f t="shared" si="223"/>
        <v>0</v>
      </c>
      <c r="Q240" s="78">
        <f t="shared" si="250"/>
        <v>0</v>
      </c>
      <c r="R240" s="79"/>
      <c r="S240" s="80"/>
      <c r="T240" s="81"/>
      <c r="U240" s="70">
        <f t="shared" si="215"/>
        <v>53.32</v>
      </c>
      <c r="V240" s="71">
        <f t="shared" si="216"/>
        <v>53.32</v>
      </c>
      <c r="W240" s="72">
        <f t="shared" si="224"/>
        <v>37.770000000000003</v>
      </c>
      <c r="X240" s="134">
        <f t="shared" si="225"/>
        <v>0</v>
      </c>
      <c r="Y240" s="78">
        <f t="shared" si="251"/>
        <v>0</v>
      </c>
      <c r="Z240" s="79"/>
      <c r="AA240" s="80"/>
      <c r="AB240" s="81"/>
      <c r="AC240" s="70">
        <f t="shared" si="217"/>
        <v>53.32</v>
      </c>
      <c r="AD240" s="71">
        <f t="shared" si="240"/>
        <v>53.32</v>
      </c>
      <c r="AE240" s="72">
        <f t="shared" si="226"/>
        <v>37.770000000000003</v>
      </c>
      <c r="AF240" s="134">
        <f t="shared" si="227"/>
        <v>0</v>
      </c>
      <c r="AG240" s="78">
        <f t="shared" si="252"/>
        <v>0</v>
      </c>
      <c r="AH240" s="79"/>
      <c r="AI240" s="80"/>
      <c r="AJ240" s="81"/>
      <c r="AK240" s="70">
        <f t="shared" si="211"/>
        <v>53.32</v>
      </c>
      <c r="AL240" s="71">
        <f t="shared" si="242"/>
        <v>53.32</v>
      </c>
      <c r="AM240" s="72">
        <f t="shared" si="228"/>
        <v>37.770000000000003</v>
      </c>
      <c r="AN240" s="134">
        <f t="shared" si="229"/>
        <v>0</v>
      </c>
      <c r="AO240" s="78">
        <f t="shared" si="253"/>
        <v>2.56</v>
      </c>
      <c r="AP240" s="79">
        <v>2.56</v>
      </c>
      <c r="AQ240" s="80">
        <v>2.52</v>
      </c>
      <c r="AR240" s="81"/>
      <c r="AS240" s="70">
        <f t="shared" si="212"/>
        <v>55.88</v>
      </c>
      <c r="AT240" s="71">
        <f t="shared" si="244"/>
        <v>55.88</v>
      </c>
      <c r="AU240" s="72">
        <f t="shared" si="230"/>
        <v>40.290000000000006</v>
      </c>
      <c r="AV240" s="134">
        <f t="shared" si="231"/>
        <v>0</v>
      </c>
      <c r="AW240" s="78">
        <f t="shared" si="254"/>
        <v>0</v>
      </c>
      <c r="AX240" s="79"/>
      <c r="AY240" s="80"/>
      <c r="AZ240" s="81"/>
      <c r="BA240" s="70">
        <f t="shared" si="213"/>
        <v>55.88</v>
      </c>
      <c r="BB240" s="71">
        <f t="shared" si="246"/>
        <v>55.88</v>
      </c>
      <c r="BC240" s="72">
        <f t="shared" si="232"/>
        <v>40.290000000000006</v>
      </c>
      <c r="BD240" s="134">
        <f t="shared" si="233"/>
        <v>0</v>
      </c>
      <c r="BE240" s="78">
        <f t="shared" si="255"/>
        <v>0</v>
      </c>
      <c r="BF240" s="79"/>
      <c r="BG240" s="80"/>
      <c r="BH240" s="81"/>
      <c r="BI240" s="70">
        <f t="shared" si="214"/>
        <v>55.88</v>
      </c>
      <c r="BJ240" s="71">
        <f t="shared" si="248"/>
        <v>55.88</v>
      </c>
      <c r="BK240" s="72">
        <f t="shared" si="234"/>
        <v>40.290000000000006</v>
      </c>
      <c r="BL240" s="134">
        <f t="shared" si="235"/>
        <v>0</v>
      </c>
    </row>
    <row r="241" spans="1:64" ht="12.9" hidden="1" x14ac:dyDescent="0.3">
      <c r="A241" s="41"/>
      <c r="B241" s="24"/>
      <c r="C241" s="42"/>
      <c r="D241" s="28"/>
      <c r="E241" s="123">
        <f t="shared" si="236"/>
        <v>0</v>
      </c>
      <c r="F241" s="124">
        <f>SUM(F243:F245)</f>
        <v>0</v>
      </c>
      <c r="G241" s="125">
        <f>SUM(G243:G245)</f>
        <v>0</v>
      </c>
      <c r="H241" s="126">
        <f>SUM(H243:H245)</f>
        <v>0</v>
      </c>
      <c r="I241" s="123">
        <f t="shared" si="249"/>
        <v>0</v>
      </c>
      <c r="J241" s="124">
        <f>SUM(J243:J245)</f>
        <v>0</v>
      </c>
      <c r="K241" s="125">
        <f>SUM(K243:K245)</f>
        <v>0</v>
      </c>
      <c r="L241" s="126">
        <f>SUM(L243:L245)</f>
        <v>0</v>
      </c>
      <c r="M241" s="70">
        <f t="shared" si="220"/>
        <v>0</v>
      </c>
      <c r="N241" s="71">
        <f t="shared" si="221"/>
        <v>0</v>
      </c>
      <c r="O241" s="72">
        <f t="shared" si="222"/>
        <v>0</v>
      </c>
      <c r="P241" s="134">
        <f t="shared" si="223"/>
        <v>0</v>
      </c>
      <c r="Q241" s="123">
        <f t="shared" si="250"/>
        <v>0</v>
      </c>
      <c r="R241" s="124">
        <f>SUM(R243:R245)</f>
        <v>0</v>
      </c>
      <c r="S241" s="125">
        <f>SUM(S243:S245)</f>
        <v>0</v>
      </c>
      <c r="T241" s="126">
        <f>SUM(T243:T245)</f>
        <v>0</v>
      </c>
      <c r="U241" s="70">
        <f t="shared" si="215"/>
        <v>0</v>
      </c>
      <c r="V241" s="71">
        <f t="shared" si="216"/>
        <v>0</v>
      </c>
      <c r="W241" s="72">
        <f t="shared" si="224"/>
        <v>0</v>
      </c>
      <c r="X241" s="134">
        <f t="shared" si="225"/>
        <v>0</v>
      </c>
      <c r="Y241" s="123">
        <f t="shared" si="251"/>
        <v>0</v>
      </c>
      <c r="Z241" s="124">
        <f>SUM(Z243:Z245)</f>
        <v>0</v>
      </c>
      <c r="AA241" s="125">
        <f>SUM(AA243:AA245)</f>
        <v>0</v>
      </c>
      <c r="AB241" s="126">
        <f>SUM(AB243:AB245)</f>
        <v>0</v>
      </c>
      <c r="AC241" s="70">
        <f t="shared" si="217"/>
        <v>0</v>
      </c>
      <c r="AD241" s="71">
        <f t="shared" si="240"/>
        <v>0</v>
      </c>
      <c r="AE241" s="72">
        <f t="shared" si="226"/>
        <v>0</v>
      </c>
      <c r="AF241" s="134">
        <f t="shared" si="227"/>
        <v>0</v>
      </c>
      <c r="AG241" s="123">
        <f t="shared" si="252"/>
        <v>0</v>
      </c>
      <c r="AH241" s="124">
        <f>SUM(AH243:AH245)</f>
        <v>0</v>
      </c>
      <c r="AI241" s="125">
        <f>SUM(AI243:AI245)</f>
        <v>0</v>
      </c>
      <c r="AJ241" s="126">
        <f>SUM(AJ243:AJ245)</f>
        <v>0</v>
      </c>
      <c r="AK241" s="70">
        <f t="shared" si="211"/>
        <v>0</v>
      </c>
      <c r="AL241" s="71">
        <f t="shared" si="242"/>
        <v>0</v>
      </c>
      <c r="AM241" s="72">
        <f t="shared" si="228"/>
        <v>0</v>
      </c>
      <c r="AN241" s="134">
        <f t="shared" si="229"/>
        <v>0</v>
      </c>
      <c r="AO241" s="123">
        <f t="shared" si="253"/>
        <v>0</v>
      </c>
      <c r="AP241" s="124">
        <f>SUM(AP243:AP245)</f>
        <v>0</v>
      </c>
      <c r="AQ241" s="125">
        <f>SUM(AQ243:AQ245)</f>
        <v>0</v>
      </c>
      <c r="AR241" s="126">
        <f>SUM(AR243:AR245)</f>
        <v>0</v>
      </c>
      <c r="AS241" s="70">
        <f t="shared" si="212"/>
        <v>0</v>
      </c>
      <c r="AT241" s="71">
        <f t="shared" si="244"/>
        <v>0</v>
      </c>
      <c r="AU241" s="72">
        <f t="shared" si="230"/>
        <v>0</v>
      </c>
      <c r="AV241" s="134">
        <f t="shared" si="231"/>
        <v>0</v>
      </c>
      <c r="AW241" s="123">
        <f t="shared" si="254"/>
        <v>0</v>
      </c>
      <c r="AX241" s="124">
        <f>SUM(AX243:AX245)</f>
        <v>0</v>
      </c>
      <c r="AY241" s="125">
        <f>SUM(AY243:AY245)</f>
        <v>0</v>
      </c>
      <c r="AZ241" s="126">
        <f>SUM(AZ243:AZ245)</f>
        <v>0</v>
      </c>
      <c r="BA241" s="70">
        <f t="shared" si="213"/>
        <v>0</v>
      </c>
      <c r="BB241" s="71">
        <f t="shared" si="246"/>
        <v>0</v>
      </c>
      <c r="BC241" s="72">
        <f t="shared" si="232"/>
        <v>0</v>
      </c>
      <c r="BD241" s="134">
        <f t="shared" si="233"/>
        <v>0</v>
      </c>
      <c r="BE241" s="123">
        <f t="shared" si="255"/>
        <v>0</v>
      </c>
      <c r="BF241" s="124">
        <f>SUM(BF243:BF245)</f>
        <v>0</v>
      </c>
      <c r="BG241" s="125">
        <f>SUM(BG243:BG245)</f>
        <v>0</v>
      </c>
      <c r="BH241" s="126">
        <f>SUM(BH243:BH245)</f>
        <v>0</v>
      </c>
      <c r="BI241" s="70">
        <f t="shared" si="214"/>
        <v>0</v>
      </c>
      <c r="BJ241" s="71">
        <f t="shared" si="248"/>
        <v>0</v>
      </c>
      <c r="BK241" s="72">
        <f t="shared" si="234"/>
        <v>0</v>
      </c>
      <c r="BL241" s="134">
        <f t="shared" si="235"/>
        <v>0</v>
      </c>
    </row>
    <row r="242" spans="1:64" ht="12.9" hidden="1" x14ac:dyDescent="0.35">
      <c r="A242" s="43"/>
      <c r="B242" s="4"/>
      <c r="C242" s="44"/>
      <c r="D242" s="28"/>
      <c r="E242" s="78">
        <f t="shared" si="236"/>
        <v>0</v>
      </c>
      <c r="F242" s="79">
        <v>0</v>
      </c>
      <c r="G242" s="80">
        <v>0</v>
      </c>
      <c r="H242" s="81">
        <v>0</v>
      </c>
      <c r="I242" s="78">
        <f t="shared" si="249"/>
        <v>0</v>
      </c>
      <c r="J242" s="79">
        <v>0</v>
      </c>
      <c r="K242" s="80">
        <v>0</v>
      </c>
      <c r="L242" s="81">
        <v>0</v>
      </c>
      <c r="M242" s="70">
        <f t="shared" si="220"/>
        <v>0</v>
      </c>
      <c r="N242" s="71">
        <f t="shared" si="221"/>
        <v>0</v>
      </c>
      <c r="O242" s="72">
        <f t="shared" si="222"/>
        <v>0</v>
      </c>
      <c r="P242" s="134">
        <f t="shared" si="223"/>
        <v>0</v>
      </c>
      <c r="Q242" s="78">
        <f t="shared" si="250"/>
        <v>0</v>
      </c>
      <c r="R242" s="79">
        <v>0</v>
      </c>
      <c r="S242" s="80">
        <v>0</v>
      </c>
      <c r="T242" s="81">
        <v>0</v>
      </c>
      <c r="U242" s="70">
        <f t="shared" si="215"/>
        <v>0</v>
      </c>
      <c r="V242" s="71">
        <f t="shared" si="216"/>
        <v>0</v>
      </c>
      <c r="W242" s="72">
        <f t="shared" si="224"/>
        <v>0</v>
      </c>
      <c r="X242" s="134">
        <f t="shared" si="225"/>
        <v>0</v>
      </c>
      <c r="Y242" s="78">
        <f t="shared" si="251"/>
        <v>0</v>
      </c>
      <c r="Z242" s="79">
        <v>0</v>
      </c>
      <c r="AA242" s="80">
        <v>0</v>
      </c>
      <c r="AB242" s="81">
        <v>0</v>
      </c>
      <c r="AC242" s="70">
        <f t="shared" si="217"/>
        <v>0</v>
      </c>
      <c r="AD242" s="71">
        <f t="shared" si="240"/>
        <v>0</v>
      </c>
      <c r="AE242" s="72">
        <f t="shared" si="226"/>
        <v>0</v>
      </c>
      <c r="AF242" s="134">
        <f t="shared" si="227"/>
        <v>0</v>
      </c>
      <c r="AG242" s="78">
        <f t="shared" si="252"/>
        <v>0</v>
      </c>
      <c r="AH242" s="79">
        <v>0</v>
      </c>
      <c r="AI242" s="80">
        <v>0</v>
      </c>
      <c r="AJ242" s="81">
        <v>0</v>
      </c>
      <c r="AK242" s="70">
        <f t="shared" si="211"/>
        <v>0</v>
      </c>
      <c r="AL242" s="71">
        <f t="shared" si="242"/>
        <v>0</v>
      </c>
      <c r="AM242" s="72">
        <f t="shared" si="228"/>
        <v>0</v>
      </c>
      <c r="AN242" s="134">
        <f t="shared" si="229"/>
        <v>0</v>
      </c>
      <c r="AO242" s="78">
        <f t="shared" si="253"/>
        <v>0</v>
      </c>
      <c r="AP242" s="79">
        <v>0</v>
      </c>
      <c r="AQ242" s="80">
        <v>0</v>
      </c>
      <c r="AR242" s="81">
        <v>0</v>
      </c>
      <c r="AS242" s="70">
        <f t="shared" si="212"/>
        <v>0</v>
      </c>
      <c r="AT242" s="71">
        <f t="shared" si="244"/>
        <v>0</v>
      </c>
      <c r="AU242" s="72">
        <f t="shared" si="230"/>
        <v>0</v>
      </c>
      <c r="AV242" s="134">
        <f t="shared" si="231"/>
        <v>0</v>
      </c>
      <c r="AW242" s="78">
        <f t="shared" si="254"/>
        <v>0</v>
      </c>
      <c r="AX242" s="79">
        <v>0</v>
      </c>
      <c r="AY242" s="80">
        <v>0</v>
      </c>
      <c r="AZ242" s="81">
        <v>0</v>
      </c>
      <c r="BA242" s="70">
        <f t="shared" si="213"/>
        <v>0</v>
      </c>
      <c r="BB242" s="71">
        <f t="shared" si="246"/>
        <v>0</v>
      </c>
      <c r="BC242" s="72">
        <f t="shared" si="232"/>
        <v>0</v>
      </c>
      <c r="BD242" s="134">
        <f t="shared" si="233"/>
        <v>0</v>
      </c>
      <c r="BE242" s="78">
        <f t="shared" si="255"/>
        <v>0</v>
      </c>
      <c r="BF242" s="79">
        <v>0</v>
      </c>
      <c r="BG242" s="80">
        <v>0</v>
      </c>
      <c r="BH242" s="81">
        <v>0</v>
      </c>
      <c r="BI242" s="70">
        <f t="shared" si="214"/>
        <v>0</v>
      </c>
      <c r="BJ242" s="71">
        <f t="shared" si="248"/>
        <v>0</v>
      </c>
      <c r="BK242" s="72">
        <f t="shared" si="234"/>
        <v>0</v>
      </c>
      <c r="BL242" s="134">
        <f t="shared" si="235"/>
        <v>0</v>
      </c>
    </row>
    <row r="243" spans="1:64" ht="12.9" hidden="1" x14ac:dyDescent="0.35">
      <c r="A243" s="25"/>
      <c r="B243" s="26"/>
      <c r="C243" s="27"/>
      <c r="D243" s="40"/>
      <c r="E243" s="78">
        <f t="shared" si="236"/>
        <v>0</v>
      </c>
      <c r="F243" s="79"/>
      <c r="G243" s="80"/>
      <c r="H243" s="81"/>
      <c r="I243" s="78">
        <f t="shared" si="249"/>
        <v>0</v>
      </c>
      <c r="J243" s="79"/>
      <c r="K243" s="80"/>
      <c r="L243" s="81"/>
      <c r="M243" s="70">
        <f t="shared" si="220"/>
        <v>0</v>
      </c>
      <c r="N243" s="71">
        <f t="shared" si="221"/>
        <v>0</v>
      </c>
      <c r="O243" s="72">
        <f t="shared" si="222"/>
        <v>0</v>
      </c>
      <c r="P243" s="134">
        <f t="shared" si="223"/>
        <v>0</v>
      </c>
      <c r="Q243" s="78">
        <f t="shared" si="250"/>
        <v>0</v>
      </c>
      <c r="R243" s="79"/>
      <c r="S243" s="80"/>
      <c r="T243" s="81"/>
      <c r="U243" s="70">
        <f t="shared" si="215"/>
        <v>0</v>
      </c>
      <c r="V243" s="71">
        <f t="shared" si="216"/>
        <v>0</v>
      </c>
      <c r="W243" s="72">
        <f t="shared" si="224"/>
        <v>0</v>
      </c>
      <c r="X243" s="134">
        <f t="shared" si="225"/>
        <v>0</v>
      </c>
      <c r="Y243" s="78">
        <f t="shared" si="251"/>
        <v>0</v>
      </c>
      <c r="Z243" s="79"/>
      <c r="AA243" s="80"/>
      <c r="AB243" s="81"/>
      <c r="AC243" s="70">
        <f t="shared" si="217"/>
        <v>0</v>
      </c>
      <c r="AD243" s="71">
        <f t="shared" si="240"/>
        <v>0</v>
      </c>
      <c r="AE243" s="72">
        <f t="shared" si="226"/>
        <v>0</v>
      </c>
      <c r="AF243" s="134">
        <f t="shared" si="227"/>
        <v>0</v>
      </c>
      <c r="AG243" s="78">
        <f t="shared" si="252"/>
        <v>0</v>
      </c>
      <c r="AH243" s="79"/>
      <c r="AI243" s="80"/>
      <c r="AJ243" s="81"/>
      <c r="AK243" s="70">
        <f t="shared" si="211"/>
        <v>0</v>
      </c>
      <c r="AL243" s="71">
        <f t="shared" si="242"/>
        <v>0</v>
      </c>
      <c r="AM243" s="72">
        <f t="shared" si="228"/>
        <v>0</v>
      </c>
      <c r="AN243" s="134">
        <f t="shared" si="229"/>
        <v>0</v>
      </c>
      <c r="AO243" s="78">
        <f t="shared" si="253"/>
        <v>0</v>
      </c>
      <c r="AP243" s="79"/>
      <c r="AQ243" s="80"/>
      <c r="AR243" s="81"/>
      <c r="AS243" s="70">
        <f t="shared" si="212"/>
        <v>0</v>
      </c>
      <c r="AT243" s="71">
        <f t="shared" si="244"/>
        <v>0</v>
      </c>
      <c r="AU243" s="72">
        <f t="shared" si="230"/>
        <v>0</v>
      </c>
      <c r="AV243" s="134">
        <f t="shared" si="231"/>
        <v>0</v>
      </c>
      <c r="AW243" s="78">
        <f t="shared" si="254"/>
        <v>0</v>
      </c>
      <c r="AX243" s="79"/>
      <c r="AY243" s="80"/>
      <c r="AZ243" s="81"/>
      <c r="BA243" s="70">
        <f t="shared" si="213"/>
        <v>0</v>
      </c>
      <c r="BB243" s="71">
        <f t="shared" si="246"/>
        <v>0</v>
      </c>
      <c r="BC243" s="72">
        <f t="shared" si="232"/>
        <v>0</v>
      </c>
      <c r="BD243" s="134">
        <f t="shared" si="233"/>
        <v>0</v>
      </c>
      <c r="BE243" s="78">
        <f t="shared" si="255"/>
        <v>0</v>
      </c>
      <c r="BF243" s="79"/>
      <c r="BG243" s="80"/>
      <c r="BH243" s="81"/>
      <c r="BI243" s="70">
        <f t="shared" si="214"/>
        <v>0</v>
      </c>
      <c r="BJ243" s="71">
        <f t="shared" si="248"/>
        <v>0</v>
      </c>
      <c r="BK243" s="72">
        <f t="shared" si="234"/>
        <v>0</v>
      </c>
      <c r="BL243" s="134">
        <f t="shared" si="235"/>
        <v>0</v>
      </c>
    </row>
    <row r="244" spans="1:64" ht="12.9" hidden="1" x14ac:dyDescent="0.35">
      <c r="A244" s="120"/>
      <c r="B244" s="116"/>
      <c r="C244" s="27"/>
      <c r="D244" s="40"/>
      <c r="E244" s="78">
        <f t="shared" si="236"/>
        <v>0</v>
      </c>
      <c r="F244" s="79"/>
      <c r="G244" s="80"/>
      <c r="H244" s="81"/>
      <c r="I244" s="78">
        <f t="shared" si="249"/>
        <v>0</v>
      </c>
      <c r="J244" s="79"/>
      <c r="K244" s="80"/>
      <c r="L244" s="81"/>
      <c r="M244" s="70">
        <f t="shared" si="220"/>
        <v>0</v>
      </c>
      <c r="N244" s="71">
        <f t="shared" si="221"/>
        <v>0</v>
      </c>
      <c r="O244" s="72">
        <f t="shared" si="222"/>
        <v>0</v>
      </c>
      <c r="P244" s="134">
        <f t="shared" si="223"/>
        <v>0</v>
      </c>
      <c r="Q244" s="78">
        <f t="shared" si="250"/>
        <v>0</v>
      </c>
      <c r="R244" s="79"/>
      <c r="S244" s="80"/>
      <c r="T244" s="81"/>
      <c r="U244" s="70">
        <f t="shared" si="215"/>
        <v>0</v>
      </c>
      <c r="V244" s="71">
        <f t="shared" si="216"/>
        <v>0</v>
      </c>
      <c r="W244" s="72">
        <f t="shared" si="224"/>
        <v>0</v>
      </c>
      <c r="X244" s="134">
        <f t="shared" si="225"/>
        <v>0</v>
      </c>
      <c r="Y244" s="78">
        <f t="shared" si="251"/>
        <v>0</v>
      </c>
      <c r="Z244" s="79"/>
      <c r="AA244" s="80"/>
      <c r="AB244" s="81"/>
      <c r="AC244" s="70">
        <f t="shared" si="217"/>
        <v>0</v>
      </c>
      <c r="AD244" s="71">
        <f t="shared" si="240"/>
        <v>0</v>
      </c>
      <c r="AE244" s="72">
        <f t="shared" si="226"/>
        <v>0</v>
      </c>
      <c r="AF244" s="134">
        <f t="shared" si="227"/>
        <v>0</v>
      </c>
      <c r="AG244" s="78">
        <f t="shared" si="252"/>
        <v>0</v>
      </c>
      <c r="AH244" s="79"/>
      <c r="AI244" s="80"/>
      <c r="AJ244" s="81"/>
      <c r="AK244" s="70">
        <f t="shared" si="211"/>
        <v>0</v>
      </c>
      <c r="AL244" s="71">
        <f t="shared" si="242"/>
        <v>0</v>
      </c>
      <c r="AM244" s="72">
        <f t="shared" si="228"/>
        <v>0</v>
      </c>
      <c r="AN244" s="134">
        <f t="shared" si="229"/>
        <v>0</v>
      </c>
      <c r="AO244" s="78">
        <f t="shared" si="253"/>
        <v>0</v>
      </c>
      <c r="AP244" s="79"/>
      <c r="AQ244" s="80"/>
      <c r="AR244" s="81"/>
      <c r="AS244" s="70">
        <f t="shared" si="212"/>
        <v>0</v>
      </c>
      <c r="AT244" s="71">
        <f t="shared" si="244"/>
        <v>0</v>
      </c>
      <c r="AU244" s="72">
        <f t="shared" si="230"/>
        <v>0</v>
      </c>
      <c r="AV244" s="134">
        <f t="shared" si="231"/>
        <v>0</v>
      </c>
      <c r="AW244" s="78">
        <f t="shared" si="254"/>
        <v>0</v>
      </c>
      <c r="AX244" s="79"/>
      <c r="AY244" s="80"/>
      <c r="AZ244" s="81"/>
      <c r="BA244" s="70">
        <f t="shared" si="213"/>
        <v>0</v>
      </c>
      <c r="BB244" s="71">
        <f t="shared" si="246"/>
        <v>0</v>
      </c>
      <c r="BC244" s="72">
        <f t="shared" si="232"/>
        <v>0</v>
      </c>
      <c r="BD244" s="134">
        <f t="shared" si="233"/>
        <v>0</v>
      </c>
      <c r="BE244" s="78">
        <f t="shared" si="255"/>
        <v>0</v>
      </c>
      <c r="BF244" s="79"/>
      <c r="BG244" s="80"/>
      <c r="BH244" s="81"/>
      <c r="BI244" s="70">
        <f t="shared" si="214"/>
        <v>0</v>
      </c>
      <c r="BJ244" s="71">
        <f t="shared" si="248"/>
        <v>0</v>
      </c>
      <c r="BK244" s="72">
        <f t="shared" si="234"/>
        <v>0</v>
      </c>
      <c r="BL244" s="134">
        <f t="shared" si="235"/>
        <v>0</v>
      </c>
    </row>
    <row r="245" spans="1:64" ht="12.9" hidden="1" x14ac:dyDescent="0.35">
      <c r="A245" s="235"/>
      <c r="B245" s="237"/>
      <c r="C245" s="27"/>
      <c r="D245" s="25"/>
      <c r="E245" s="78">
        <f t="shared" si="236"/>
        <v>0</v>
      </c>
      <c r="F245" s="79"/>
      <c r="G245" s="80"/>
      <c r="H245" s="81"/>
      <c r="I245" s="78">
        <f t="shared" si="249"/>
        <v>0</v>
      </c>
      <c r="J245" s="79"/>
      <c r="K245" s="80"/>
      <c r="L245" s="81"/>
      <c r="M245" s="70">
        <f t="shared" si="220"/>
        <v>0</v>
      </c>
      <c r="N245" s="71">
        <f t="shared" si="221"/>
        <v>0</v>
      </c>
      <c r="O245" s="72">
        <f t="shared" si="222"/>
        <v>0</v>
      </c>
      <c r="P245" s="134">
        <f t="shared" si="223"/>
        <v>0</v>
      </c>
      <c r="Q245" s="78">
        <f t="shared" si="250"/>
        <v>0</v>
      </c>
      <c r="R245" s="79"/>
      <c r="S245" s="80"/>
      <c r="T245" s="81"/>
      <c r="U245" s="70">
        <f t="shared" si="215"/>
        <v>0</v>
      </c>
      <c r="V245" s="71">
        <f t="shared" si="216"/>
        <v>0</v>
      </c>
      <c r="W245" s="72">
        <f t="shared" si="224"/>
        <v>0</v>
      </c>
      <c r="X245" s="134">
        <f t="shared" si="225"/>
        <v>0</v>
      </c>
      <c r="Y245" s="78">
        <f t="shared" si="251"/>
        <v>0</v>
      </c>
      <c r="Z245" s="79"/>
      <c r="AA245" s="80"/>
      <c r="AB245" s="81"/>
      <c r="AC245" s="70">
        <f t="shared" si="217"/>
        <v>0</v>
      </c>
      <c r="AD245" s="71">
        <f t="shared" si="240"/>
        <v>0</v>
      </c>
      <c r="AE245" s="72">
        <f t="shared" si="226"/>
        <v>0</v>
      </c>
      <c r="AF245" s="134">
        <f t="shared" si="227"/>
        <v>0</v>
      </c>
      <c r="AG245" s="78">
        <f t="shared" si="252"/>
        <v>0</v>
      </c>
      <c r="AH245" s="79"/>
      <c r="AI245" s="80"/>
      <c r="AJ245" s="81"/>
      <c r="AK245" s="70">
        <f t="shared" si="211"/>
        <v>0</v>
      </c>
      <c r="AL245" s="71">
        <f t="shared" si="242"/>
        <v>0</v>
      </c>
      <c r="AM245" s="72">
        <f t="shared" si="228"/>
        <v>0</v>
      </c>
      <c r="AN245" s="134">
        <f t="shared" si="229"/>
        <v>0</v>
      </c>
      <c r="AO245" s="78">
        <f t="shared" si="253"/>
        <v>0</v>
      </c>
      <c r="AP245" s="79"/>
      <c r="AQ245" s="80"/>
      <c r="AR245" s="81"/>
      <c r="AS245" s="70">
        <f t="shared" si="212"/>
        <v>0</v>
      </c>
      <c r="AT245" s="71">
        <f t="shared" si="244"/>
        <v>0</v>
      </c>
      <c r="AU245" s="72">
        <f t="shared" si="230"/>
        <v>0</v>
      </c>
      <c r="AV245" s="134">
        <f t="shared" si="231"/>
        <v>0</v>
      </c>
      <c r="AW245" s="78">
        <f t="shared" si="254"/>
        <v>0</v>
      </c>
      <c r="AX245" s="79"/>
      <c r="AY245" s="80"/>
      <c r="AZ245" s="81"/>
      <c r="BA245" s="70">
        <f t="shared" si="213"/>
        <v>0</v>
      </c>
      <c r="BB245" s="71">
        <f t="shared" si="246"/>
        <v>0</v>
      </c>
      <c r="BC245" s="72">
        <f t="shared" si="232"/>
        <v>0</v>
      </c>
      <c r="BD245" s="134">
        <f t="shared" si="233"/>
        <v>0</v>
      </c>
      <c r="BE245" s="78">
        <f t="shared" si="255"/>
        <v>0</v>
      </c>
      <c r="BF245" s="79"/>
      <c r="BG245" s="80"/>
      <c r="BH245" s="81"/>
      <c r="BI245" s="70">
        <f t="shared" si="214"/>
        <v>0</v>
      </c>
      <c r="BJ245" s="71">
        <f t="shared" si="248"/>
        <v>0</v>
      </c>
      <c r="BK245" s="72">
        <f t="shared" si="234"/>
        <v>0</v>
      </c>
      <c r="BL245" s="134">
        <f t="shared" si="235"/>
        <v>0</v>
      </c>
    </row>
    <row r="246" spans="1:64" ht="12.9" hidden="1" x14ac:dyDescent="0.35">
      <c r="A246" s="244"/>
      <c r="B246" s="243"/>
      <c r="C246" s="27"/>
      <c r="D246" s="25"/>
      <c r="E246" s="78">
        <f t="shared" si="236"/>
        <v>0</v>
      </c>
      <c r="F246" s="79"/>
      <c r="G246" s="80"/>
      <c r="H246" s="81"/>
      <c r="I246" s="78">
        <f t="shared" si="249"/>
        <v>0</v>
      </c>
      <c r="J246" s="79"/>
      <c r="K246" s="80"/>
      <c r="L246" s="81"/>
      <c r="M246" s="70">
        <f t="shared" si="220"/>
        <v>0</v>
      </c>
      <c r="N246" s="71">
        <f t="shared" si="221"/>
        <v>0</v>
      </c>
      <c r="O246" s="72">
        <f t="shared" si="222"/>
        <v>0</v>
      </c>
      <c r="P246" s="134">
        <f t="shared" si="223"/>
        <v>0</v>
      </c>
      <c r="Q246" s="78">
        <f t="shared" si="250"/>
        <v>0</v>
      </c>
      <c r="R246" s="79"/>
      <c r="S246" s="80"/>
      <c r="T246" s="81"/>
      <c r="U246" s="70">
        <f t="shared" si="215"/>
        <v>0</v>
      </c>
      <c r="V246" s="71">
        <f t="shared" si="216"/>
        <v>0</v>
      </c>
      <c r="W246" s="72">
        <f t="shared" si="224"/>
        <v>0</v>
      </c>
      <c r="X246" s="134">
        <f t="shared" si="225"/>
        <v>0</v>
      </c>
      <c r="Y246" s="78">
        <f t="shared" si="251"/>
        <v>0</v>
      </c>
      <c r="Z246" s="79"/>
      <c r="AA246" s="80"/>
      <c r="AB246" s="81"/>
      <c r="AC246" s="70">
        <f t="shared" si="217"/>
        <v>0</v>
      </c>
      <c r="AD246" s="71">
        <f t="shared" si="240"/>
        <v>0</v>
      </c>
      <c r="AE246" s="72">
        <f t="shared" si="226"/>
        <v>0</v>
      </c>
      <c r="AF246" s="134">
        <f t="shared" si="227"/>
        <v>0</v>
      </c>
      <c r="AG246" s="78">
        <f t="shared" si="252"/>
        <v>0</v>
      </c>
      <c r="AH246" s="79"/>
      <c r="AI246" s="80"/>
      <c r="AJ246" s="81"/>
      <c r="AK246" s="70">
        <f t="shared" si="211"/>
        <v>0</v>
      </c>
      <c r="AL246" s="71">
        <f t="shared" si="242"/>
        <v>0</v>
      </c>
      <c r="AM246" s="72">
        <f t="shared" si="228"/>
        <v>0</v>
      </c>
      <c r="AN246" s="134">
        <f t="shared" si="229"/>
        <v>0</v>
      </c>
      <c r="AO246" s="78">
        <f t="shared" si="253"/>
        <v>0</v>
      </c>
      <c r="AP246" s="79"/>
      <c r="AQ246" s="80"/>
      <c r="AR246" s="81"/>
      <c r="AS246" s="70">
        <f t="shared" si="212"/>
        <v>0</v>
      </c>
      <c r="AT246" s="71">
        <f t="shared" si="244"/>
        <v>0</v>
      </c>
      <c r="AU246" s="72">
        <f t="shared" si="230"/>
        <v>0</v>
      </c>
      <c r="AV246" s="134">
        <f t="shared" si="231"/>
        <v>0</v>
      </c>
      <c r="AW246" s="78">
        <f t="shared" si="254"/>
        <v>0</v>
      </c>
      <c r="AX246" s="79"/>
      <c r="AY246" s="80"/>
      <c r="AZ246" s="81"/>
      <c r="BA246" s="70">
        <f t="shared" si="213"/>
        <v>0</v>
      </c>
      <c r="BB246" s="71">
        <f t="shared" si="246"/>
        <v>0</v>
      </c>
      <c r="BC246" s="72">
        <f t="shared" si="232"/>
        <v>0</v>
      </c>
      <c r="BD246" s="134">
        <f t="shared" si="233"/>
        <v>0</v>
      </c>
      <c r="BE246" s="78">
        <f t="shared" si="255"/>
        <v>0</v>
      </c>
      <c r="BF246" s="79"/>
      <c r="BG246" s="80"/>
      <c r="BH246" s="81"/>
      <c r="BI246" s="70">
        <f t="shared" si="214"/>
        <v>0</v>
      </c>
      <c r="BJ246" s="71">
        <f t="shared" si="248"/>
        <v>0</v>
      </c>
      <c r="BK246" s="72">
        <f t="shared" si="234"/>
        <v>0</v>
      </c>
      <c r="BL246" s="134">
        <f t="shared" si="235"/>
        <v>0</v>
      </c>
    </row>
    <row r="247" spans="1:64" ht="12.9" hidden="1" x14ac:dyDescent="0.35">
      <c r="A247" s="236"/>
      <c r="B247" s="238"/>
      <c r="C247" s="27"/>
      <c r="D247" s="25"/>
      <c r="E247" s="78">
        <f t="shared" si="236"/>
        <v>0</v>
      </c>
      <c r="F247" s="79"/>
      <c r="G247" s="80"/>
      <c r="H247" s="81"/>
      <c r="I247" s="78">
        <f t="shared" si="249"/>
        <v>0</v>
      </c>
      <c r="J247" s="79"/>
      <c r="K247" s="80"/>
      <c r="L247" s="81"/>
      <c r="M247" s="70">
        <f t="shared" si="220"/>
        <v>0</v>
      </c>
      <c r="N247" s="71">
        <f t="shared" si="221"/>
        <v>0</v>
      </c>
      <c r="O247" s="72">
        <f t="shared" si="222"/>
        <v>0</v>
      </c>
      <c r="P247" s="134">
        <f t="shared" si="223"/>
        <v>0</v>
      </c>
      <c r="Q247" s="78">
        <f t="shared" si="250"/>
        <v>0</v>
      </c>
      <c r="R247" s="79"/>
      <c r="S247" s="80"/>
      <c r="T247" s="81"/>
      <c r="U247" s="70">
        <f t="shared" si="215"/>
        <v>0</v>
      </c>
      <c r="V247" s="71">
        <f t="shared" si="216"/>
        <v>0</v>
      </c>
      <c r="W247" s="72">
        <f t="shared" si="224"/>
        <v>0</v>
      </c>
      <c r="X247" s="134">
        <f t="shared" si="225"/>
        <v>0</v>
      </c>
      <c r="Y247" s="78">
        <f t="shared" si="251"/>
        <v>0</v>
      </c>
      <c r="Z247" s="79"/>
      <c r="AA247" s="80"/>
      <c r="AB247" s="81"/>
      <c r="AC247" s="70">
        <f t="shared" si="217"/>
        <v>0</v>
      </c>
      <c r="AD247" s="71">
        <f t="shared" si="240"/>
        <v>0</v>
      </c>
      <c r="AE247" s="72">
        <f t="shared" si="226"/>
        <v>0</v>
      </c>
      <c r="AF247" s="134">
        <f t="shared" si="227"/>
        <v>0</v>
      </c>
      <c r="AG247" s="78">
        <f t="shared" si="252"/>
        <v>0</v>
      </c>
      <c r="AH247" s="79"/>
      <c r="AI247" s="80"/>
      <c r="AJ247" s="81"/>
      <c r="AK247" s="70">
        <f t="shared" si="211"/>
        <v>0</v>
      </c>
      <c r="AL247" s="71">
        <f t="shared" si="242"/>
        <v>0</v>
      </c>
      <c r="AM247" s="72">
        <f t="shared" si="228"/>
        <v>0</v>
      </c>
      <c r="AN247" s="134">
        <f t="shared" si="229"/>
        <v>0</v>
      </c>
      <c r="AO247" s="78">
        <f t="shared" si="253"/>
        <v>0</v>
      </c>
      <c r="AP247" s="79"/>
      <c r="AQ247" s="80"/>
      <c r="AR247" s="81"/>
      <c r="AS247" s="70">
        <f t="shared" si="212"/>
        <v>0</v>
      </c>
      <c r="AT247" s="71">
        <f t="shared" si="244"/>
        <v>0</v>
      </c>
      <c r="AU247" s="72">
        <f t="shared" si="230"/>
        <v>0</v>
      </c>
      <c r="AV247" s="134">
        <f t="shared" si="231"/>
        <v>0</v>
      </c>
      <c r="AW247" s="78">
        <f t="shared" si="254"/>
        <v>0</v>
      </c>
      <c r="AX247" s="79"/>
      <c r="AY247" s="80"/>
      <c r="AZ247" s="81"/>
      <c r="BA247" s="70">
        <f t="shared" si="213"/>
        <v>0</v>
      </c>
      <c r="BB247" s="71">
        <f t="shared" si="246"/>
        <v>0</v>
      </c>
      <c r="BC247" s="72">
        <f t="shared" si="232"/>
        <v>0</v>
      </c>
      <c r="BD247" s="134">
        <f t="shared" si="233"/>
        <v>0</v>
      </c>
      <c r="BE247" s="78">
        <f t="shared" si="255"/>
        <v>0</v>
      </c>
      <c r="BF247" s="79"/>
      <c r="BG247" s="80"/>
      <c r="BH247" s="81"/>
      <c r="BI247" s="70">
        <f t="shared" si="214"/>
        <v>0</v>
      </c>
      <c r="BJ247" s="71">
        <f t="shared" si="248"/>
        <v>0</v>
      </c>
      <c r="BK247" s="72">
        <f t="shared" si="234"/>
        <v>0</v>
      </c>
      <c r="BL247" s="134">
        <f t="shared" si="235"/>
        <v>0</v>
      </c>
    </row>
    <row r="248" spans="1:64" ht="12.9" hidden="1" x14ac:dyDescent="0.35">
      <c r="A248" s="121"/>
      <c r="B248" s="76"/>
      <c r="C248" s="27"/>
      <c r="D248" s="25"/>
      <c r="E248" s="78">
        <f t="shared" si="236"/>
        <v>0</v>
      </c>
      <c r="F248" s="79"/>
      <c r="G248" s="80"/>
      <c r="H248" s="81"/>
      <c r="I248" s="78">
        <f t="shared" si="249"/>
        <v>0</v>
      </c>
      <c r="J248" s="79"/>
      <c r="K248" s="80"/>
      <c r="L248" s="81"/>
      <c r="M248" s="70">
        <f t="shared" si="220"/>
        <v>0</v>
      </c>
      <c r="N248" s="71">
        <f t="shared" si="221"/>
        <v>0</v>
      </c>
      <c r="O248" s="72">
        <f t="shared" si="222"/>
        <v>0</v>
      </c>
      <c r="P248" s="134">
        <f t="shared" si="223"/>
        <v>0</v>
      </c>
      <c r="Q248" s="78">
        <f t="shared" si="250"/>
        <v>0</v>
      </c>
      <c r="R248" s="79"/>
      <c r="S248" s="80"/>
      <c r="T248" s="81"/>
      <c r="U248" s="70">
        <f t="shared" si="215"/>
        <v>0</v>
      </c>
      <c r="V248" s="71">
        <f t="shared" si="216"/>
        <v>0</v>
      </c>
      <c r="W248" s="72">
        <f t="shared" si="224"/>
        <v>0</v>
      </c>
      <c r="X248" s="134">
        <f t="shared" si="225"/>
        <v>0</v>
      </c>
      <c r="Y248" s="78">
        <f t="shared" si="251"/>
        <v>0</v>
      </c>
      <c r="Z248" s="79"/>
      <c r="AA248" s="80"/>
      <c r="AB248" s="81"/>
      <c r="AC248" s="70">
        <f t="shared" si="217"/>
        <v>0</v>
      </c>
      <c r="AD248" s="71">
        <f t="shared" si="240"/>
        <v>0</v>
      </c>
      <c r="AE248" s="72">
        <f t="shared" si="226"/>
        <v>0</v>
      </c>
      <c r="AF248" s="134">
        <f t="shared" si="227"/>
        <v>0</v>
      </c>
      <c r="AG248" s="78">
        <f t="shared" si="252"/>
        <v>0</v>
      </c>
      <c r="AH248" s="79"/>
      <c r="AI248" s="80"/>
      <c r="AJ248" s="81"/>
      <c r="AK248" s="70">
        <f t="shared" si="211"/>
        <v>0</v>
      </c>
      <c r="AL248" s="71">
        <f t="shared" si="242"/>
        <v>0</v>
      </c>
      <c r="AM248" s="72">
        <f t="shared" si="228"/>
        <v>0</v>
      </c>
      <c r="AN248" s="134">
        <f t="shared" si="229"/>
        <v>0</v>
      </c>
      <c r="AO248" s="78">
        <f t="shared" si="253"/>
        <v>0</v>
      </c>
      <c r="AP248" s="79"/>
      <c r="AQ248" s="80"/>
      <c r="AR248" s="81"/>
      <c r="AS248" s="70">
        <f t="shared" si="212"/>
        <v>0</v>
      </c>
      <c r="AT248" s="71">
        <f t="shared" si="244"/>
        <v>0</v>
      </c>
      <c r="AU248" s="72">
        <f t="shared" si="230"/>
        <v>0</v>
      </c>
      <c r="AV248" s="134">
        <f t="shared" si="231"/>
        <v>0</v>
      </c>
      <c r="AW248" s="78">
        <f t="shared" si="254"/>
        <v>0</v>
      </c>
      <c r="AX248" s="79"/>
      <c r="AY248" s="80"/>
      <c r="AZ248" s="81"/>
      <c r="BA248" s="70">
        <f t="shared" si="213"/>
        <v>0</v>
      </c>
      <c r="BB248" s="71">
        <f t="shared" si="246"/>
        <v>0</v>
      </c>
      <c r="BC248" s="72">
        <f t="shared" si="232"/>
        <v>0</v>
      </c>
      <c r="BD248" s="134">
        <f t="shared" si="233"/>
        <v>0</v>
      </c>
      <c r="BE248" s="78">
        <f t="shared" si="255"/>
        <v>0</v>
      </c>
      <c r="BF248" s="79"/>
      <c r="BG248" s="80"/>
      <c r="BH248" s="81"/>
      <c r="BI248" s="70">
        <f t="shared" si="214"/>
        <v>0</v>
      </c>
      <c r="BJ248" s="71">
        <f t="shared" si="248"/>
        <v>0</v>
      </c>
      <c r="BK248" s="72">
        <f t="shared" si="234"/>
        <v>0</v>
      </c>
      <c r="BL248" s="134">
        <f t="shared" si="235"/>
        <v>0</v>
      </c>
    </row>
    <row r="249" spans="1:64" ht="12.9" hidden="1" x14ac:dyDescent="0.35">
      <c r="A249" s="118"/>
      <c r="B249" s="23"/>
      <c r="C249" s="27"/>
      <c r="D249" s="25"/>
      <c r="E249" s="78">
        <f t="shared" si="236"/>
        <v>0</v>
      </c>
      <c r="F249" s="79"/>
      <c r="G249" s="80"/>
      <c r="H249" s="81"/>
      <c r="I249" s="78">
        <f t="shared" si="249"/>
        <v>0</v>
      </c>
      <c r="J249" s="79"/>
      <c r="K249" s="80"/>
      <c r="L249" s="81"/>
      <c r="M249" s="70">
        <f t="shared" si="220"/>
        <v>0</v>
      </c>
      <c r="N249" s="71">
        <f t="shared" si="221"/>
        <v>0</v>
      </c>
      <c r="O249" s="72">
        <f t="shared" si="222"/>
        <v>0</v>
      </c>
      <c r="P249" s="134">
        <f t="shared" si="223"/>
        <v>0</v>
      </c>
      <c r="Q249" s="78">
        <f t="shared" si="250"/>
        <v>0</v>
      </c>
      <c r="R249" s="79"/>
      <c r="S249" s="80"/>
      <c r="T249" s="81"/>
      <c r="U249" s="70">
        <f t="shared" si="215"/>
        <v>0</v>
      </c>
      <c r="V249" s="71">
        <f t="shared" si="216"/>
        <v>0</v>
      </c>
      <c r="W249" s="72">
        <f t="shared" si="224"/>
        <v>0</v>
      </c>
      <c r="X249" s="134">
        <f t="shared" si="225"/>
        <v>0</v>
      </c>
      <c r="Y249" s="78">
        <f t="shared" si="251"/>
        <v>0</v>
      </c>
      <c r="Z249" s="79"/>
      <c r="AA249" s="80"/>
      <c r="AB249" s="81"/>
      <c r="AC249" s="70">
        <f t="shared" si="217"/>
        <v>0</v>
      </c>
      <c r="AD249" s="71">
        <f t="shared" si="240"/>
        <v>0</v>
      </c>
      <c r="AE249" s="72">
        <f t="shared" si="226"/>
        <v>0</v>
      </c>
      <c r="AF249" s="134">
        <f t="shared" si="227"/>
        <v>0</v>
      </c>
      <c r="AG249" s="78">
        <f t="shared" si="252"/>
        <v>0</v>
      </c>
      <c r="AH249" s="79"/>
      <c r="AI249" s="80"/>
      <c r="AJ249" s="81"/>
      <c r="AK249" s="70">
        <f t="shared" si="211"/>
        <v>0</v>
      </c>
      <c r="AL249" s="71">
        <f t="shared" si="242"/>
        <v>0</v>
      </c>
      <c r="AM249" s="72">
        <f t="shared" si="228"/>
        <v>0</v>
      </c>
      <c r="AN249" s="134">
        <f t="shared" si="229"/>
        <v>0</v>
      </c>
      <c r="AO249" s="78">
        <f t="shared" si="253"/>
        <v>0</v>
      </c>
      <c r="AP249" s="79"/>
      <c r="AQ249" s="80"/>
      <c r="AR249" s="81"/>
      <c r="AS249" s="70">
        <f t="shared" si="212"/>
        <v>0</v>
      </c>
      <c r="AT249" s="71">
        <f t="shared" si="244"/>
        <v>0</v>
      </c>
      <c r="AU249" s="72">
        <f t="shared" si="230"/>
        <v>0</v>
      </c>
      <c r="AV249" s="134">
        <f t="shared" si="231"/>
        <v>0</v>
      </c>
      <c r="AW249" s="78">
        <f t="shared" si="254"/>
        <v>0</v>
      </c>
      <c r="AX249" s="79"/>
      <c r="AY249" s="80"/>
      <c r="AZ249" s="81"/>
      <c r="BA249" s="70">
        <f t="shared" si="213"/>
        <v>0</v>
      </c>
      <c r="BB249" s="71">
        <f t="shared" si="246"/>
        <v>0</v>
      </c>
      <c r="BC249" s="72">
        <f t="shared" si="232"/>
        <v>0</v>
      </c>
      <c r="BD249" s="134">
        <f t="shared" si="233"/>
        <v>0</v>
      </c>
      <c r="BE249" s="78">
        <f t="shared" si="255"/>
        <v>0</v>
      </c>
      <c r="BF249" s="79"/>
      <c r="BG249" s="80"/>
      <c r="BH249" s="81"/>
      <c r="BI249" s="70">
        <f t="shared" si="214"/>
        <v>0</v>
      </c>
      <c r="BJ249" s="71">
        <f t="shared" si="248"/>
        <v>0</v>
      </c>
      <c r="BK249" s="72">
        <f t="shared" si="234"/>
        <v>0</v>
      </c>
      <c r="BL249" s="134">
        <f t="shared" si="235"/>
        <v>0</v>
      </c>
    </row>
    <row r="250" spans="1:64" ht="12.9" hidden="1" x14ac:dyDescent="0.35">
      <c r="A250" s="118"/>
      <c r="B250" s="23"/>
      <c r="C250" s="27"/>
      <c r="D250" s="25"/>
      <c r="E250" s="78">
        <f t="shared" si="236"/>
        <v>0</v>
      </c>
      <c r="F250" s="79"/>
      <c r="G250" s="80"/>
      <c r="H250" s="81"/>
      <c r="I250" s="78">
        <f t="shared" si="249"/>
        <v>0</v>
      </c>
      <c r="J250" s="79"/>
      <c r="K250" s="80"/>
      <c r="L250" s="81"/>
      <c r="M250" s="70">
        <f t="shared" si="220"/>
        <v>0</v>
      </c>
      <c r="N250" s="71">
        <f t="shared" si="221"/>
        <v>0</v>
      </c>
      <c r="O250" s="72">
        <f t="shared" si="222"/>
        <v>0</v>
      </c>
      <c r="P250" s="134">
        <f t="shared" si="223"/>
        <v>0</v>
      </c>
      <c r="Q250" s="78">
        <f t="shared" si="250"/>
        <v>0</v>
      </c>
      <c r="R250" s="79"/>
      <c r="S250" s="80"/>
      <c r="T250" s="81"/>
      <c r="U250" s="70">
        <f t="shared" si="215"/>
        <v>0</v>
      </c>
      <c r="V250" s="71">
        <f t="shared" si="216"/>
        <v>0</v>
      </c>
      <c r="W250" s="72">
        <f t="shared" si="224"/>
        <v>0</v>
      </c>
      <c r="X250" s="134">
        <f t="shared" si="225"/>
        <v>0</v>
      </c>
      <c r="Y250" s="78">
        <f t="shared" si="251"/>
        <v>0</v>
      </c>
      <c r="Z250" s="79"/>
      <c r="AA250" s="80"/>
      <c r="AB250" s="81"/>
      <c r="AC250" s="70">
        <f t="shared" si="217"/>
        <v>0</v>
      </c>
      <c r="AD250" s="71">
        <f t="shared" si="240"/>
        <v>0</v>
      </c>
      <c r="AE250" s="72">
        <f t="shared" si="226"/>
        <v>0</v>
      </c>
      <c r="AF250" s="134">
        <f t="shared" si="227"/>
        <v>0</v>
      </c>
      <c r="AG250" s="78">
        <f t="shared" si="252"/>
        <v>0</v>
      </c>
      <c r="AH250" s="79"/>
      <c r="AI250" s="80"/>
      <c r="AJ250" s="81"/>
      <c r="AK250" s="70">
        <f t="shared" si="211"/>
        <v>0</v>
      </c>
      <c r="AL250" s="71">
        <f t="shared" si="242"/>
        <v>0</v>
      </c>
      <c r="AM250" s="72">
        <f t="shared" si="228"/>
        <v>0</v>
      </c>
      <c r="AN250" s="134">
        <f t="shared" si="229"/>
        <v>0</v>
      </c>
      <c r="AO250" s="78">
        <f t="shared" si="253"/>
        <v>0</v>
      </c>
      <c r="AP250" s="79"/>
      <c r="AQ250" s="80"/>
      <c r="AR250" s="81"/>
      <c r="AS250" s="70">
        <f t="shared" si="212"/>
        <v>0</v>
      </c>
      <c r="AT250" s="71">
        <f t="shared" si="244"/>
        <v>0</v>
      </c>
      <c r="AU250" s="72">
        <f t="shared" si="230"/>
        <v>0</v>
      </c>
      <c r="AV250" s="134">
        <f t="shared" si="231"/>
        <v>0</v>
      </c>
      <c r="AW250" s="78">
        <f t="shared" si="254"/>
        <v>0</v>
      </c>
      <c r="AX250" s="79"/>
      <c r="AY250" s="80"/>
      <c r="AZ250" s="81"/>
      <c r="BA250" s="70">
        <f t="shared" si="213"/>
        <v>0</v>
      </c>
      <c r="BB250" s="71">
        <f t="shared" si="246"/>
        <v>0</v>
      </c>
      <c r="BC250" s="72">
        <f t="shared" si="232"/>
        <v>0</v>
      </c>
      <c r="BD250" s="134">
        <f t="shared" si="233"/>
        <v>0</v>
      </c>
      <c r="BE250" s="78">
        <f t="shared" si="255"/>
        <v>0</v>
      </c>
      <c r="BF250" s="79"/>
      <c r="BG250" s="80"/>
      <c r="BH250" s="81"/>
      <c r="BI250" s="70">
        <f t="shared" si="214"/>
        <v>0</v>
      </c>
      <c r="BJ250" s="71">
        <f t="shared" si="248"/>
        <v>0</v>
      </c>
      <c r="BK250" s="72">
        <f t="shared" si="234"/>
        <v>0</v>
      </c>
      <c r="BL250" s="134">
        <f t="shared" si="235"/>
        <v>0</v>
      </c>
    </row>
    <row r="251" spans="1:64" ht="12.9" hidden="1" x14ac:dyDescent="0.35">
      <c r="A251" s="45"/>
      <c r="B251" s="46"/>
      <c r="C251" s="27"/>
      <c r="D251" s="25"/>
      <c r="E251" s="78">
        <f t="shared" si="236"/>
        <v>0</v>
      </c>
      <c r="F251" s="79"/>
      <c r="G251" s="80"/>
      <c r="H251" s="81"/>
      <c r="I251" s="78">
        <f t="shared" si="249"/>
        <v>0</v>
      </c>
      <c r="J251" s="79"/>
      <c r="K251" s="80"/>
      <c r="L251" s="81"/>
      <c r="M251" s="70">
        <f t="shared" si="220"/>
        <v>0</v>
      </c>
      <c r="N251" s="71">
        <f t="shared" si="221"/>
        <v>0</v>
      </c>
      <c r="O251" s="72">
        <f t="shared" si="222"/>
        <v>0</v>
      </c>
      <c r="P251" s="134">
        <f t="shared" si="223"/>
        <v>0</v>
      </c>
      <c r="Q251" s="78">
        <f t="shared" si="250"/>
        <v>0</v>
      </c>
      <c r="R251" s="79"/>
      <c r="S251" s="80"/>
      <c r="T251" s="81"/>
      <c r="U251" s="70">
        <f t="shared" si="215"/>
        <v>0</v>
      </c>
      <c r="V251" s="71">
        <f t="shared" si="216"/>
        <v>0</v>
      </c>
      <c r="W251" s="72">
        <f t="shared" si="224"/>
        <v>0</v>
      </c>
      <c r="X251" s="134">
        <f t="shared" si="225"/>
        <v>0</v>
      </c>
      <c r="Y251" s="78">
        <f t="shared" si="251"/>
        <v>0</v>
      </c>
      <c r="Z251" s="79"/>
      <c r="AA251" s="80"/>
      <c r="AB251" s="81"/>
      <c r="AC251" s="70">
        <f t="shared" si="217"/>
        <v>0</v>
      </c>
      <c r="AD251" s="71">
        <f t="shared" si="240"/>
        <v>0</v>
      </c>
      <c r="AE251" s="72">
        <f t="shared" si="226"/>
        <v>0</v>
      </c>
      <c r="AF251" s="134">
        <f t="shared" si="227"/>
        <v>0</v>
      </c>
      <c r="AG251" s="78">
        <f t="shared" si="252"/>
        <v>0</v>
      </c>
      <c r="AH251" s="79"/>
      <c r="AI251" s="80"/>
      <c r="AJ251" s="81"/>
      <c r="AK251" s="70">
        <f t="shared" si="211"/>
        <v>0</v>
      </c>
      <c r="AL251" s="71">
        <f t="shared" si="242"/>
        <v>0</v>
      </c>
      <c r="AM251" s="72">
        <f t="shared" si="228"/>
        <v>0</v>
      </c>
      <c r="AN251" s="134">
        <f t="shared" si="229"/>
        <v>0</v>
      </c>
      <c r="AO251" s="78">
        <f t="shared" si="253"/>
        <v>0</v>
      </c>
      <c r="AP251" s="79"/>
      <c r="AQ251" s="80"/>
      <c r="AR251" s="81"/>
      <c r="AS251" s="70">
        <f t="shared" si="212"/>
        <v>0</v>
      </c>
      <c r="AT251" s="71">
        <f t="shared" si="244"/>
        <v>0</v>
      </c>
      <c r="AU251" s="72">
        <f t="shared" si="230"/>
        <v>0</v>
      </c>
      <c r="AV251" s="134">
        <f t="shared" si="231"/>
        <v>0</v>
      </c>
      <c r="AW251" s="78">
        <f t="shared" si="254"/>
        <v>0</v>
      </c>
      <c r="AX251" s="79"/>
      <c r="AY251" s="80"/>
      <c r="AZ251" s="81"/>
      <c r="BA251" s="70">
        <f t="shared" si="213"/>
        <v>0</v>
      </c>
      <c r="BB251" s="71">
        <f t="shared" si="246"/>
        <v>0</v>
      </c>
      <c r="BC251" s="72">
        <f t="shared" si="232"/>
        <v>0</v>
      </c>
      <c r="BD251" s="134">
        <f t="shared" si="233"/>
        <v>0</v>
      </c>
      <c r="BE251" s="78">
        <f t="shared" si="255"/>
        <v>0</v>
      </c>
      <c r="BF251" s="79"/>
      <c r="BG251" s="80"/>
      <c r="BH251" s="81"/>
      <c r="BI251" s="70">
        <f t="shared" si="214"/>
        <v>0</v>
      </c>
      <c r="BJ251" s="71">
        <f t="shared" si="248"/>
        <v>0</v>
      </c>
      <c r="BK251" s="72">
        <f t="shared" si="234"/>
        <v>0</v>
      </c>
      <c r="BL251" s="134">
        <f t="shared" si="235"/>
        <v>0</v>
      </c>
    </row>
    <row r="252" spans="1:64" ht="12.9" hidden="1" x14ac:dyDescent="0.35">
      <c r="A252" s="118"/>
      <c r="B252" s="76"/>
      <c r="C252" s="27"/>
      <c r="D252" s="25"/>
      <c r="E252" s="78">
        <f t="shared" si="236"/>
        <v>0</v>
      </c>
      <c r="F252" s="79"/>
      <c r="G252" s="80"/>
      <c r="H252" s="81"/>
      <c r="I252" s="78">
        <f t="shared" si="249"/>
        <v>0</v>
      </c>
      <c r="J252" s="79"/>
      <c r="K252" s="80"/>
      <c r="L252" s="81"/>
      <c r="M252" s="70">
        <f t="shared" si="220"/>
        <v>0</v>
      </c>
      <c r="N252" s="71">
        <f t="shared" si="221"/>
        <v>0</v>
      </c>
      <c r="O252" s="72">
        <f t="shared" si="222"/>
        <v>0</v>
      </c>
      <c r="P252" s="134">
        <f t="shared" si="223"/>
        <v>0</v>
      </c>
      <c r="Q252" s="78">
        <f t="shared" si="250"/>
        <v>0</v>
      </c>
      <c r="R252" s="79"/>
      <c r="S252" s="80"/>
      <c r="T252" s="81"/>
      <c r="U252" s="70">
        <f t="shared" si="215"/>
        <v>0</v>
      </c>
      <c r="V252" s="71">
        <f t="shared" si="216"/>
        <v>0</v>
      </c>
      <c r="W252" s="72">
        <f t="shared" si="224"/>
        <v>0</v>
      </c>
      <c r="X252" s="134">
        <f t="shared" si="225"/>
        <v>0</v>
      </c>
      <c r="Y252" s="78">
        <f t="shared" si="251"/>
        <v>0</v>
      </c>
      <c r="Z252" s="79"/>
      <c r="AA252" s="80"/>
      <c r="AB252" s="81"/>
      <c r="AC252" s="70">
        <f t="shared" si="217"/>
        <v>0</v>
      </c>
      <c r="AD252" s="71">
        <f t="shared" si="240"/>
        <v>0</v>
      </c>
      <c r="AE252" s="72">
        <f t="shared" si="226"/>
        <v>0</v>
      </c>
      <c r="AF252" s="134">
        <f t="shared" si="227"/>
        <v>0</v>
      </c>
      <c r="AG252" s="78">
        <f t="shared" si="252"/>
        <v>0</v>
      </c>
      <c r="AH252" s="79"/>
      <c r="AI252" s="80"/>
      <c r="AJ252" s="81"/>
      <c r="AK252" s="70">
        <f t="shared" si="211"/>
        <v>0</v>
      </c>
      <c r="AL252" s="71">
        <f t="shared" si="242"/>
        <v>0</v>
      </c>
      <c r="AM252" s="72">
        <f t="shared" si="228"/>
        <v>0</v>
      </c>
      <c r="AN252" s="134">
        <f t="shared" si="229"/>
        <v>0</v>
      </c>
      <c r="AO252" s="78">
        <f t="shared" si="253"/>
        <v>0</v>
      </c>
      <c r="AP252" s="79"/>
      <c r="AQ252" s="80"/>
      <c r="AR252" s="81"/>
      <c r="AS252" s="70">
        <f t="shared" si="212"/>
        <v>0</v>
      </c>
      <c r="AT252" s="71">
        <f t="shared" si="244"/>
        <v>0</v>
      </c>
      <c r="AU252" s="72">
        <f t="shared" si="230"/>
        <v>0</v>
      </c>
      <c r="AV252" s="134">
        <f t="shared" si="231"/>
        <v>0</v>
      </c>
      <c r="AW252" s="78">
        <f t="shared" si="254"/>
        <v>0</v>
      </c>
      <c r="AX252" s="79"/>
      <c r="AY252" s="80"/>
      <c r="AZ252" s="81"/>
      <c r="BA252" s="70">
        <f t="shared" si="213"/>
        <v>0</v>
      </c>
      <c r="BB252" s="71">
        <f t="shared" si="246"/>
        <v>0</v>
      </c>
      <c r="BC252" s="72">
        <f t="shared" si="232"/>
        <v>0</v>
      </c>
      <c r="BD252" s="134">
        <f t="shared" si="233"/>
        <v>0</v>
      </c>
      <c r="BE252" s="78">
        <f t="shared" si="255"/>
        <v>0</v>
      </c>
      <c r="BF252" s="79"/>
      <c r="BG252" s="80"/>
      <c r="BH252" s="81"/>
      <c r="BI252" s="70">
        <f t="shared" si="214"/>
        <v>0</v>
      </c>
      <c r="BJ252" s="71">
        <f t="shared" si="248"/>
        <v>0</v>
      </c>
      <c r="BK252" s="72">
        <f t="shared" si="234"/>
        <v>0</v>
      </c>
      <c r="BL252" s="134">
        <f t="shared" si="235"/>
        <v>0</v>
      </c>
    </row>
    <row r="253" spans="1:64" ht="12.9" hidden="1" x14ac:dyDescent="0.35">
      <c r="A253" s="45"/>
      <c r="B253" s="23"/>
      <c r="C253" s="27"/>
      <c r="D253" s="25"/>
      <c r="E253" s="78">
        <f t="shared" si="236"/>
        <v>0</v>
      </c>
      <c r="F253" s="79"/>
      <c r="G253" s="80"/>
      <c r="H253" s="81"/>
      <c r="I253" s="78">
        <f t="shared" si="249"/>
        <v>0</v>
      </c>
      <c r="J253" s="79"/>
      <c r="K253" s="80"/>
      <c r="L253" s="81"/>
      <c r="M253" s="70">
        <f t="shared" si="220"/>
        <v>0</v>
      </c>
      <c r="N253" s="71">
        <f t="shared" si="221"/>
        <v>0</v>
      </c>
      <c r="O253" s="72">
        <f t="shared" si="222"/>
        <v>0</v>
      </c>
      <c r="P253" s="134">
        <f t="shared" si="223"/>
        <v>0</v>
      </c>
      <c r="Q253" s="78">
        <f t="shared" si="250"/>
        <v>0</v>
      </c>
      <c r="R253" s="79"/>
      <c r="S253" s="80"/>
      <c r="T253" s="81"/>
      <c r="U253" s="70">
        <f t="shared" si="215"/>
        <v>0</v>
      </c>
      <c r="V253" s="71">
        <f t="shared" si="216"/>
        <v>0</v>
      </c>
      <c r="W253" s="72">
        <f t="shared" si="224"/>
        <v>0</v>
      </c>
      <c r="X253" s="134">
        <f t="shared" si="225"/>
        <v>0</v>
      </c>
      <c r="Y253" s="78">
        <f t="shared" si="251"/>
        <v>0</v>
      </c>
      <c r="Z253" s="79"/>
      <c r="AA253" s="80"/>
      <c r="AB253" s="81"/>
      <c r="AC253" s="70">
        <f t="shared" si="217"/>
        <v>0</v>
      </c>
      <c r="AD253" s="71">
        <f t="shared" si="240"/>
        <v>0</v>
      </c>
      <c r="AE253" s="72">
        <f t="shared" si="226"/>
        <v>0</v>
      </c>
      <c r="AF253" s="134">
        <f t="shared" si="227"/>
        <v>0</v>
      </c>
      <c r="AG253" s="78">
        <f t="shared" si="252"/>
        <v>0</v>
      </c>
      <c r="AH253" s="79"/>
      <c r="AI253" s="80"/>
      <c r="AJ253" s="81"/>
      <c r="AK253" s="70">
        <f t="shared" si="211"/>
        <v>0</v>
      </c>
      <c r="AL253" s="71">
        <f t="shared" si="242"/>
        <v>0</v>
      </c>
      <c r="AM253" s="72">
        <f t="shared" si="228"/>
        <v>0</v>
      </c>
      <c r="AN253" s="134">
        <f t="shared" si="229"/>
        <v>0</v>
      </c>
      <c r="AO253" s="78">
        <f t="shared" si="253"/>
        <v>0</v>
      </c>
      <c r="AP253" s="79"/>
      <c r="AQ253" s="80"/>
      <c r="AR253" s="81"/>
      <c r="AS253" s="70">
        <f t="shared" si="212"/>
        <v>0</v>
      </c>
      <c r="AT253" s="71">
        <f t="shared" si="244"/>
        <v>0</v>
      </c>
      <c r="AU253" s="72">
        <f t="shared" si="230"/>
        <v>0</v>
      </c>
      <c r="AV253" s="134">
        <f t="shared" si="231"/>
        <v>0</v>
      </c>
      <c r="AW253" s="78">
        <f t="shared" si="254"/>
        <v>0</v>
      </c>
      <c r="AX253" s="79"/>
      <c r="AY253" s="80"/>
      <c r="AZ253" s="81"/>
      <c r="BA253" s="70">
        <f t="shared" si="213"/>
        <v>0</v>
      </c>
      <c r="BB253" s="71">
        <f t="shared" si="246"/>
        <v>0</v>
      </c>
      <c r="BC253" s="72">
        <f t="shared" si="232"/>
        <v>0</v>
      </c>
      <c r="BD253" s="134">
        <f t="shared" si="233"/>
        <v>0</v>
      </c>
      <c r="BE253" s="78">
        <f t="shared" si="255"/>
        <v>0</v>
      </c>
      <c r="BF253" s="79"/>
      <c r="BG253" s="80"/>
      <c r="BH253" s="81"/>
      <c r="BI253" s="70">
        <f t="shared" si="214"/>
        <v>0</v>
      </c>
      <c r="BJ253" s="71">
        <f t="shared" si="248"/>
        <v>0</v>
      </c>
      <c r="BK253" s="72">
        <f t="shared" si="234"/>
        <v>0</v>
      </c>
      <c r="BL253" s="134">
        <f t="shared" si="235"/>
        <v>0</v>
      </c>
    </row>
    <row r="254" spans="1:64" s="138" customFormat="1" ht="12.45" x14ac:dyDescent="0.3">
      <c r="A254" s="135"/>
      <c r="B254" s="136" t="s">
        <v>18</v>
      </c>
      <c r="C254" s="42" t="s">
        <v>114</v>
      </c>
      <c r="D254" s="137"/>
      <c r="E254" s="73">
        <f t="shared" si="236"/>
        <v>327.06800000000004</v>
      </c>
      <c r="F254" s="74">
        <f>SUM(F256:F263)</f>
        <v>305.79000000000002</v>
      </c>
      <c r="G254" s="75">
        <f>SUM(G256:G263)</f>
        <v>243.65</v>
      </c>
      <c r="H254" s="133">
        <f>SUM(H256:H263)</f>
        <v>21.277999999999999</v>
      </c>
      <c r="I254" s="73">
        <f t="shared" si="249"/>
        <v>0</v>
      </c>
      <c r="J254" s="74">
        <f>SUM(J256:J263)</f>
        <v>0</v>
      </c>
      <c r="K254" s="75">
        <f>SUM(K256:K263)</f>
        <v>0</v>
      </c>
      <c r="L254" s="133">
        <f>SUM(L256:L263)</f>
        <v>0</v>
      </c>
      <c r="M254" s="73">
        <f t="shared" si="220"/>
        <v>327.06800000000004</v>
      </c>
      <c r="N254" s="74">
        <f t="shared" si="221"/>
        <v>305.79000000000002</v>
      </c>
      <c r="O254" s="75">
        <f t="shared" si="222"/>
        <v>243.65</v>
      </c>
      <c r="P254" s="133">
        <f t="shared" si="223"/>
        <v>21.277999999999999</v>
      </c>
      <c r="Q254" s="73">
        <f t="shared" si="250"/>
        <v>34.143999999999998</v>
      </c>
      <c r="R254" s="74">
        <f>SUM(R256:R264)</f>
        <v>29.143999999999998</v>
      </c>
      <c r="S254" s="75">
        <f>SUM(S256:S264)</f>
        <v>16.898999999999997</v>
      </c>
      <c r="T254" s="133">
        <f>SUM(T256:T264)</f>
        <v>5</v>
      </c>
      <c r="U254" s="73">
        <f t="shared" si="215"/>
        <v>361.21200000000005</v>
      </c>
      <c r="V254" s="74">
        <f>N254+R254</f>
        <v>334.93400000000003</v>
      </c>
      <c r="W254" s="75">
        <f t="shared" si="224"/>
        <v>260.54899999999998</v>
      </c>
      <c r="X254" s="133">
        <f t="shared" si="225"/>
        <v>26.277999999999999</v>
      </c>
      <c r="Y254" s="73">
        <f t="shared" si="251"/>
        <v>0</v>
      </c>
      <c r="Z254" s="74">
        <f>SUM(Z256:Z264)</f>
        <v>0</v>
      </c>
      <c r="AA254" s="75">
        <f>SUM(AA256:AA264)</f>
        <v>0</v>
      </c>
      <c r="AB254" s="133">
        <f>SUM(AB256:AB264)</f>
        <v>0</v>
      </c>
      <c r="AC254" s="73">
        <f t="shared" si="217"/>
        <v>361.21200000000005</v>
      </c>
      <c r="AD254" s="74">
        <f>V254+Z254</f>
        <v>334.93400000000003</v>
      </c>
      <c r="AE254" s="75">
        <f t="shared" si="226"/>
        <v>260.54899999999998</v>
      </c>
      <c r="AF254" s="133">
        <f t="shared" si="227"/>
        <v>26.277999999999999</v>
      </c>
      <c r="AG254" s="73">
        <f t="shared" si="252"/>
        <v>0</v>
      </c>
      <c r="AH254" s="74">
        <f>SUM(AH256:AH264)</f>
        <v>0</v>
      </c>
      <c r="AI254" s="75">
        <f>SUM(AI256:AI264)</f>
        <v>0</v>
      </c>
      <c r="AJ254" s="133">
        <f>SUM(AJ256:AJ264)</f>
        <v>0</v>
      </c>
      <c r="AK254" s="73">
        <f t="shared" si="211"/>
        <v>361.21200000000005</v>
      </c>
      <c r="AL254" s="74">
        <f>AD254+AH254</f>
        <v>334.93400000000003</v>
      </c>
      <c r="AM254" s="75">
        <f t="shared" si="228"/>
        <v>260.54899999999998</v>
      </c>
      <c r="AN254" s="133">
        <f t="shared" si="229"/>
        <v>26.277999999999999</v>
      </c>
      <c r="AO254" s="73">
        <f t="shared" si="253"/>
        <v>0</v>
      </c>
      <c r="AP254" s="74">
        <f>SUM(AP256:AP264)</f>
        <v>0</v>
      </c>
      <c r="AQ254" s="75">
        <f>SUM(AQ256:AQ264)</f>
        <v>0</v>
      </c>
      <c r="AR254" s="133">
        <f>SUM(AR256:AR264)</f>
        <v>0</v>
      </c>
      <c r="AS254" s="73">
        <f t="shared" si="212"/>
        <v>361.21200000000005</v>
      </c>
      <c r="AT254" s="74">
        <f>AL254+AP254</f>
        <v>334.93400000000003</v>
      </c>
      <c r="AU254" s="75">
        <f t="shared" si="230"/>
        <v>260.54899999999998</v>
      </c>
      <c r="AV254" s="133">
        <f t="shared" si="231"/>
        <v>26.277999999999999</v>
      </c>
      <c r="AW254" s="73">
        <f t="shared" si="254"/>
        <v>-54.546000000000006</v>
      </c>
      <c r="AX254" s="74">
        <f>SUM(AX256:AX264)</f>
        <v>-49.861000000000004</v>
      </c>
      <c r="AY254" s="75">
        <f>SUM(AY256:AY264)</f>
        <v>-11.359</v>
      </c>
      <c r="AZ254" s="133">
        <f>SUM(AZ256:AZ264)</f>
        <v>-4.6849999999999996</v>
      </c>
      <c r="BA254" s="73">
        <f t="shared" si="213"/>
        <v>306.66600000000005</v>
      </c>
      <c r="BB254" s="74">
        <f>AT254+AX254</f>
        <v>285.07300000000004</v>
      </c>
      <c r="BC254" s="75">
        <f t="shared" si="232"/>
        <v>249.18999999999997</v>
      </c>
      <c r="BD254" s="133">
        <f t="shared" si="233"/>
        <v>21.593</v>
      </c>
      <c r="BE254" s="73">
        <f t="shared" si="255"/>
        <v>0</v>
      </c>
      <c r="BF254" s="74">
        <f>SUM(BF256:BF264)</f>
        <v>0</v>
      </c>
      <c r="BG254" s="75">
        <f>SUM(BG256:BG264)</f>
        <v>-6.89</v>
      </c>
      <c r="BH254" s="133">
        <f>SUM(BH256:BH264)</f>
        <v>0</v>
      </c>
      <c r="BI254" s="73">
        <f t="shared" si="214"/>
        <v>306.66600000000005</v>
      </c>
      <c r="BJ254" s="74">
        <f>BB254+BF254</f>
        <v>285.07300000000004</v>
      </c>
      <c r="BK254" s="75">
        <f t="shared" si="234"/>
        <v>242.29999999999998</v>
      </c>
      <c r="BL254" s="133">
        <f t="shared" si="235"/>
        <v>21.593</v>
      </c>
    </row>
    <row r="255" spans="1:64" ht="12.9" x14ac:dyDescent="0.35">
      <c r="A255" s="43"/>
      <c r="B255" s="4" t="s">
        <v>2</v>
      </c>
      <c r="C255" s="44"/>
      <c r="D255" s="28"/>
      <c r="E255" s="78">
        <f t="shared" si="236"/>
        <v>0</v>
      </c>
      <c r="F255" s="79">
        <v>0</v>
      </c>
      <c r="G255" s="80">
        <v>0</v>
      </c>
      <c r="H255" s="81">
        <v>0</v>
      </c>
      <c r="I255" s="78">
        <f t="shared" si="249"/>
        <v>0</v>
      </c>
      <c r="J255" s="79">
        <v>0</v>
      </c>
      <c r="K255" s="80">
        <v>0</v>
      </c>
      <c r="L255" s="81">
        <v>0</v>
      </c>
      <c r="M255" s="70">
        <f t="shared" si="220"/>
        <v>0</v>
      </c>
      <c r="N255" s="71">
        <f t="shared" si="221"/>
        <v>0</v>
      </c>
      <c r="O255" s="72">
        <f t="shared" si="222"/>
        <v>0</v>
      </c>
      <c r="P255" s="134">
        <f t="shared" si="223"/>
        <v>0</v>
      </c>
      <c r="Q255" s="78">
        <f t="shared" si="250"/>
        <v>0</v>
      </c>
      <c r="R255" s="79">
        <v>0</v>
      </c>
      <c r="S255" s="80">
        <v>0</v>
      </c>
      <c r="T255" s="81">
        <v>0</v>
      </c>
      <c r="U255" s="70">
        <f t="shared" si="215"/>
        <v>0</v>
      </c>
      <c r="V255" s="71">
        <f t="shared" si="216"/>
        <v>0</v>
      </c>
      <c r="W255" s="72">
        <f t="shared" si="224"/>
        <v>0</v>
      </c>
      <c r="X255" s="134">
        <f t="shared" si="225"/>
        <v>0</v>
      </c>
      <c r="Y255" s="78">
        <f t="shared" si="251"/>
        <v>0</v>
      </c>
      <c r="Z255" s="79">
        <v>0</v>
      </c>
      <c r="AA255" s="80">
        <v>0</v>
      </c>
      <c r="AB255" s="81">
        <v>0</v>
      </c>
      <c r="AC255" s="70">
        <f t="shared" si="217"/>
        <v>0</v>
      </c>
      <c r="AD255" s="71">
        <f t="shared" ref="AD255:AD278" si="256">V255+Z255</f>
        <v>0</v>
      </c>
      <c r="AE255" s="72">
        <f t="shared" si="226"/>
        <v>0</v>
      </c>
      <c r="AF255" s="134">
        <f t="shared" si="227"/>
        <v>0</v>
      </c>
      <c r="AG255" s="78">
        <f t="shared" si="252"/>
        <v>0</v>
      </c>
      <c r="AH255" s="79">
        <v>0</v>
      </c>
      <c r="AI255" s="80">
        <v>0</v>
      </c>
      <c r="AJ255" s="81">
        <v>0</v>
      </c>
      <c r="AK255" s="70">
        <f t="shared" si="211"/>
        <v>0</v>
      </c>
      <c r="AL255" s="71">
        <f t="shared" ref="AL255:AL278" si="257">AD255+AH255</f>
        <v>0</v>
      </c>
      <c r="AM255" s="72">
        <f t="shared" si="228"/>
        <v>0</v>
      </c>
      <c r="AN255" s="134">
        <f t="shared" si="229"/>
        <v>0</v>
      </c>
      <c r="AO255" s="78">
        <f t="shared" si="253"/>
        <v>0</v>
      </c>
      <c r="AP255" s="79">
        <v>0</v>
      </c>
      <c r="AQ255" s="80">
        <v>0</v>
      </c>
      <c r="AR255" s="81">
        <v>0</v>
      </c>
      <c r="AS255" s="70">
        <f t="shared" si="212"/>
        <v>0</v>
      </c>
      <c r="AT255" s="71">
        <f t="shared" ref="AT255:AT278" si="258">AL255+AP255</f>
        <v>0</v>
      </c>
      <c r="AU255" s="72">
        <f t="shared" si="230"/>
        <v>0</v>
      </c>
      <c r="AV255" s="134">
        <f t="shared" si="231"/>
        <v>0</v>
      </c>
      <c r="AW255" s="78">
        <f t="shared" si="254"/>
        <v>0</v>
      </c>
      <c r="AX255" s="79">
        <v>0</v>
      </c>
      <c r="AY255" s="80">
        <v>0</v>
      </c>
      <c r="AZ255" s="81">
        <v>0</v>
      </c>
      <c r="BA255" s="70">
        <f t="shared" si="213"/>
        <v>0</v>
      </c>
      <c r="BB255" s="71">
        <f t="shared" ref="BB255:BB278" si="259">AT255+AX255</f>
        <v>0</v>
      </c>
      <c r="BC255" s="72">
        <f t="shared" si="232"/>
        <v>0</v>
      </c>
      <c r="BD255" s="134">
        <f t="shared" si="233"/>
        <v>0</v>
      </c>
      <c r="BE255" s="78">
        <f t="shared" si="255"/>
        <v>0</v>
      </c>
      <c r="BF255" s="79">
        <v>0</v>
      </c>
      <c r="BG255" s="80">
        <v>0</v>
      </c>
      <c r="BH255" s="81">
        <v>0</v>
      </c>
      <c r="BI255" s="70">
        <f t="shared" si="214"/>
        <v>0</v>
      </c>
      <c r="BJ255" s="71">
        <f t="shared" ref="BJ255:BJ278" si="260">BB255+BF255</f>
        <v>0</v>
      </c>
      <c r="BK255" s="72">
        <f t="shared" si="234"/>
        <v>0</v>
      </c>
      <c r="BL255" s="134">
        <f t="shared" si="235"/>
        <v>0</v>
      </c>
    </row>
    <row r="256" spans="1:64" ht="12.9" x14ac:dyDescent="0.35">
      <c r="A256" s="25" t="s">
        <v>22</v>
      </c>
      <c r="B256" s="26" t="s">
        <v>34</v>
      </c>
      <c r="C256" s="27" t="s">
        <v>87</v>
      </c>
      <c r="D256" s="40" t="s">
        <v>125</v>
      </c>
      <c r="E256" s="78">
        <f t="shared" si="236"/>
        <v>0.4</v>
      </c>
      <c r="F256" s="79">
        <v>0.4</v>
      </c>
      <c r="G256" s="80"/>
      <c r="H256" s="81"/>
      <c r="I256" s="78">
        <f t="shared" si="249"/>
        <v>0</v>
      </c>
      <c r="J256" s="79"/>
      <c r="K256" s="80"/>
      <c r="L256" s="81"/>
      <c r="M256" s="70">
        <f t="shared" si="220"/>
        <v>0.4</v>
      </c>
      <c r="N256" s="71">
        <f t="shared" si="221"/>
        <v>0.4</v>
      </c>
      <c r="O256" s="72">
        <f t="shared" si="222"/>
        <v>0</v>
      </c>
      <c r="P256" s="134">
        <f t="shared" si="223"/>
        <v>0</v>
      </c>
      <c r="Q256" s="78">
        <f t="shared" si="250"/>
        <v>0</v>
      </c>
      <c r="R256" s="79"/>
      <c r="S256" s="80"/>
      <c r="T256" s="81"/>
      <c r="U256" s="70">
        <f t="shared" si="215"/>
        <v>0.4</v>
      </c>
      <c r="V256" s="71">
        <f t="shared" si="216"/>
        <v>0.4</v>
      </c>
      <c r="W256" s="72">
        <f t="shared" si="224"/>
        <v>0</v>
      </c>
      <c r="X256" s="134">
        <f t="shared" si="225"/>
        <v>0</v>
      </c>
      <c r="Y256" s="78">
        <f t="shared" si="251"/>
        <v>0</v>
      </c>
      <c r="Z256" s="79"/>
      <c r="AA256" s="80"/>
      <c r="AB256" s="81"/>
      <c r="AC256" s="70">
        <f t="shared" si="217"/>
        <v>0.4</v>
      </c>
      <c r="AD256" s="71">
        <f t="shared" si="256"/>
        <v>0.4</v>
      </c>
      <c r="AE256" s="72">
        <f t="shared" si="226"/>
        <v>0</v>
      </c>
      <c r="AF256" s="134">
        <f t="shared" si="227"/>
        <v>0</v>
      </c>
      <c r="AG256" s="78">
        <f t="shared" si="252"/>
        <v>0</v>
      </c>
      <c r="AH256" s="79"/>
      <c r="AI256" s="80"/>
      <c r="AJ256" s="81"/>
      <c r="AK256" s="70">
        <f t="shared" si="211"/>
        <v>0.4</v>
      </c>
      <c r="AL256" s="71">
        <f t="shared" si="257"/>
        <v>0.4</v>
      </c>
      <c r="AM256" s="72">
        <f t="shared" si="228"/>
        <v>0</v>
      </c>
      <c r="AN256" s="134">
        <f t="shared" si="229"/>
        <v>0</v>
      </c>
      <c r="AO256" s="78">
        <f t="shared" si="253"/>
        <v>0</v>
      </c>
      <c r="AP256" s="79"/>
      <c r="AQ256" s="80"/>
      <c r="AR256" s="81"/>
      <c r="AS256" s="70">
        <f t="shared" si="212"/>
        <v>0.4</v>
      </c>
      <c r="AT256" s="71">
        <f t="shared" si="258"/>
        <v>0.4</v>
      </c>
      <c r="AU256" s="72">
        <f t="shared" si="230"/>
        <v>0</v>
      </c>
      <c r="AV256" s="134">
        <f t="shared" si="231"/>
        <v>0</v>
      </c>
      <c r="AW256" s="78">
        <f t="shared" si="254"/>
        <v>0.5</v>
      </c>
      <c r="AX256" s="79">
        <v>0.5</v>
      </c>
      <c r="AY256" s="80"/>
      <c r="AZ256" s="81"/>
      <c r="BA256" s="70">
        <f t="shared" si="213"/>
        <v>0.9</v>
      </c>
      <c r="BB256" s="71">
        <f t="shared" si="259"/>
        <v>0.9</v>
      </c>
      <c r="BC256" s="72">
        <f t="shared" si="232"/>
        <v>0</v>
      </c>
      <c r="BD256" s="134">
        <f t="shared" si="233"/>
        <v>0</v>
      </c>
      <c r="BE256" s="78">
        <f t="shared" si="255"/>
        <v>0</v>
      </c>
      <c r="BF256" s="79"/>
      <c r="BG256" s="80"/>
      <c r="BH256" s="81"/>
      <c r="BI256" s="70">
        <f t="shared" si="214"/>
        <v>0.9</v>
      </c>
      <c r="BJ256" s="71">
        <f t="shared" si="260"/>
        <v>0.9</v>
      </c>
      <c r="BK256" s="72">
        <f t="shared" si="234"/>
        <v>0</v>
      </c>
      <c r="BL256" s="134">
        <f t="shared" si="235"/>
        <v>0</v>
      </c>
    </row>
    <row r="257" spans="1:64" ht="12.9" hidden="1" x14ac:dyDescent="0.35">
      <c r="A257" s="120" t="s">
        <v>25</v>
      </c>
      <c r="B257" s="116" t="s">
        <v>41</v>
      </c>
      <c r="C257" s="27"/>
      <c r="D257" s="40" t="s">
        <v>137</v>
      </c>
      <c r="E257" s="78">
        <f t="shared" si="236"/>
        <v>0</v>
      </c>
      <c r="F257" s="79"/>
      <c r="G257" s="80"/>
      <c r="H257" s="81"/>
      <c r="I257" s="78">
        <f t="shared" si="249"/>
        <v>0</v>
      </c>
      <c r="J257" s="79"/>
      <c r="K257" s="80"/>
      <c r="L257" s="81"/>
      <c r="M257" s="70">
        <f t="shared" si="220"/>
        <v>0</v>
      </c>
      <c r="N257" s="71">
        <f t="shared" si="221"/>
        <v>0</v>
      </c>
      <c r="O257" s="72">
        <f t="shared" si="222"/>
        <v>0</v>
      </c>
      <c r="P257" s="134">
        <f t="shared" si="223"/>
        <v>0</v>
      </c>
      <c r="Q257" s="78">
        <f t="shared" si="250"/>
        <v>0</v>
      </c>
      <c r="R257" s="79"/>
      <c r="S257" s="80"/>
      <c r="T257" s="81"/>
      <c r="U257" s="70">
        <f t="shared" si="215"/>
        <v>0</v>
      </c>
      <c r="V257" s="71">
        <f t="shared" si="216"/>
        <v>0</v>
      </c>
      <c r="W257" s="72">
        <f t="shared" si="224"/>
        <v>0</v>
      </c>
      <c r="X257" s="134">
        <f t="shared" si="225"/>
        <v>0</v>
      </c>
      <c r="Y257" s="78">
        <f t="shared" si="251"/>
        <v>0</v>
      </c>
      <c r="Z257" s="79"/>
      <c r="AA257" s="80"/>
      <c r="AB257" s="81"/>
      <c r="AC257" s="70">
        <f t="shared" si="217"/>
        <v>0</v>
      </c>
      <c r="AD257" s="71">
        <f t="shared" si="256"/>
        <v>0</v>
      </c>
      <c r="AE257" s="72">
        <f t="shared" si="226"/>
        <v>0</v>
      </c>
      <c r="AF257" s="134">
        <f t="shared" si="227"/>
        <v>0</v>
      </c>
      <c r="AG257" s="78">
        <f t="shared" si="252"/>
        <v>0</v>
      </c>
      <c r="AH257" s="79"/>
      <c r="AI257" s="80"/>
      <c r="AJ257" s="81"/>
      <c r="AK257" s="70">
        <f t="shared" si="211"/>
        <v>0</v>
      </c>
      <c r="AL257" s="71">
        <f t="shared" si="257"/>
        <v>0</v>
      </c>
      <c r="AM257" s="72">
        <f t="shared" si="228"/>
        <v>0</v>
      </c>
      <c r="AN257" s="134">
        <f t="shared" si="229"/>
        <v>0</v>
      </c>
      <c r="AO257" s="78">
        <f t="shared" si="253"/>
        <v>0</v>
      </c>
      <c r="AP257" s="79"/>
      <c r="AQ257" s="80"/>
      <c r="AR257" s="81"/>
      <c r="AS257" s="70">
        <f t="shared" si="212"/>
        <v>0</v>
      </c>
      <c r="AT257" s="71">
        <f t="shared" si="258"/>
        <v>0</v>
      </c>
      <c r="AU257" s="72">
        <f t="shared" si="230"/>
        <v>0</v>
      </c>
      <c r="AV257" s="134">
        <f t="shared" si="231"/>
        <v>0</v>
      </c>
      <c r="AW257" s="78">
        <f t="shared" si="254"/>
        <v>0</v>
      </c>
      <c r="AX257" s="79"/>
      <c r="AY257" s="80"/>
      <c r="AZ257" s="81"/>
      <c r="BA257" s="70">
        <f t="shared" si="213"/>
        <v>0</v>
      </c>
      <c r="BB257" s="71">
        <f t="shared" si="259"/>
        <v>0</v>
      </c>
      <c r="BC257" s="72">
        <f t="shared" si="232"/>
        <v>0</v>
      </c>
      <c r="BD257" s="134">
        <f t="shared" si="233"/>
        <v>0</v>
      </c>
      <c r="BE257" s="78">
        <f t="shared" si="255"/>
        <v>0</v>
      </c>
      <c r="BF257" s="79"/>
      <c r="BG257" s="80"/>
      <c r="BH257" s="81"/>
      <c r="BI257" s="70">
        <f t="shared" si="214"/>
        <v>0</v>
      </c>
      <c r="BJ257" s="71">
        <f t="shared" si="260"/>
        <v>0</v>
      </c>
      <c r="BK257" s="72">
        <f t="shared" si="234"/>
        <v>0</v>
      </c>
      <c r="BL257" s="134">
        <f t="shared" si="235"/>
        <v>0</v>
      </c>
    </row>
    <row r="258" spans="1:64" ht="12.9" x14ac:dyDescent="0.35">
      <c r="A258" s="235" t="s">
        <v>30</v>
      </c>
      <c r="B258" s="237" t="s">
        <v>43</v>
      </c>
      <c r="C258" s="27" t="s">
        <v>88</v>
      </c>
      <c r="D258" s="25" t="s">
        <v>125</v>
      </c>
      <c r="E258" s="78">
        <f t="shared" si="236"/>
        <v>281.25</v>
      </c>
      <c r="F258" s="79">
        <f>279.8+1.45</f>
        <v>281.25</v>
      </c>
      <c r="G258" s="80">
        <f>240.21-0.54</f>
        <v>239.67000000000002</v>
      </c>
      <c r="H258" s="81"/>
      <c r="I258" s="78">
        <f t="shared" si="249"/>
        <v>0</v>
      </c>
      <c r="J258" s="79"/>
      <c r="K258" s="80"/>
      <c r="L258" s="81"/>
      <c r="M258" s="70">
        <f t="shared" si="220"/>
        <v>281.25</v>
      </c>
      <c r="N258" s="71">
        <f t="shared" si="221"/>
        <v>281.25</v>
      </c>
      <c r="O258" s="72">
        <f t="shared" si="222"/>
        <v>239.67000000000002</v>
      </c>
      <c r="P258" s="134">
        <f t="shared" si="223"/>
        <v>0</v>
      </c>
      <c r="Q258" s="78">
        <f t="shared" si="250"/>
        <v>8.9499999999999993</v>
      </c>
      <c r="R258" s="79">
        <v>8.9499999999999993</v>
      </c>
      <c r="S258" s="80">
        <v>16.707999999999998</v>
      </c>
      <c r="T258" s="81"/>
      <c r="U258" s="70">
        <f t="shared" si="215"/>
        <v>290.2</v>
      </c>
      <c r="V258" s="71">
        <f t="shared" si="216"/>
        <v>290.2</v>
      </c>
      <c r="W258" s="72">
        <f t="shared" si="224"/>
        <v>256.37800000000004</v>
      </c>
      <c r="X258" s="134">
        <f t="shared" si="225"/>
        <v>0</v>
      </c>
      <c r="Y258" s="78">
        <f t="shared" si="251"/>
        <v>0</v>
      </c>
      <c r="Z258" s="79"/>
      <c r="AA258" s="80"/>
      <c r="AB258" s="81"/>
      <c r="AC258" s="70">
        <f t="shared" si="217"/>
        <v>290.2</v>
      </c>
      <c r="AD258" s="71">
        <f t="shared" si="256"/>
        <v>290.2</v>
      </c>
      <c r="AE258" s="72">
        <f t="shared" si="226"/>
        <v>256.37800000000004</v>
      </c>
      <c r="AF258" s="134">
        <f t="shared" si="227"/>
        <v>0</v>
      </c>
      <c r="AG258" s="78">
        <f t="shared" si="252"/>
        <v>0</v>
      </c>
      <c r="AH258" s="79"/>
      <c r="AI258" s="80"/>
      <c r="AJ258" s="81"/>
      <c r="AK258" s="70">
        <f t="shared" si="211"/>
        <v>290.2</v>
      </c>
      <c r="AL258" s="71">
        <f t="shared" si="257"/>
        <v>290.2</v>
      </c>
      <c r="AM258" s="72">
        <f t="shared" si="228"/>
        <v>256.37800000000004</v>
      </c>
      <c r="AN258" s="134">
        <f t="shared" si="229"/>
        <v>0</v>
      </c>
      <c r="AO258" s="78">
        <f t="shared" si="253"/>
        <v>0</v>
      </c>
      <c r="AP258" s="79"/>
      <c r="AQ258" s="80"/>
      <c r="AR258" s="81"/>
      <c r="AS258" s="70">
        <f t="shared" si="212"/>
        <v>290.2</v>
      </c>
      <c r="AT258" s="71">
        <f t="shared" si="258"/>
        <v>290.2</v>
      </c>
      <c r="AU258" s="72">
        <f t="shared" si="230"/>
        <v>256.37800000000004</v>
      </c>
      <c r="AV258" s="134">
        <f t="shared" si="231"/>
        <v>0</v>
      </c>
      <c r="AW258" s="78">
        <f t="shared" si="254"/>
        <v>-10.993</v>
      </c>
      <c r="AX258" s="79">
        <f>-10.103-0.89</f>
        <v>-10.993</v>
      </c>
      <c r="AY258" s="80">
        <v>-11.359</v>
      </c>
      <c r="AZ258" s="81"/>
      <c r="BA258" s="70">
        <f t="shared" si="213"/>
        <v>279.20699999999999</v>
      </c>
      <c r="BB258" s="71">
        <f t="shared" si="259"/>
        <v>279.20699999999999</v>
      </c>
      <c r="BC258" s="72">
        <f t="shared" si="232"/>
        <v>245.01900000000003</v>
      </c>
      <c r="BD258" s="134">
        <f t="shared" si="233"/>
        <v>0</v>
      </c>
      <c r="BE258" s="78">
        <f t="shared" si="255"/>
        <v>0</v>
      </c>
      <c r="BF258" s="79"/>
      <c r="BG258" s="80">
        <v>-6.89</v>
      </c>
      <c r="BH258" s="81"/>
      <c r="BI258" s="70">
        <f t="shared" si="214"/>
        <v>279.20699999999999</v>
      </c>
      <c r="BJ258" s="71">
        <f t="shared" si="260"/>
        <v>279.20699999999999</v>
      </c>
      <c r="BK258" s="72">
        <f t="shared" si="234"/>
        <v>238.12900000000005</v>
      </c>
      <c r="BL258" s="134">
        <f t="shared" si="235"/>
        <v>0</v>
      </c>
    </row>
    <row r="259" spans="1:64" ht="12.9" x14ac:dyDescent="0.35">
      <c r="A259" s="236"/>
      <c r="B259" s="238"/>
      <c r="C259" s="27" t="s">
        <v>89</v>
      </c>
      <c r="D259" s="25" t="s">
        <v>137</v>
      </c>
      <c r="E259" s="78">
        <f t="shared" si="236"/>
        <v>25.317999999999998</v>
      </c>
      <c r="F259" s="79">
        <v>4.04</v>
      </c>
      <c r="G259" s="80">
        <v>3.98</v>
      </c>
      <c r="H259" s="81">
        <v>21.277999999999999</v>
      </c>
      <c r="I259" s="78">
        <f t="shared" si="249"/>
        <v>0</v>
      </c>
      <c r="J259" s="79"/>
      <c r="K259" s="80"/>
      <c r="L259" s="81"/>
      <c r="M259" s="70">
        <f t="shared" si="220"/>
        <v>25.317999999999998</v>
      </c>
      <c r="N259" s="71">
        <f t="shared" si="221"/>
        <v>4.04</v>
      </c>
      <c r="O259" s="72">
        <f t="shared" si="222"/>
        <v>3.98</v>
      </c>
      <c r="P259" s="134">
        <f t="shared" si="223"/>
        <v>21.277999999999999</v>
      </c>
      <c r="Q259" s="78">
        <f t="shared" si="250"/>
        <v>2.194</v>
      </c>
      <c r="R259" s="79">
        <v>2.194</v>
      </c>
      <c r="S259" s="80">
        <v>0.191</v>
      </c>
      <c r="T259" s="81"/>
      <c r="U259" s="70">
        <f t="shared" si="215"/>
        <v>27.512</v>
      </c>
      <c r="V259" s="71">
        <f t="shared" si="216"/>
        <v>6.234</v>
      </c>
      <c r="W259" s="72">
        <f t="shared" si="224"/>
        <v>4.1710000000000003</v>
      </c>
      <c r="X259" s="134">
        <f t="shared" si="225"/>
        <v>21.277999999999999</v>
      </c>
      <c r="Y259" s="78">
        <f t="shared" si="251"/>
        <v>0</v>
      </c>
      <c r="Z259" s="79"/>
      <c r="AA259" s="80"/>
      <c r="AB259" s="81"/>
      <c r="AC259" s="70">
        <f t="shared" si="217"/>
        <v>27.512</v>
      </c>
      <c r="AD259" s="71">
        <f t="shared" si="256"/>
        <v>6.234</v>
      </c>
      <c r="AE259" s="72">
        <f t="shared" si="226"/>
        <v>4.1710000000000003</v>
      </c>
      <c r="AF259" s="134">
        <f t="shared" si="227"/>
        <v>21.277999999999999</v>
      </c>
      <c r="AG259" s="78">
        <f t="shared" si="252"/>
        <v>0</v>
      </c>
      <c r="AH259" s="79"/>
      <c r="AI259" s="80"/>
      <c r="AJ259" s="81"/>
      <c r="AK259" s="70">
        <f t="shared" si="211"/>
        <v>27.512</v>
      </c>
      <c r="AL259" s="71">
        <f t="shared" si="257"/>
        <v>6.234</v>
      </c>
      <c r="AM259" s="72">
        <f t="shared" si="228"/>
        <v>4.1710000000000003</v>
      </c>
      <c r="AN259" s="134">
        <f t="shared" si="229"/>
        <v>21.277999999999999</v>
      </c>
      <c r="AO259" s="78">
        <f t="shared" si="253"/>
        <v>0</v>
      </c>
      <c r="AP259" s="79"/>
      <c r="AQ259" s="80"/>
      <c r="AR259" s="81"/>
      <c r="AS259" s="70">
        <f t="shared" si="212"/>
        <v>27.512</v>
      </c>
      <c r="AT259" s="71">
        <f t="shared" si="258"/>
        <v>6.234</v>
      </c>
      <c r="AU259" s="72">
        <f t="shared" si="230"/>
        <v>4.1710000000000003</v>
      </c>
      <c r="AV259" s="134">
        <f t="shared" si="231"/>
        <v>21.277999999999999</v>
      </c>
      <c r="AW259" s="78">
        <f t="shared" si="254"/>
        <v>-1.7829999999999999</v>
      </c>
      <c r="AX259" s="79">
        <v>-1.7829999999999999</v>
      </c>
      <c r="AY259" s="80"/>
      <c r="AZ259" s="81"/>
      <c r="BA259" s="70">
        <f t="shared" si="213"/>
        <v>25.728999999999999</v>
      </c>
      <c r="BB259" s="71">
        <f t="shared" si="259"/>
        <v>4.4510000000000005</v>
      </c>
      <c r="BC259" s="72">
        <f t="shared" si="232"/>
        <v>4.1710000000000003</v>
      </c>
      <c r="BD259" s="134">
        <f t="shared" si="233"/>
        <v>21.277999999999999</v>
      </c>
      <c r="BE259" s="78">
        <f t="shared" si="255"/>
        <v>0</v>
      </c>
      <c r="BF259" s="79"/>
      <c r="BG259" s="80"/>
      <c r="BH259" s="81"/>
      <c r="BI259" s="70">
        <f t="shared" si="214"/>
        <v>25.728999999999999</v>
      </c>
      <c r="BJ259" s="71">
        <f t="shared" si="260"/>
        <v>4.4510000000000005</v>
      </c>
      <c r="BK259" s="72">
        <f t="shared" si="234"/>
        <v>4.1710000000000003</v>
      </c>
      <c r="BL259" s="134">
        <f t="shared" si="235"/>
        <v>21.277999999999999</v>
      </c>
    </row>
    <row r="260" spans="1:64" ht="12.9" x14ac:dyDescent="0.35">
      <c r="A260" s="283" t="s">
        <v>33</v>
      </c>
      <c r="B260" s="233" t="s">
        <v>45</v>
      </c>
      <c r="C260" s="27" t="s">
        <v>182</v>
      </c>
      <c r="D260" s="25" t="s">
        <v>125</v>
      </c>
      <c r="E260" s="78">
        <f t="shared" si="236"/>
        <v>0.1</v>
      </c>
      <c r="F260" s="79">
        <v>0.1</v>
      </c>
      <c r="G260" s="80"/>
      <c r="H260" s="81"/>
      <c r="I260" s="78">
        <f t="shared" si="249"/>
        <v>0</v>
      </c>
      <c r="J260" s="79"/>
      <c r="K260" s="80"/>
      <c r="L260" s="81"/>
      <c r="M260" s="70">
        <f t="shared" si="220"/>
        <v>0.1</v>
      </c>
      <c r="N260" s="71">
        <f t="shared" si="221"/>
        <v>0.1</v>
      </c>
      <c r="O260" s="72">
        <f t="shared" si="222"/>
        <v>0</v>
      </c>
      <c r="P260" s="134">
        <f t="shared" si="223"/>
        <v>0</v>
      </c>
      <c r="Q260" s="78">
        <f t="shared" si="250"/>
        <v>0</v>
      </c>
      <c r="R260" s="79"/>
      <c r="S260" s="80"/>
      <c r="T260" s="81"/>
      <c r="U260" s="70">
        <f t="shared" si="215"/>
        <v>0.1</v>
      </c>
      <c r="V260" s="71">
        <f t="shared" si="216"/>
        <v>0.1</v>
      </c>
      <c r="W260" s="72">
        <f t="shared" si="224"/>
        <v>0</v>
      </c>
      <c r="X260" s="134">
        <f t="shared" si="225"/>
        <v>0</v>
      </c>
      <c r="Y260" s="78">
        <f t="shared" si="251"/>
        <v>0</v>
      </c>
      <c r="Z260" s="79"/>
      <c r="AA260" s="80"/>
      <c r="AB260" s="81"/>
      <c r="AC260" s="70">
        <f t="shared" si="217"/>
        <v>0.1</v>
      </c>
      <c r="AD260" s="71">
        <f t="shared" si="256"/>
        <v>0.1</v>
      </c>
      <c r="AE260" s="72">
        <f t="shared" si="226"/>
        <v>0</v>
      </c>
      <c r="AF260" s="134">
        <f t="shared" si="227"/>
        <v>0</v>
      </c>
      <c r="AG260" s="78">
        <f t="shared" si="252"/>
        <v>0</v>
      </c>
      <c r="AH260" s="79"/>
      <c r="AI260" s="80"/>
      <c r="AJ260" s="81"/>
      <c r="AK260" s="70">
        <f t="shared" si="211"/>
        <v>0.1</v>
      </c>
      <c r="AL260" s="71">
        <f t="shared" si="257"/>
        <v>0.1</v>
      </c>
      <c r="AM260" s="72">
        <f t="shared" si="228"/>
        <v>0</v>
      </c>
      <c r="AN260" s="134">
        <f t="shared" si="229"/>
        <v>0</v>
      </c>
      <c r="AO260" s="78">
        <f t="shared" si="253"/>
        <v>0</v>
      </c>
      <c r="AP260" s="79"/>
      <c r="AQ260" s="80"/>
      <c r="AR260" s="81"/>
      <c r="AS260" s="70">
        <f t="shared" si="212"/>
        <v>0.1</v>
      </c>
      <c r="AT260" s="71">
        <f t="shared" si="258"/>
        <v>0.1</v>
      </c>
      <c r="AU260" s="72">
        <f t="shared" si="230"/>
        <v>0</v>
      </c>
      <c r="AV260" s="134">
        <f t="shared" si="231"/>
        <v>0</v>
      </c>
      <c r="AW260" s="78">
        <f t="shared" si="254"/>
        <v>0</v>
      </c>
      <c r="AX260" s="79"/>
      <c r="AY260" s="80"/>
      <c r="AZ260" s="81"/>
      <c r="BA260" s="70">
        <f t="shared" si="213"/>
        <v>0.1</v>
      </c>
      <c r="BB260" s="71">
        <f t="shared" si="259"/>
        <v>0.1</v>
      </c>
      <c r="BC260" s="72">
        <f t="shared" si="232"/>
        <v>0</v>
      </c>
      <c r="BD260" s="134">
        <f t="shared" si="233"/>
        <v>0</v>
      </c>
      <c r="BE260" s="78">
        <f t="shared" si="255"/>
        <v>0</v>
      </c>
      <c r="BF260" s="79"/>
      <c r="BG260" s="80"/>
      <c r="BH260" s="81"/>
      <c r="BI260" s="70">
        <f t="shared" si="214"/>
        <v>0.1</v>
      </c>
      <c r="BJ260" s="71">
        <f t="shared" si="260"/>
        <v>0.1</v>
      </c>
      <c r="BK260" s="72">
        <f t="shared" si="234"/>
        <v>0</v>
      </c>
      <c r="BL260" s="134">
        <f t="shared" si="235"/>
        <v>0</v>
      </c>
    </row>
    <row r="261" spans="1:64" ht="12.9" x14ac:dyDescent="0.35">
      <c r="A261" s="284"/>
      <c r="B261" s="234"/>
      <c r="C261" s="27" t="s">
        <v>183</v>
      </c>
      <c r="D261" s="25" t="s">
        <v>137</v>
      </c>
      <c r="E261" s="78">
        <f t="shared" si="236"/>
        <v>0</v>
      </c>
      <c r="F261" s="79"/>
      <c r="G261" s="80"/>
      <c r="H261" s="81"/>
      <c r="I261" s="78">
        <f t="shared" si="249"/>
        <v>0</v>
      </c>
      <c r="J261" s="79"/>
      <c r="K261" s="80"/>
      <c r="L261" s="81"/>
      <c r="M261" s="70">
        <f t="shared" si="220"/>
        <v>0</v>
      </c>
      <c r="N261" s="71">
        <f t="shared" si="221"/>
        <v>0</v>
      </c>
      <c r="O261" s="72">
        <f t="shared" si="222"/>
        <v>0</v>
      </c>
      <c r="P261" s="134">
        <f t="shared" si="223"/>
        <v>0</v>
      </c>
      <c r="Q261" s="78">
        <f t="shared" si="250"/>
        <v>0</v>
      </c>
      <c r="R261" s="79"/>
      <c r="S261" s="80"/>
      <c r="T261" s="81"/>
      <c r="U261" s="70">
        <f t="shared" si="215"/>
        <v>0</v>
      </c>
      <c r="V261" s="71">
        <f t="shared" si="216"/>
        <v>0</v>
      </c>
      <c r="W261" s="72">
        <f t="shared" si="224"/>
        <v>0</v>
      </c>
      <c r="X261" s="134">
        <f t="shared" si="225"/>
        <v>0</v>
      </c>
      <c r="Y261" s="78">
        <f t="shared" si="251"/>
        <v>0</v>
      </c>
      <c r="Z261" s="79"/>
      <c r="AA261" s="80"/>
      <c r="AB261" s="81"/>
      <c r="AC261" s="70">
        <f t="shared" si="217"/>
        <v>0</v>
      </c>
      <c r="AD261" s="71">
        <f t="shared" si="256"/>
        <v>0</v>
      </c>
      <c r="AE261" s="72">
        <f t="shared" si="226"/>
        <v>0</v>
      </c>
      <c r="AF261" s="134">
        <f t="shared" si="227"/>
        <v>0</v>
      </c>
      <c r="AG261" s="78">
        <f t="shared" si="252"/>
        <v>0</v>
      </c>
      <c r="AH261" s="79"/>
      <c r="AI261" s="80"/>
      <c r="AJ261" s="81"/>
      <c r="AK261" s="70">
        <f t="shared" si="211"/>
        <v>0</v>
      </c>
      <c r="AL261" s="71">
        <f t="shared" si="257"/>
        <v>0</v>
      </c>
      <c r="AM261" s="72">
        <f t="shared" si="228"/>
        <v>0</v>
      </c>
      <c r="AN261" s="134">
        <f t="shared" si="229"/>
        <v>0</v>
      </c>
      <c r="AO261" s="78">
        <f t="shared" si="253"/>
        <v>0</v>
      </c>
      <c r="AP261" s="79"/>
      <c r="AQ261" s="80"/>
      <c r="AR261" s="81"/>
      <c r="AS261" s="70">
        <f t="shared" si="212"/>
        <v>0</v>
      </c>
      <c r="AT261" s="71">
        <f t="shared" si="258"/>
        <v>0</v>
      </c>
      <c r="AU261" s="72">
        <f t="shared" si="230"/>
        <v>0</v>
      </c>
      <c r="AV261" s="134">
        <f t="shared" si="231"/>
        <v>0</v>
      </c>
      <c r="AW261" s="78">
        <f t="shared" si="254"/>
        <v>0.1</v>
      </c>
      <c r="AX261" s="79">
        <v>0.1</v>
      </c>
      <c r="AY261" s="80"/>
      <c r="AZ261" s="81"/>
      <c r="BA261" s="70">
        <f t="shared" si="213"/>
        <v>0.1</v>
      </c>
      <c r="BB261" s="71">
        <f t="shared" si="259"/>
        <v>0.1</v>
      </c>
      <c r="BC261" s="72">
        <f t="shared" si="232"/>
        <v>0</v>
      </c>
      <c r="BD261" s="134">
        <f t="shared" si="233"/>
        <v>0</v>
      </c>
      <c r="BE261" s="78">
        <f t="shared" si="255"/>
        <v>0</v>
      </c>
      <c r="BF261" s="79"/>
      <c r="BG261" s="80"/>
      <c r="BH261" s="81"/>
      <c r="BI261" s="70">
        <f t="shared" si="214"/>
        <v>0.1</v>
      </c>
      <c r="BJ261" s="71">
        <f t="shared" si="260"/>
        <v>0.1</v>
      </c>
      <c r="BK261" s="72">
        <f t="shared" si="234"/>
        <v>0</v>
      </c>
      <c r="BL261" s="134">
        <f t="shared" si="235"/>
        <v>0</v>
      </c>
    </row>
    <row r="262" spans="1:64" ht="12.9" x14ac:dyDescent="0.35">
      <c r="A262" s="45" t="s">
        <v>32</v>
      </c>
      <c r="B262" s="46" t="s">
        <v>46</v>
      </c>
      <c r="C262" s="27" t="s">
        <v>261</v>
      </c>
      <c r="D262" s="25" t="s">
        <v>125</v>
      </c>
      <c r="E262" s="78"/>
      <c r="F262" s="79"/>
      <c r="G262" s="80"/>
      <c r="H262" s="81"/>
      <c r="I262" s="78"/>
      <c r="J262" s="79"/>
      <c r="K262" s="80"/>
      <c r="L262" s="81"/>
      <c r="M262" s="70"/>
      <c r="N262" s="71"/>
      <c r="O262" s="72"/>
      <c r="P262" s="134"/>
      <c r="Q262" s="78"/>
      <c r="R262" s="79"/>
      <c r="S262" s="80"/>
      <c r="T262" s="81"/>
      <c r="U262" s="70"/>
      <c r="V262" s="71"/>
      <c r="W262" s="72"/>
      <c r="X262" s="134"/>
      <c r="Y262" s="78"/>
      <c r="Z262" s="79"/>
      <c r="AA262" s="80"/>
      <c r="AB262" s="81"/>
      <c r="AC262" s="70"/>
      <c r="AD262" s="71"/>
      <c r="AE262" s="72"/>
      <c r="AF262" s="134"/>
      <c r="AG262" s="78"/>
      <c r="AH262" s="79"/>
      <c r="AI262" s="80"/>
      <c r="AJ262" s="81"/>
      <c r="AK262" s="70"/>
      <c r="AL262" s="71"/>
      <c r="AM262" s="72"/>
      <c r="AN262" s="134"/>
      <c r="AO262" s="78"/>
      <c r="AP262" s="79"/>
      <c r="AQ262" s="80"/>
      <c r="AR262" s="81"/>
      <c r="AS262" s="70"/>
      <c r="AT262" s="71"/>
      <c r="AU262" s="72"/>
      <c r="AV262" s="134"/>
      <c r="AW262" s="78">
        <f t="shared" si="254"/>
        <v>0.315</v>
      </c>
      <c r="AX262" s="79">
        <v>0.315</v>
      </c>
      <c r="AY262" s="80"/>
      <c r="AZ262" s="81"/>
      <c r="BA262" s="70">
        <f t="shared" ref="BA262" si="261">SUM(BD262,BB262)</f>
        <v>0.315</v>
      </c>
      <c r="BB262" s="71">
        <f t="shared" ref="BB262" si="262">AT262+AX262</f>
        <v>0.315</v>
      </c>
      <c r="BC262" s="72"/>
      <c r="BD262" s="134"/>
      <c r="BE262" s="78">
        <f t="shared" si="255"/>
        <v>0</v>
      </c>
      <c r="BF262" s="79"/>
      <c r="BG262" s="80"/>
      <c r="BH262" s="81"/>
      <c r="BI262" s="70">
        <f t="shared" si="214"/>
        <v>0.315</v>
      </c>
      <c r="BJ262" s="71">
        <f t="shared" si="260"/>
        <v>0.315</v>
      </c>
      <c r="BK262" s="72"/>
      <c r="BL262" s="134"/>
    </row>
    <row r="263" spans="1:64" ht="12.9" x14ac:dyDescent="0.35">
      <c r="A263" s="283" t="s">
        <v>7</v>
      </c>
      <c r="B263" s="237" t="s">
        <v>48</v>
      </c>
      <c r="C263" s="27" t="s">
        <v>290</v>
      </c>
      <c r="D263" s="25" t="s">
        <v>125</v>
      </c>
      <c r="E263" s="78">
        <f t="shared" si="236"/>
        <v>20</v>
      </c>
      <c r="F263" s="79">
        <v>20</v>
      </c>
      <c r="G263" s="80"/>
      <c r="H263" s="81"/>
      <c r="I263" s="78">
        <f t="shared" si="249"/>
        <v>0</v>
      </c>
      <c r="J263" s="79"/>
      <c r="K263" s="80"/>
      <c r="L263" s="81"/>
      <c r="M263" s="70">
        <f t="shared" si="220"/>
        <v>20</v>
      </c>
      <c r="N263" s="71">
        <f t="shared" si="221"/>
        <v>20</v>
      </c>
      <c r="O263" s="72">
        <f t="shared" si="222"/>
        <v>0</v>
      </c>
      <c r="P263" s="134">
        <f t="shared" si="223"/>
        <v>0</v>
      </c>
      <c r="Q263" s="78">
        <f t="shared" si="250"/>
        <v>0</v>
      </c>
      <c r="R263" s="79"/>
      <c r="S263" s="80"/>
      <c r="T263" s="81"/>
      <c r="U263" s="70">
        <f t="shared" si="215"/>
        <v>20</v>
      </c>
      <c r="V263" s="71">
        <f t="shared" si="216"/>
        <v>20</v>
      </c>
      <c r="W263" s="72">
        <f t="shared" si="224"/>
        <v>0</v>
      </c>
      <c r="X263" s="134">
        <f t="shared" si="225"/>
        <v>0</v>
      </c>
      <c r="Y263" s="78">
        <f t="shared" si="251"/>
        <v>0</v>
      </c>
      <c r="Z263" s="79"/>
      <c r="AA263" s="80"/>
      <c r="AB263" s="81"/>
      <c r="AC263" s="70">
        <f t="shared" si="217"/>
        <v>20</v>
      </c>
      <c r="AD263" s="71">
        <f t="shared" si="256"/>
        <v>20</v>
      </c>
      <c r="AE263" s="72">
        <f t="shared" si="226"/>
        <v>0</v>
      </c>
      <c r="AF263" s="134">
        <f t="shared" si="227"/>
        <v>0</v>
      </c>
      <c r="AG263" s="78">
        <f t="shared" si="252"/>
        <v>0</v>
      </c>
      <c r="AH263" s="79"/>
      <c r="AI263" s="80"/>
      <c r="AJ263" s="81"/>
      <c r="AK263" s="70">
        <f t="shared" si="211"/>
        <v>20</v>
      </c>
      <c r="AL263" s="71">
        <f t="shared" si="257"/>
        <v>20</v>
      </c>
      <c r="AM263" s="72">
        <f t="shared" si="228"/>
        <v>0</v>
      </c>
      <c r="AN263" s="134">
        <f t="shared" si="229"/>
        <v>0</v>
      </c>
      <c r="AO263" s="78">
        <f t="shared" si="253"/>
        <v>0</v>
      </c>
      <c r="AP263" s="79"/>
      <c r="AQ263" s="80"/>
      <c r="AR263" s="81"/>
      <c r="AS263" s="70">
        <f t="shared" si="212"/>
        <v>20</v>
      </c>
      <c r="AT263" s="71">
        <f t="shared" si="258"/>
        <v>20</v>
      </c>
      <c r="AU263" s="72">
        <f t="shared" si="230"/>
        <v>0</v>
      </c>
      <c r="AV263" s="134">
        <f t="shared" si="231"/>
        <v>0</v>
      </c>
      <c r="AW263" s="78">
        <f t="shared" si="254"/>
        <v>-20</v>
      </c>
      <c r="AX263" s="79">
        <v>-20</v>
      </c>
      <c r="AY263" s="80"/>
      <c r="AZ263" s="81"/>
      <c r="BA263" s="70">
        <f t="shared" si="213"/>
        <v>0</v>
      </c>
      <c r="BB263" s="71">
        <f t="shared" si="259"/>
        <v>0</v>
      </c>
      <c r="BC263" s="72">
        <f t="shared" si="232"/>
        <v>0</v>
      </c>
      <c r="BD263" s="134">
        <f t="shared" si="233"/>
        <v>0</v>
      </c>
      <c r="BE263" s="78">
        <f t="shared" si="255"/>
        <v>0</v>
      </c>
      <c r="BF263" s="79"/>
      <c r="BG263" s="80"/>
      <c r="BH263" s="81"/>
      <c r="BI263" s="70">
        <f t="shared" si="214"/>
        <v>0</v>
      </c>
      <c r="BJ263" s="71">
        <f t="shared" si="260"/>
        <v>0</v>
      </c>
      <c r="BK263" s="72">
        <f t="shared" ref="BK263:BK311" si="263">BC263+BG263</f>
        <v>0</v>
      </c>
      <c r="BL263" s="134">
        <f t="shared" ref="BL263:BL311" si="264">BD263+BH263</f>
        <v>0</v>
      </c>
    </row>
    <row r="264" spans="1:64" ht="12.9" x14ac:dyDescent="0.35">
      <c r="A264" s="284"/>
      <c r="B264" s="238"/>
      <c r="C264" s="27" t="s">
        <v>294</v>
      </c>
      <c r="D264" s="25" t="s">
        <v>137</v>
      </c>
      <c r="E264" s="78"/>
      <c r="F264" s="79"/>
      <c r="G264" s="80"/>
      <c r="H264" s="81"/>
      <c r="I264" s="78"/>
      <c r="J264" s="79"/>
      <c r="K264" s="80"/>
      <c r="L264" s="81"/>
      <c r="M264" s="70"/>
      <c r="N264" s="71"/>
      <c r="O264" s="72"/>
      <c r="P264" s="134"/>
      <c r="Q264" s="78">
        <f t="shared" si="250"/>
        <v>23</v>
      </c>
      <c r="R264" s="79">
        <v>18</v>
      </c>
      <c r="S264" s="80"/>
      <c r="T264" s="81">
        <v>5</v>
      </c>
      <c r="U264" s="70">
        <f t="shared" ref="U264" si="265">SUM(X264,V264)</f>
        <v>23</v>
      </c>
      <c r="V264" s="71">
        <f t="shared" ref="V264" si="266">N264+R264</f>
        <v>18</v>
      </c>
      <c r="W264" s="72">
        <f t="shared" ref="W264" si="267">O264+S264</f>
        <v>0</v>
      </c>
      <c r="X264" s="134">
        <f t="shared" ref="X264" si="268">P264+T264</f>
        <v>5</v>
      </c>
      <c r="Y264" s="78">
        <f t="shared" si="251"/>
        <v>0</v>
      </c>
      <c r="Z264" s="79"/>
      <c r="AA264" s="80"/>
      <c r="AB264" s="81"/>
      <c r="AC264" s="70">
        <f t="shared" si="217"/>
        <v>23</v>
      </c>
      <c r="AD264" s="71">
        <f t="shared" si="256"/>
        <v>18</v>
      </c>
      <c r="AE264" s="72">
        <f t="shared" si="226"/>
        <v>0</v>
      </c>
      <c r="AF264" s="134">
        <f t="shared" si="227"/>
        <v>5</v>
      </c>
      <c r="AG264" s="78">
        <f t="shared" si="252"/>
        <v>0</v>
      </c>
      <c r="AH264" s="79"/>
      <c r="AI264" s="80"/>
      <c r="AJ264" s="81"/>
      <c r="AK264" s="70">
        <f t="shared" si="211"/>
        <v>23</v>
      </c>
      <c r="AL264" s="71">
        <f t="shared" si="257"/>
        <v>18</v>
      </c>
      <c r="AM264" s="72">
        <f t="shared" si="228"/>
        <v>0</v>
      </c>
      <c r="AN264" s="134">
        <f t="shared" si="229"/>
        <v>5</v>
      </c>
      <c r="AO264" s="78">
        <f t="shared" si="253"/>
        <v>0</v>
      </c>
      <c r="AP264" s="79"/>
      <c r="AQ264" s="80"/>
      <c r="AR264" s="81"/>
      <c r="AS264" s="70">
        <f t="shared" si="212"/>
        <v>23</v>
      </c>
      <c r="AT264" s="71">
        <f t="shared" si="258"/>
        <v>18</v>
      </c>
      <c r="AU264" s="72">
        <f t="shared" si="230"/>
        <v>0</v>
      </c>
      <c r="AV264" s="134">
        <f t="shared" si="231"/>
        <v>5</v>
      </c>
      <c r="AW264" s="78">
        <f t="shared" si="254"/>
        <v>-22.684999999999999</v>
      </c>
      <c r="AX264" s="79">
        <v>-18</v>
      </c>
      <c r="AY264" s="80"/>
      <c r="AZ264" s="81">
        <v>-4.6849999999999996</v>
      </c>
      <c r="BA264" s="70">
        <f t="shared" si="213"/>
        <v>0.31500000000000039</v>
      </c>
      <c r="BB264" s="71">
        <f t="shared" si="259"/>
        <v>0</v>
      </c>
      <c r="BC264" s="72">
        <f t="shared" si="232"/>
        <v>0</v>
      </c>
      <c r="BD264" s="134">
        <f t="shared" si="233"/>
        <v>0.31500000000000039</v>
      </c>
      <c r="BE264" s="78">
        <f t="shared" si="255"/>
        <v>0</v>
      </c>
      <c r="BF264" s="79"/>
      <c r="BG264" s="80"/>
      <c r="BH264" s="81"/>
      <c r="BI264" s="70">
        <f t="shared" si="214"/>
        <v>0.31500000000000039</v>
      </c>
      <c r="BJ264" s="71">
        <f t="shared" si="260"/>
        <v>0</v>
      </c>
      <c r="BK264" s="72">
        <f t="shared" si="263"/>
        <v>0</v>
      </c>
      <c r="BL264" s="134">
        <f t="shared" si="264"/>
        <v>0.31500000000000039</v>
      </c>
    </row>
    <row r="265" spans="1:64" s="138" customFormat="1" ht="12.45" x14ac:dyDescent="0.3">
      <c r="A265" s="135"/>
      <c r="B265" s="136" t="s">
        <v>17</v>
      </c>
      <c r="C265" s="42" t="s">
        <v>115</v>
      </c>
      <c r="D265" s="137"/>
      <c r="E265" s="73">
        <f>SUM(H265,F265)</f>
        <v>901.14399999999989</v>
      </c>
      <c r="F265" s="74">
        <f>SUM(F267:F278)</f>
        <v>895.75399999999991</v>
      </c>
      <c r="G265" s="75">
        <f>SUM(G267:G278)</f>
        <v>720.04</v>
      </c>
      <c r="H265" s="133">
        <f>SUM(H267:H278)</f>
        <v>5.39</v>
      </c>
      <c r="I265" s="73">
        <f>SUM(L265,J265)</f>
        <v>0</v>
      </c>
      <c r="J265" s="74">
        <f>SUM(J267:J278)</f>
        <v>0</v>
      </c>
      <c r="K265" s="75">
        <f>SUM(K267:K278)</f>
        <v>0</v>
      </c>
      <c r="L265" s="133">
        <f>SUM(L267:L278)</f>
        <v>0</v>
      </c>
      <c r="M265" s="73">
        <f t="shared" si="220"/>
        <v>901.14399999999989</v>
      </c>
      <c r="N265" s="74">
        <f t="shared" si="221"/>
        <v>895.75399999999991</v>
      </c>
      <c r="O265" s="75">
        <f t="shared" si="222"/>
        <v>720.04</v>
      </c>
      <c r="P265" s="133">
        <f t="shared" si="223"/>
        <v>5.39</v>
      </c>
      <c r="Q265" s="73">
        <f>SUM(T265,R265)</f>
        <v>-9.0809999999999995</v>
      </c>
      <c r="R265" s="74">
        <f>SUM(R267:R278)</f>
        <v>-9.0809999999999995</v>
      </c>
      <c r="S265" s="75">
        <f>SUM(S267:S278)</f>
        <v>-9.0129999999999999</v>
      </c>
      <c r="T265" s="133">
        <f>SUM(T267:T278)</f>
        <v>0</v>
      </c>
      <c r="U265" s="73">
        <f t="shared" si="215"/>
        <v>892.06299999999987</v>
      </c>
      <c r="V265" s="74">
        <f t="shared" si="216"/>
        <v>886.67299999999989</v>
      </c>
      <c r="W265" s="75">
        <f t="shared" si="224"/>
        <v>711.02699999999993</v>
      </c>
      <c r="X265" s="133">
        <f t="shared" si="225"/>
        <v>5.39</v>
      </c>
      <c r="Y265" s="73">
        <f>SUM(AB265,Z265)</f>
        <v>7.85</v>
      </c>
      <c r="Z265" s="74">
        <f>SUM(Z267:Z278)</f>
        <v>7.85</v>
      </c>
      <c r="AA265" s="75">
        <f>SUM(AA267:AA278)</f>
        <v>0</v>
      </c>
      <c r="AB265" s="133">
        <f>SUM(AB267:AB278)</f>
        <v>0</v>
      </c>
      <c r="AC265" s="73">
        <f t="shared" si="217"/>
        <v>899.9129999999999</v>
      </c>
      <c r="AD265" s="74">
        <f t="shared" si="256"/>
        <v>894.52299999999991</v>
      </c>
      <c r="AE265" s="75">
        <f t="shared" si="226"/>
        <v>711.02699999999993</v>
      </c>
      <c r="AF265" s="133">
        <f t="shared" si="227"/>
        <v>5.39</v>
      </c>
      <c r="AG265" s="73">
        <f>SUM(AJ265,AH265)</f>
        <v>1.9259999999999999</v>
      </c>
      <c r="AH265" s="74">
        <f>SUM(AH267:AH278)</f>
        <v>1.9259999999999999</v>
      </c>
      <c r="AI265" s="75">
        <f>SUM(AI267:AI278)</f>
        <v>0</v>
      </c>
      <c r="AJ265" s="133">
        <f>SUM(AJ267:AJ278)</f>
        <v>0</v>
      </c>
      <c r="AK265" s="73">
        <f t="shared" si="211"/>
        <v>901.83899999999994</v>
      </c>
      <c r="AL265" s="74">
        <f t="shared" si="257"/>
        <v>896.44899999999996</v>
      </c>
      <c r="AM265" s="75">
        <f t="shared" si="228"/>
        <v>711.02699999999993</v>
      </c>
      <c r="AN265" s="133">
        <f t="shared" si="229"/>
        <v>5.39</v>
      </c>
      <c r="AO265" s="73">
        <f>SUM(AR265,AP265)</f>
        <v>3.3330000000000002</v>
      </c>
      <c r="AP265" s="74">
        <f>SUM(AP267:AP278)</f>
        <v>0</v>
      </c>
      <c r="AQ265" s="75">
        <f>SUM(AQ267:AQ278)</f>
        <v>0</v>
      </c>
      <c r="AR265" s="133">
        <f>SUM(AR267:AR278)</f>
        <v>3.3330000000000002</v>
      </c>
      <c r="AS265" s="73">
        <f t="shared" si="212"/>
        <v>905.17199999999991</v>
      </c>
      <c r="AT265" s="74">
        <f t="shared" si="258"/>
        <v>896.44899999999996</v>
      </c>
      <c r="AU265" s="75">
        <f t="shared" si="230"/>
        <v>711.02699999999993</v>
      </c>
      <c r="AV265" s="133">
        <f t="shared" si="231"/>
        <v>8.722999999999999</v>
      </c>
      <c r="AW265" s="73">
        <f>SUM(AZ265,AX265)</f>
        <v>1.6089999999999998</v>
      </c>
      <c r="AX265" s="74">
        <f>SUM(AX267:AX278)</f>
        <v>1.4899999999999998</v>
      </c>
      <c r="AY265" s="75">
        <f>SUM(AY267:AY278)</f>
        <v>0</v>
      </c>
      <c r="AZ265" s="133">
        <f>SUM(AZ267:AZ278)</f>
        <v>0.11899999999999999</v>
      </c>
      <c r="BA265" s="73">
        <f t="shared" si="213"/>
        <v>906.78099999999995</v>
      </c>
      <c r="BB265" s="74">
        <f t="shared" si="259"/>
        <v>897.93899999999996</v>
      </c>
      <c r="BC265" s="75">
        <f t="shared" si="232"/>
        <v>711.02699999999993</v>
      </c>
      <c r="BD265" s="133">
        <f t="shared" si="233"/>
        <v>8.8419999999999987</v>
      </c>
      <c r="BE265" s="73">
        <f>SUM(BH265,BF265)</f>
        <v>-6.9659999999999984</v>
      </c>
      <c r="BF265" s="74">
        <f>SUM(BF267:BF278)</f>
        <v>-6.9659999999999984</v>
      </c>
      <c r="BG265" s="75">
        <f>SUM(BG267:BG278)</f>
        <v>-6.55</v>
      </c>
      <c r="BH265" s="133">
        <f>SUM(BH267:BH278)</f>
        <v>0</v>
      </c>
      <c r="BI265" s="73">
        <f t="shared" si="214"/>
        <v>899.81499999999994</v>
      </c>
      <c r="BJ265" s="74">
        <f>BB265+BF265</f>
        <v>890.97299999999996</v>
      </c>
      <c r="BK265" s="75">
        <f t="shared" si="263"/>
        <v>704.47699999999998</v>
      </c>
      <c r="BL265" s="133">
        <f t="shared" si="264"/>
        <v>8.8419999999999987</v>
      </c>
    </row>
    <row r="266" spans="1:64" ht="12.9" x14ac:dyDescent="0.35">
      <c r="A266" s="43"/>
      <c r="B266" s="4" t="s">
        <v>2</v>
      </c>
      <c r="C266" s="44"/>
      <c r="D266" s="28"/>
      <c r="E266" s="78">
        <f t="shared" ref="E266:E278" si="269">SUM(H266,F266)</f>
        <v>0</v>
      </c>
      <c r="F266" s="79">
        <v>0</v>
      </c>
      <c r="G266" s="80">
        <v>0</v>
      </c>
      <c r="H266" s="81">
        <v>0</v>
      </c>
      <c r="I266" s="78">
        <f t="shared" ref="I266:I278" si="270">SUM(L266,J266)</f>
        <v>0</v>
      </c>
      <c r="J266" s="79">
        <v>0</v>
      </c>
      <c r="K266" s="80">
        <v>0</v>
      </c>
      <c r="L266" s="81">
        <v>0</v>
      </c>
      <c r="M266" s="70">
        <f t="shared" si="220"/>
        <v>0</v>
      </c>
      <c r="N266" s="71">
        <f t="shared" si="221"/>
        <v>0</v>
      </c>
      <c r="O266" s="72">
        <f t="shared" si="222"/>
        <v>0</v>
      </c>
      <c r="P266" s="134">
        <f t="shared" si="223"/>
        <v>0</v>
      </c>
      <c r="Q266" s="78">
        <f t="shared" ref="Q266:Q278" si="271">SUM(T266,R266)</f>
        <v>0</v>
      </c>
      <c r="R266" s="79">
        <v>0</v>
      </c>
      <c r="S266" s="80">
        <v>0</v>
      </c>
      <c r="T266" s="81">
        <v>0</v>
      </c>
      <c r="U266" s="70">
        <f t="shared" si="215"/>
        <v>0</v>
      </c>
      <c r="V266" s="71">
        <f t="shared" si="216"/>
        <v>0</v>
      </c>
      <c r="W266" s="72">
        <f t="shared" si="224"/>
        <v>0</v>
      </c>
      <c r="X266" s="134">
        <f t="shared" si="225"/>
        <v>0</v>
      </c>
      <c r="Y266" s="78">
        <f t="shared" ref="Y266:Y278" si="272">SUM(AB266,Z266)</f>
        <v>0</v>
      </c>
      <c r="Z266" s="79">
        <v>0</v>
      </c>
      <c r="AA266" s="80">
        <v>0</v>
      </c>
      <c r="AB266" s="81">
        <v>0</v>
      </c>
      <c r="AC266" s="70">
        <f t="shared" si="217"/>
        <v>0</v>
      </c>
      <c r="AD266" s="71">
        <f t="shared" si="256"/>
        <v>0</v>
      </c>
      <c r="AE266" s="72">
        <f t="shared" si="226"/>
        <v>0</v>
      </c>
      <c r="AF266" s="134">
        <f t="shared" si="227"/>
        <v>0</v>
      </c>
      <c r="AG266" s="78">
        <f t="shared" ref="AG266:AG278" si="273">SUM(AJ266,AH266)</f>
        <v>0</v>
      </c>
      <c r="AH266" s="79">
        <v>0</v>
      </c>
      <c r="AI266" s="80">
        <v>0</v>
      </c>
      <c r="AJ266" s="81">
        <v>0</v>
      </c>
      <c r="AK266" s="70">
        <f t="shared" si="211"/>
        <v>0</v>
      </c>
      <c r="AL266" s="71">
        <f t="shared" si="257"/>
        <v>0</v>
      </c>
      <c r="AM266" s="72">
        <f t="shared" si="228"/>
        <v>0</v>
      </c>
      <c r="AN266" s="134">
        <f t="shared" si="229"/>
        <v>0</v>
      </c>
      <c r="AO266" s="78">
        <f t="shared" ref="AO266:AO278" si="274">SUM(AR266,AP266)</f>
        <v>0</v>
      </c>
      <c r="AP266" s="79">
        <v>0</v>
      </c>
      <c r="AQ266" s="80">
        <v>0</v>
      </c>
      <c r="AR266" s="81">
        <v>0</v>
      </c>
      <c r="AS266" s="70">
        <f t="shared" si="212"/>
        <v>0</v>
      </c>
      <c r="AT266" s="71">
        <f t="shared" si="258"/>
        <v>0</v>
      </c>
      <c r="AU266" s="72">
        <f t="shared" si="230"/>
        <v>0</v>
      </c>
      <c r="AV266" s="134">
        <f t="shared" si="231"/>
        <v>0</v>
      </c>
      <c r="AW266" s="78">
        <f t="shared" ref="AW266:AW278" si="275">SUM(AZ266,AX266)</f>
        <v>0</v>
      </c>
      <c r="AX266" s="79">
        <v>0</v>
      </c>
      <c r="AY266" s="80">
        <v>0</v>
      </c>
      <c r="AZ266" s="81">
        <v>0</v>
      </c>
      <c r="BA266" s="70">
        <f t="shared" si="213"/>
        <v>0</v>
      </c>
      <c r="BB266" s="71">
        <f t="shared" si="259"/>
        <v>0</v>
      </c>
      <c r="BC266" s="72">
        <f t="shared" si="232"/>
        <v>0</v>
      </c>
      <c r="BD266" s="134">
        <f t="shared" si="233"/>
        <v>0</v>
      </c>
      <c r="BE266" s="78">
        <f t="shared" ref="BE266:BE278" si="276">SUM(BH266,BF266)</f>
        <v>0</v>
      </c>
      <c r="BF266" s="79">
        <v>0</v>
      </c>
      <c r="BG266" s="80">
        <v>0</v>
      </c>
      <c r="BH266" s="81">
        <v>0</v>
      </c>
      <c r="BI266" s="70">
        <f t="shared" si="214"/>
        <v>0</v>
      </c>
      <c r="BJ266" s="71">
        <f t="shared" si="260"/>
        <v>0</v>
      </c>
      <c r="BK266" s="72">
        <f t="shared" si="263"/>
        <v>0</v>
      </c>
      <c r="BL266" s="134">
        <f t="shared" si="264"/>
        <v>0</v>
      </c>
    </row>
    <row r="267" spans="1:64" ht="12.9" x14ac:dyDescent="0.35">
      <c r="A267" s="25" t="s">
        <v>22</v>
      </c>
      <c r="B267" s="26" t="s">
        <v>34</v>
      </c>
      <c r="C267" s="27" t="s">
        <v>90</v>
      </c>
      <c r="D267" s="40" t="s">
        <v>125</v>
      </c>
      <c r="E267" s="78">
        <f t="shared" si="269"/>
        <v>0.4</v>
      </c>
      <c r="F267" s="79">
        <v>0.4</v>
      </c>
      <c r="G267" s="80"/>
      <c r="H267" s="81"/>
      <c r="I267" s="78">
        <f t="shared" si="270"/>
        <v>0</v>
      </c>
      <c r="J267" s="79"/>
      <c r="K267" s="80"/>
      <c r="L267" s="81"/>
      <c r="M267" s="70">
        <f t="shared" si="220"/>
        <v>0.4</v>
      </c>
      <c r="N267" s="71">
        <f t="shared" si="221"/>
        <v>0.4</v>
      </c>
      <c r="O267" s="72">
        <f t="shared" si="222"/>
        <v>0</v>
      </c>
      <c r="P267" s="134">
        <f t="shared" si="223"/>
        <v>0</v>
      </c>
      <c r="Q267" s="78">
        <f t="shared" si="271"/>
        <v>0</v>
      </c>
      <c r="R267" s="79"/>
      <c r="S267" s="80"/>
      <c r="T267" s="81"/>
      <c r="U267" s="70">
        <f t="shared" si="215"/>
        <v>0.4</v>
      </c>
      <c r="V267" s="71">
        <f t="shared" si="216"/>
        <v>0.4</v>
      </c>
      <c r="W267" s="72">
        <f t="shared" si="224"/>
        <v>0</v>
      </c>
      <c r="X267" s="134">
        <f t="shared" si="225"/>
        <v>0</v>
      </c>
      <c r="Y267" s="78">
        <f t="shared" si="272"/>
        <v>0</v>
      </c>
      <c r="Z267" s="79"/>
      <c r="AA267" s="80"/>
      <c r="AB267" s="81"/>
      <c r="AC267" s="70">
        <f t="shared" si="217"/>
        <v>0.4</v>
      </c>
      <c r="AD267" s="71">
        <f t="shared" si="256"/>
        <v>0.4</v>
      </c>
      <c r="AE267" s="72">
        <f t="shared" si="226"/>
        <v>0</v>
      </c>
      <c r="AF267" s="134">
        <f t="shared" si="227"/>
        <v>0</v>
      </c>
      <c r="AG267" s="78">
        <f t="shared" si="273"/>
        <v>0</v>
      </c>
      <c r="AH267" s="79"/>
      <c r="AI267" s="80"/>
      <c r="AJ267" s="81"/>
      <c r="AK267" s="70">
        <f t="shared" si="211"/>
        <v>0.4</v>
      </c>
      <c r="AL267" s="71">
        <f t="shared" si="257"/>
        <v>0.4</v>
      </c>
      <c r="AM267" s="72">
        <f t="shared" si="228"/>
        <v>0</v>
      </c>
      <c r="AN267" s="134">
        <f t="shared" si="229"/>
        <v>0</v>
      </c>
      <c r="AO267" s="78">
        <f t="shared" si="274"/>
        <v>0</v>
      </c>
      <c r="AP267" s="79"/>
      <c r="AQ267" s="80"/>
      <c r="AR267" s="81"/>
      <c r="AS267" s="70">
        <f t="shared" si="212"/>
        <v>0.4</v>
      </c>
      <c r="AT267" s="71">
        <f t="shared" si="258"/>
        <v>0.4</v>
      </c>
      <c r="AU267" s="72">
        <f t="shared" si="230"/>
        <v>0</v>
      </c>
      <c r="AV267" s="134">
        <f t="shared" si="231"/>
        <v>0</v>
      </c>
      <c r="AW267" s="78">
        <f t="shared" si="275"/>
        <v>0.5</v>
      </c>
      <c r="AX267" s="79">
        <v>0.5</v>
      </c>
      <c r="AY267" s="80"/>
      <c r="AZ267" s="81"/>
      <c r="BA267" s="70">
        <f t="shared" si="213"/>
        <v>0.9</v>
      </c>
      <c r="BB267" s="71">
        <f t="shared" si="259"/>
        <v>0.9</v>
      </c>
      <c r="BC267" s="72">
        <f t="shared" si="232"/>
        <v>0</v>
      </c>
      <c r="BD267" s="134">
        <f t="shared" si="233"/>
        <v>0</v>
      </c>
      <c r="BE267" s="78">
        <f t="shared" si="276"/>
        <v>1.04</v>
      </c>
      <c r="BF267" s="79">
        <v>1.04</v>
      </c>
      <c r="BG267" s="80"/>
      <c r="BH267" s="81"/>
      <c r="BI267" s="70">
        <f t="shared" si="214"/>
        <v>1.94</v>
      </c>
      <c r="BJ267" s="71">
        <f t="shared" si="260"/>
        <v>1.94</v>
      </c>
      <c r="BK267" s="72">
        <f t="shared" si="263"/>
        <v>0</v>
      </c>
      <c r="BL267" s="134">
        <f t="shared" si="264"/>
        <v>0</v>
      </c>
    </row>
    <row r="268" spans="1:64" ht="12.9" hidden="1" x14ac:dyDescent="0.35">
      <c r="A268" s="235" t="s">
        <v>25</v>
      </c>
      <c r="B268" s="237" t="s">
        <v>41</v>
      </c>
      <c r="C268" s="27"/>
      <c r="D268" s="40" t="s">
        <v>125</v>
      </c>
      <c r="E268" s="78">
        <f t="shared" si="269"/>
        <v>0</v>
      </c>
      <c r="F268" s="79"/>
      <c r="G268" s="80"/>
      <c r="H268" s="81"/>
      <c r="I268" s="78">
        <f t="shared" si="270"/>
        <v>0</v>
      </c>
      <c r="J268" s="79"/>
      <c r="K268" s="80"/>
      <c r="L268" s="81"/>
      <c r="M268" s="70">
        <f t="shared" si="220"/>
        <v>0</v>
      </c>
      <c r="N268" s="71">
        <f t="shared" si="221"/>
        <v>0</v>
      </c>
      <c r="O268" s="72">
        <f t="shared" si="222"/>
        <v>0</v>
      </c>
      <c r="P268" s="134">
        <f t="shared" si="223"/>
        <v>0</v>
      </c>
      <c r="Q268" s="78">
        <f t="shared" si="271"/>
        <v>0</v>
      </c>
      <c r="R268" s="79"/>
      <c r="S268" s="80"/>
      <c r="T268" s="81"/>
      <c r="U268" s="70">
        <f t="shared" si="215"/>
        <v>0</v>
      </c>
      <c r="V268" s="71">
        <f t="shared" si="216"/>
        <v>0</v>
      </c>
      <c r="W268" s="72">
        <f t="shared" si="224"/>
        <v>0</v>
      </c>
      <c r="X268" s="134">
        <f t="shared" si="225"/>
        <v>0</v>
      </c>
      <c r="Y268" s="78">
        <f t="shared" si="272"/>
        <v>0</v>
      </c>
      <c r="Z268" s="79"/>
      <c r="AA268" s="80"/>
      <c r="AB268" s="81"/>
      <c r="AC268" s="70">
        <f t="shared" si="217"/>
        <v>0</v>
      </c>
      <c r="AD268" s="71">
        <f t="shared" si="256"/>
        <v>0</v>
      </c>
      <c r="AE268" s="72">
        <f t="shared" si="226"/>
        <v>0</v>
      </c>
      <c r="AF268" s="134">
        <f t="shared" si="227"/>
        <v>0</v>
      </c>
      <c r="AG268" s="78">
        <f t="shared" si="273"/>
        <v>0</v>
      </c>
      <c r="AH268" s="79"/>
      <c r="AI268" s="80"/>
      <c r="AJ268" s="81"/>
      <c r="AK268" s="70">
        <f t="shared" si="211"/>
        <v>0</v>
      </c>
      <c r="AL268" s="71">
        <f t="shared" si="257"/>
        <v>0</v>
      </c>
      <c r="AM268" s="72">
        <f t="shared" si="228"/>
        <v>0</v>
      </c>
      <c r="AN268" s="134">
        <f t="shared" si="229"/>
        <v>0</v>
      </c>
      <c r="AO268" s="78">
        <f t="shared" si="274"/>
        <v>0</v>
      </c>
      <c r="AP268" s="79"/>
      <c r="AQ268" s="80"/>
      <c r="AR268" s="81"/>
      <c r="AS268" s="70">
        <f t="shared" si="212"/>
        <v>0</v>
      </c>
      <c r="AT268" s="71">
        <f t="shared" si="258"/>
        <v>0</v>
      </c>
      <c r="AU268" s="72">
        <f t="shared" si="230"/>
        <v>0</v>
      </c>
      <c r="AV268" s="134">
        <f t="shared" si="231"/>
        <v>0</v>
      </c>
      <c r="AW268" s="78">
        <f t="shared" si="275"/>
        <v>0</v>
      </c>
      <c r="AX268" s="79"/>
      <c r="AY268" s="80"/>
      <c r="AZ268" s="81"/>
      <c r="BA268" s="70">
        <f t="shared" si="213"/>
        <v>0</v>
      </c>
      <c r="BB268" s="71">
        <f t="shared" si="259"/>
        <v>0</v>
      </c>
      <c r="BC268" s="72">
        <f t="shared" si="232"/>
        <v>0</v>
      </c>
      <c r="BD268" s="134">
        <f t="shared" si="233"/>
        <v>0</v>
      </c>
      <c r="BE268" s="78">
        <f t="shared" si="276"/>
        <v>0</v>
      </c>
      <c r="BF268" s="79"/>
      <c r="BG268" s="80"/>
      <c r="BH268" s="81"/>
      <c r="BI268" s="70">
        <f t="shared" si="214"/>
        <v>0</v>
      </c>
      <c r="BJ268" s="71">
        <f t="shared" si="260"/>
        <v>0</v>
      </c>
      <c r="BK268" s="72">
        <f t="shared" si="263"/>
        <v>0</v>
      </c>
      <c r="BL268" s="134">
        <f t="shared" si="264"/>
        <v>0</v>
      </c>
    </row>
    <row r="269" spans="1:64" ht="12.9" hidden="1" x14ac:dyDescent="0.35">
      <c r="A269" s="236"/>
      <c r="B269" s="238"/>
      <c r="C269" s="27"/>
      <c r="D269" s="40" t="s">
        <v>137</v>
      </c>
      <c r="E269" s="78">
        <f t="shared" si="269"/>
        <v>0</v>
      </c>
      <c r="F269" s="79"/>
      <c r="G269" s="80"/>
      <c r="H269" s="81"/>
      <c r="I269" s="78">
        <f t="shared" si="270"/>
        <v>0</v>
      </c>
      <c r="J269" s="79"/>
      <c r="K269" s="80"/>
      <c r="L269" s="81"/>
      <c r="M269" s="70">
        <f t="shared" si="220"/>
        <v>0</v>
      </c>
      <c r="N269" s="71">
        <f t="shared" si="221"/>
        <v>0</v>
      </c>
      <c r="O269" s="72">
        <f t="shared" si="222"/>
        <v>0</v>
      </c>
      <c r="P269" s="134">
        <f t="shared" si="223"/>
        <v>0</v>
      </c>
      <c r="Q269" s="78">
        <f t="shared" si="271"/>
        <v>0</v>
      </c>
      <c r="R269" s="79"/>
      <c r="S269" s="80"/>
      <c r="T269" s="81"/>
      <c r="U269" s="70">
        <f t="shared" si="215"/>
        <v>0</v>
      </c>
      <c r="V269" s="71">
        <f t="shared" si="216"/>
        <v>0</v>
      </c>
      <c r="W269" s="72">
        <f t="shared" si="224"/>
        <v>0</v>
      </c>
      <c r="X269" s="134">
        <f t="shared" si="225"/>
        <v>0</v>
      </c>
      <c r="Y269" s="78">
        <f t="shared" si="272"/>
        <v>0</v>
      </c>
      <c r="Z269" s="79"/>
      <c r="AA269" s="80"/>
      <c r="AB269" s="81"/>
      <c r="AC269" s="70">
        <f t="shared" si="217"/>
        <v>0</v>
      </c>
      <c r="AD269" s="71">
        <f t="shared" si="256"/>
        <v>0</v>
      </c>
      <c r="AE269" s="72">
        <f t="shared" si="226"/>
        <v>0</v>
      </c>
      <c r="AF269" s="134">
        <f t="shared" si="227"/>
        <v>0</v>
      </c>
      <c r="AG269" s="78">
        <f t="shared" si="273"/>
        <v>0</v>
      </c>
      <c r="AH269" s="79"/>
      <c r="AI269" s="80"/>
      <c r="AJ269" s="81"/>
      <c r="AK269" s="70">
        <f t="shared" si="211"/>
        <v>0</v>
      </c>
      <c r="AL269" s="71">
        <f t="shared" si="257"/>
        <v>0</v>
      </c>
      <c r="AM269" s="72">
        <f t="shared" si="228"/>
        <v>0</v>
      </c>
      <c r="AN269" s="134">
        <f t="shared" si="229"/>
        <v>0</v>
      </c>
      <c r="AO269" s="78">
        <f t="shared" si="274"/>
        <v>0</v>
      </c>
      <c r="AP269" s="79"/>
      <c r="AQ269" s="80"/>
      <c r="AR269" s="81"/>
      <c r="AS269" s="70">
        <f t="shared" si="212"/>
        <v>0</v>
      </c>
      <c r="AT269" s="71">
        <f t="shared" si="258"/>
        <v>0</v>
      </c>
      <c r="AU269" s="72">
        <f t="shared" si="230"/>
        <v>0</v>
      </c>
      <c r="AV269" s="134">
        <f t="shared" si="231"/>
        <v>0</v>
      </c>
      <c r="AW269" s="78">
        <f t="shared" si="275"/>
        <v>0</v>
      </c>
      <c r="AX269" s="79"/>
      <c r="AY269" s="80"/>
      <c r="AZ269" s="81"/>
      <c r="BA269" s="70">
        <f t="shared" si="213"/>
        <v>0</v>
      </c>
      <c r="BB269" s="71">
        <f t="shared" si="259"/>
        <v>0</v>
      </c>
      <c r="BC269" s="72">
        <f t="shared" si="232"/>
        <v>0</v>
      </c>
      <c r="BD269" s="134">
        <f t="shared" si="233"/>
        <v>0</v>
      </c>
      <c r="BE269" s="78">
        <f t="shared" si="276"/>
        <v>0</v>
      </c>
      <c r="BF269" s="79"/>
      <c r="BG269" s="80"/>
      <c r="BH269" s="81"/>
      <c r="BI269" s="70">
        <f t="shared" si="214"/>
        <v>0</v>
      </c>
      <c r="BJ269" s="71">
        <f t="shared" si="260"/>
        <v>0</v>
      </c>
      <c r="BK269" s="72">
        <f t="shared" si="263"/>
        <v>0</v>
      </c>
      <c r="BL269" s="134">
        <f t="shared" si="264"/>
        <v>0</v>
      </c>
    </row>
    <row r="270" spans="1:64" ht="14.4" customHeight="1" x14ac:dyDescent="0.35">
      <c r="A270" s="231" t="s">
        <v>30</v>
      </c>
      <c r="B270" s="237" t="s">
        <v>43</v>
      </c>
      <c r="C270" s="27" t="s">
        <v>91</v>
      </c>
      <c r="D270" s="25" t="s">
        <v>125</v>
      </c>
      <c r="E270" s="78">
        <f t="shared" si="269"/>
        <v>887.42399999999998</v>
      </c>
      <c r="F270" s="79">
        <f>839.13+37.904+5</f>
        <v>882.03399999999999</v>
      </c>
      <c r="G270" s="80">
        <f>701.95+10.3-1.1</f>
        <v>711.15</v>
      </c>
      <c r="H270" s="81">
        <v>5.39</v>
      </c>
      <c r="I270" s="78">
        <f t="shared" si="270"/>
        <v>0</v>
      </c>
      <c r="J270" s="79"/>
      <c r="K270" s="80"/>
      <c r="L270" s="81"/>
      <c r="M270" s="70">
        <f t="shared" si="220"/>
        <v>887.42399999999998</v>
      </c>
      <c r="N270" s="71">
        <f t="shared" si="221"/>
        <v>882.03399999999999</v>
      </c>
      <c r="O270" s="72">
        <f t="shared" si="222"/>
        <v>711.15</v>
      </c>
      <c r="P270" s="134">
        <f t="shared" si="223"/>
        <v>5.39</v>
      </c>
      <c r="Q270" s="78">
        <f t="shared" si="271"/>
        <v>-8.9499999999999993</v>
      </c>
      <c r="R270" s="79">
        <v>-8.9499999999999993</v>
      </c>
      <c r="S270" s="80">
        <v>-8.8219999999999992</v>
      </c>
      <c r="T270" s="81"/>
      <c r="U270" s="70">
        <f t="shared" si="215"/>
        <v>878.47399999999993</v>
      </c>
      <c r="V270" s="71">
        <f t="shared" si="216"/>
        <v>873.08399999999995</v>
      </c>
      <c r="W270" s="72">
        <f t="shared" si="224"/>
        <v>702.32799999999997</v>
      </c>
      <c r="X270" s="134">
        <f t="shared" si="225"/>
        <v>5.39</v>
      </c>
      <c r="Y270" s="78">
        <f t="shared" si="272"/>
        <v>-0.5</v>
      </c>
      <c r="Z270" s="79">
        <v>-0.5</v>
      </c>
      <c r="AA270" s="80"/>
      <c r="AB270" s="81"/>
      <c r="AC270" s="70">
        <f t="shared" si="217"/>
        <v>877.97399999999993</v>
      </c>
      <c r="AD270" s="71">
        <f t="shared" si="256"/>
        <v>872.58399999999995</v>
      </c>
      <c r="AE270" s="72">
        <f t="shared" si="226"/>
        <v>702.32799999999997</v>
      </c>
      <c r="AF270" s="134">
        <f t="shared" si="227"/>
        <v>5.39</v>
      </c>
      <c r="AG270" s="78">
        <f t="shared" si="273"/>
        <v>1.9259999999999999</v>
      </c>
      <c r="AH270" s="79">
        <v>1.9259999999999999</v>
      </c>
      <c r="AI270" s="80"/>
      <c r="AJ270" s="81"/>
      <c r="AK270" s="70">
        <f t="shared" si="211"/>
        <v>879.9</v>
      </c>
      <c r="AL270" s="71">
        <f t="shared" si="257"/>
        <v>874.51</v>
      </c>
      <c r="AM270" s="72">
        <f t="shared" si="228"/>
        <v>702.32799999999997</v>
      </c>
      <c r="AN270" s="134">
        <f t="shared" si="229"/>
        <v>5.39</v>
      </c>
      <c r="AO270" s="78">
        <f t="shared" si="274"/>
        <v>3.3330000000000002</v>
      </c>
      <c r="AP270" s="79"/>
      <c r="AQ270" s="80"/>
      <c r="AR270" s="81">
        <v>3.3330000000000002</v>
      </c>
      <c r="AS270" s="70">
        <f t="shared" si="212"/>
        <v>883.23299999999995</v>
      </c>
      <c r="AT270" s="71">
        <f t="shared" si="258"/>
        <v>874.51</v>
      </c>
      <c r="AU270" s="72">
        <f t="shared" si="230"/>
        <v>702.32799999999997</v>
      </c>
      <c r="AV270" s="134">
        <f t="shared" si="231"/>
        <v>8.722999999999999</v>
      </c>
      <c r="AW270" s="78">
        <f t="shared" si="275"/>
        <v>1.0190000000000001</v>
      </c>
      <c r="AX270" s="79">
        <v>0.9</v>
      </c>
      <c r="AY270" s="80"/>
      <c r="AZ270" s="81">
        <v>0.11899999999999999</v>
      </c>
      <c r="BA270" s="70">
        <f t="shared" si="213"/>
        <v>884.25199999999995</v>
      </c>
      <c r="BB270" s="71">
        <f t="shared" si="259"/>
        <v>875.41</v>
      </c>
      <c r="BC270" s="72">
        <f t="shared" si="232"/>
        <v>702.32799999999997</v>
      </c>
      <c r="BD270" s="134">
        <f t="shared" si="233"/>
        <v>8.8419999999999987</v>
      </c>
      <c r="BE270" s="78">
        <f t="shared" si="276"/>
        <v>-13.1</v>
      </c>
      <c r="BF270" s="79">
        <f>-13.1</f>
        <v>-13.1</v>
      </c>
      <c r="BG270" s="80">
        <v>-6.55</v>
      </c>
      <c r="BH270" s="81"/>
      <c r="BI270" s="70">
        <f t="shared" si="214"/>
        <v>871.15199999999993</v>
      </c>
      <c r="BJ270" s="71">
        <f t="shared" si="260"/>
        <v>862.31</v>
      </c>
      <c r="BK270" s="72">
        <f t="shared" si="263"/>
        <v>695.77800000000002</v>
      </c>
      <c r="BL270" s="134">
        <f t="shared" si="264"/>
        <v>8.8419999999999987</v>
      </c>
    </row>
    <row r="271" spans="1:64" ht="12.9" x14ac:dyDescent="0.35">
      <c r="A271" s="241"/>
      <c r="B271" s="243"/>
      <c r="C271" s="27" t="s">
        <v>92</v>
      </c>
      <c r="D271" s="25" t="s">
        <v>137</v>
      </c>
      <c r="E271" s="78">
        <f t="shared" si="269"/>
        <v>9.02</v>
      </c>
      <c r="F271" s="79">
        <v>9.02</v>
      </c>
      <c r="G271" s="80">
        <v>8.89</v>
      </c>
      <c r="H271" s="81"/>
      <c r="I271" s="78">
        <f t="shared" si="270"/>
        <v>0</v>
      </c>
      <c r="J271" s="79"/>
      <c r="K271" s="80"/>
      <c r="L271" s="81"/>
      <c r="M271" s="70">
        <f t="shared" si="220"/>
        <v>9.02</v>
      </c>
      <c r="N271" s="71">
        <f t="shared" si="221"/>
        <v>9.02</v>
      </c>
      <c r="O271" s="72">
        <f t="shared" si="222"/>
        <v>8.89</v>
      </c>
      <c r="P271" s="134">
        <f t="shared" si="223"/>
        <v>0</v>
      </c>
      <c r="Q271" s="78">
        <f t="shared" si="271"/>
        <v>-0.19400000000000001</v>
      </c>
      <c r="R271" s="79">
        <v>-0.19400000000000001</v>
      </c>
      <c r="S271" s="80">
        <v>-0.191</v>
      </c>
      <c r="T271" s="81"/>
      <c r="U271" s="70">
        <f t="shared" si="215"/>
        <v>8.8259999999999987</v>
      </c>
      <c r="V271" s="71">
        <f t="shared" si="216"/>
        <v>8.8259999999999987</v>
      </c>
      <c r="W271" s="72">
        <f t="shared" si="224"/>
        <v>8.6989999999999998</v>
      </c>
      <c r="X271" s="134">
        <f t="shared" si="225"/>
        <v>0</v>
      </c>
      <c r="Y271" s="78">
        <f t="shared" si="272"/>
        <v>0</v>
      </c>
      <c r="Z271" s="79"/>
      <c r="AA271" s="80"/>
      <c r="AB271" s="81"/>
      <c r="AC271" s="70">
        <f t="shared" si="217"/>
        <v>8.8259999999999987</v>
      </c>
      <c r="AD271" s="71">
        <f t="shared" si="256"/>
        <v>8.8259999999999987</v>
      </c>
      <c r="AE271" s="72">
        <f t="shared" si="226"/>
        <v>8.6989999999999998</v>
      </c>
      <c r="AF271" s="134">
        <f t="shared" si="227"/>
        <v>0</v>
      </c>
      <c r="AG271" s="78">
        <f t="shared" si="273"/>
        <v>0</v>
      </c>
      <c r="AH271" s="79"/>
      <c r="AI271" s="80"/>
      <c r="AJ271" s="81"/>
      <c r="AK271" s="70">
        <f t="shared" si="211"/>
        <v>8.8259999999999987</v>
      </c>
      <c r="AL271" s="71">
        <f t="shared" si="257"/>
        <v>8.8259999999999987</v>
      </c>
      <c r="AM271" s="72">
        <f t="shared" si="228"/>
        <v>8.6989999999999998</v>
      </c>
      <c r="AN271" s="134">
        <f t="shared" si="229"/>
        <v>0</v>
      </c>
      <c r="AO271" s="78">
        <f t="shared" si="274"/>
        <v>0</v>
      </c>
      <c r="AP271" s="79"/>
      <c r="AQ271" s="80"/>
      <c r="AR271" s="81"/>
      <c r="AS271" s="70">
        <f t="shared" si="212"/>
        <v>8.8259999999999987</v>
      </c>
      <c r="AT271" s="71">
        <f t="shared" si="258"/>
        <v>8.8259999999999987</v>
      </c>
      <c r="AU271" s="72">
        <f t="shared" si="230"/>
        <v>8.6989999999999998</v>
      </c>
      <c r="AV271" s="134">
        <f t="shared" si="231"/>
        <v>0</v>
      </c>
      <c r="AW271" s="78">
        <f t="shared" si="275"/>
        <v>0</v>
      </c>
      <c r="AX271" s="79"/>
      <c r="AY271" s="80"/>
      <c r="AZ271" s="81"/>
      <c r="BA271" s="70">
        <f t="shared" si="213"/>
        <v>8.8259999999999987</v>
      </c>
      <c r="BB271" s="71">
        <f t="shared" si="259"/>
        <v>8.8259999999999987</v>
      </c>
      <c r="BC271" s="72">
        <f t="shared" si="232"/>
        <v>8.6989999999999998</v>
      </c>
      <c r="BD271" s="134">
        <f t="shared" si="233"/>
        <v>0</v>
      </c>
      <c r="BE271" s="78">
        <f t="shared" si="276"/>
        <v>0</v>
      </c>
      <c r="BF271" s="79"/>
      <c r="BG271" s="80"/>
      <c r="BH271" s="81"/>
      <c r="BI271" s="70">
        <f t="shared" si="214"/>
        <v>8.8259999999999987</v>
      </c>
      <c r="BJ271" s="71">
        <f t="shared" si="260"/>
        <v>8.8259999999999987</v>
      </c>
      <c r="BK271" s="72">
        <f t="shared" si="263"/>
        <v>8.6989999999999998</v>
      </c>
      <c r="BL271" s="134">
        <f t="shared" si="264"/>
        <v>0</v>
      </c>
    </row>
    <row r="272" spans="1:64" ht="12.9" x14ac:dyDescent="0.35">
      <c r="A272" s="232"/>
      <c r="B272" s="238"/>
      <c r="C272" s="27" t="s">
        <v>93</v>
      </c>
      <c r="D272" s="25" t="s">
        <v>187</v>
      </c>
      <c r="E272" s="78"/>
      <c r="F272" s="79"/>
      <c r="G272" s="80"/>
      <c r="H272" s="81"/>
      <c r="I272" s="78"/>
      <c r="J272" s="79"/>
      <c r="K272" s="80"/>
      <c r="L272" s="81"/>
      <c r="M272" s="70"/>
      <c r="N272" s="71"/>
      <c r="O272" s="72"/>
      <c r="P272" s="134"/>
      <c r="Q272" s="78"/>
      <c r="R272" s="79"/>
      <c r="S272" s="80"/>
      <c r="T272" s="81"/>
      <c r="U272" s="70"/>
      <c r="V272" s="71"/>
      <c r="W272" s="72"/>
      <c r="X272" s="134"/>
      <c r="Y272" s="78"/>
      <c r="Z272" s="79"/>
      <c r="AA272" s="80"/>
      <c r="AB272" s="81"/>
      <c r="AC272" s="70"/>
      <c r="AD272" s="71"/>
      <c r="AE272" s="72"/>
      <c r="AF272" s="134"/>
      <c r="AG272" s="78"/>
      <c r="AH272" s="79"/>
      <c r="AI272" s="80"/>
      <c r="AJ272" s="81"/>
      <c r="AK272" s="70"/>
      <c r="AL272" s="71"/>
      <c r="AM272" s="72"/>
      <c r="AN272" s="134"/>
      <c r="AO272" s="78"/>
      <c r="AP272" s="79"/>
      <c r="AQ272" s="80"/>
      <c r="AR272" s="81"/>
      <c r="AS272" s="70"/>
      <c r="AT272" s="71"/>
      <c r="AU272" s="72"/>
      <c r="AV272" s="134"/>
      <c r="AW272" s="78"/>
      <c r="AX272" s="79"/>
      <c r="AY272" s="80"/>
      <c r="AZ272" s="81"/>
      <c r="BA272" s="70"/>
      <c r="BB272" s="71"/>
      <c r="BC272" s="72"/>
      <c r="BD272" s="134"/>
      <c r="BE272" s="78">
        <f t="shared" si="276"/>
        <v>5.0940000000000003</v>
      </c>
      <c r="BF272" s="79">
        <v>5.0940000000000003</v>
      </c>
      <c r="BG272" s="80"/>
      <c r="BH272" s="81"/>
      <c r="BI272" s="70">
        <f t="shared" ref="BI272" si="277">SUM(BL272,BJ272)</f>
        <v>5.0940000000000003</v>
      </c>
      <c r="BJ272" s="71">
        <f t="shared" ref="BJ272" si="278">BB272+BF272</f>
        <v>5.0940000000000003</v>
      </c>
      <c r="BK272" s="72">
        <f t="shared" ref="BK272" si="279">BC272+BG272</f>
        <v>0</v>
      </c>
      <c r="BL272" s="134"/>
    </row>
    <row r="273" spans="1:64" ht="12.9" x14ac:dyDescent="0.35">
      <c r="A273" s="283" t="s">
        <v>33</v>
      </c>
      <c r="B273" s="233" t="s">
        <v>45</v>
      </c>
      <c r="C273" s="27" t="s">
        <v>116</v>
      </c>
      <c r="D273" s="25" t="s">
        <v>125</v>
      </c>
      <c r="E273" s="78">
        <f t="shared" si="269"/>
        <v>0.3</v>
      </c>
      <c r="F273" s="79">
        <v>0.3</v>
      </c>
      <c r="G273" s="80"/>
      <c r="H273" s="81"/>
      <c r="I273" s="78">
        <f t="shared" si="270"/>
        <v>0</v>
      </c>
      <c r="J273" s="79"/>
      <c r="K273" s="80"/>
      <c r="L273" s="81"/>
      <c r="M273" s="70">
        <f t="shared" si="220"/>
        <v>0.3</v>
      </c>
      <c r="N273" s="71">
        <f t="shared" si="221"/>
        <v>0.3</v>
      </c>
      <c r="O273" s="72">
        <f t="shared" si="222"/>
        <v>0</v>
      </c>
      <c r="P273" s="134">
        <f t="shared" si="223"/>
        <v>0</v>
      </c>
      <c r="Q273" s="78">
        <f t="shared" si="271"/>
        <v>0</v>
      </c>
      <c r="R273" s="79"/>
      <c r="S273" s="80"/>
      <c r="T273" s="81"/>
      <c r="U273" s="70">
        <f t="shared" si="215"/>
        <v>0.3</v>
      </c>
      <c r="V273" s="71">
        <f t="shared" si="216"/>
        <v>0.3</v>
      </c>
      <c r="W273" s="72">
        <f t="shared" si="224"/>
        <v>0</v>
      </c>
      <c r="X273" s="134">
        <f t="shared" si="225"/>
        <v>0</v>
      </c>
      <c r="Y273" s="78">
        <f t="shared" si="272"/>
        <v>0</v>
      </c>
      <c r="Z273" s="79"/>
      <c r="AA273" s="80"/>
      <c r="AB273" s="81"/>
      <c r="AC273" s="70">
        <f t="shared" si="217"/>
        <v>0.3</v>
      </c>
      <c r="AD273" s="71">
        <f t="shared" si="256"/>
        <v>0.3</v>
      </c>
      <c r="AE273" s="72">
        <f t="shared" si="226"/>
        <v>0</v>
      </c>
      <c r="AF273" s="134">
        <f t="shared" si="227"/>
        <v>0</v>
      </c>
      <c r="AG273" s="78">
        <f t="shared" si="273"/>
        <v>0</v>
      </c>
      <c r="AH273" s="79"/>
      <c r="AI273" s="80"/>
      <c r="AJ273" s="81"/>
      <c r="AK273" s="70">
        <f t="shared" si="211"/>
        <v>0.3</v>
      </c>
      <c r="AL273" s="71">
        <f t="shared" si="257"/>
        <v>0.3</v>
      </c>
      <c r="AM273" s="72">
        <f t="shared" si="228"/>
        <v>0</v>
      </c>
      <c r="AN273" s="134">
        <f t="shared" si="229"/>
        <v>0</v>
      </c>
      <c r="AO273" s="78">
        <f t="shared" si="274"/>
        <v>0</v>
      </c>
      <c r="AP273" s="79"/>
      <c r="AQ273" s="80"/>
      <c r="AR273" s="81"/>
      <c r="AS273" s="70">
        <f t="shared" si="212"/>
        <v>0.3</v>
      </c>
      <c r="AT273" s="71">
        <f t="shared" si="258"/>
        <v>0.3</v>
      </c>
      <c r="AU273" s="72">
        <f t="shared" si="230"/>
        <v>0</v>
      </c>
      <c r="AV273" s="134">
        <f t="shared" si="231"/>
        <v>0</v>
      </c>
      <c r="AW273" s="78">
        <f t="shared" si="275"/>
        <v>0</v>
      </c>
      <c r="AX273" s="79"/>
      <c r="AY273" s="80"/>
      <c r="AZ273" s="81"/>
      <c r="BA273" s="70">
        <f t="shared" si="213"/>
        <v>0.3</v>
      </c>
      <c r="BB273" s="71">
        <f t="shared" si="259"/>
        <v>0.3</v>
      </c>
      <c r="BC273" s="72">
        <f t="shared" si="232"/>
        <v>0</v>
      </c>
      <c r="BD273" s="134">
        <f t="shared" si="233"/>
        <v>0</v>
      </c>
      <c r="BE273" s="78">
        <f t="shared" si="276"/>
        <v>0</v>
      </c>
      <c r="BF273" s="79"/>
      <c r="BG273" s="80"/>
      <c r="BH273" s="81"/>
      <c r="BI273" s="70">
        <f t="shared" si="214"/>
        <v>0.3</v>
      </c>
      <c r="BJ273" s="71">
        <f t="shared" si="260"/>
        <v>0.3</v>
      </c>
      <c r="BK273" s="72">
        <f t="shared" si="263"/>
        <v>0</v>
      </c>
      <c r="BL273" s="134">
        <f t="shared" si="264"/>
        <v>0</v>
      </c>
    </row>
    <row r="274" spans="1:64" ht="12.9" x14ac:dyDescent="0.35">
      <c r="A274" s="284"/>
      <c r="B274" s="234"/>
      <c r="C274" s="27" t="s">
        <v>117</v>
      </c>
      <c r="D274" s="25" t="s">
        <v>137</v>
      </c>
      <c r="E274" s="78">
        <f t="shared" si="269"/>
        <v>0</v>
      </c>
      <c r="F274" s="79"/>
      <c r="G274" s="80"/>
      <c r="H274" s="81"/>
      <c r="I274" s="78">
        <f t="shared" si="270"/>
        <v>0</v>
      </c>
      <c r="J274" s="79"/>
      <c r="K274" s="80"/>
      <c r="L274" s="81"/>
      <c r="M274" s="70">
        <f t="shared" si="220"/>
        <v>0</v>
      </c>
      <c r="N274" s="71">
        <f t="shared" si="221"/>
        <v>0</v>
      </c>
      <c r="O274" s="72">
        <f t="shared" si="222"/>
        <v>0</v>
      </c>
      <c r="P274" s="134">
        <f t="shared" si="223"/>
        <v>0</v>
      </c>
      <c r="Q274" s="78">
        <f t="shared" si="271"/>
        <v>6.3E-2</v>
      </c>
      <c r="R274" s="79">
        <v>6.3E-2</v>
      </c>
      <c r="S274" s="80"/>
      <c r="T274" s="81"/>
      <c r="U274" s="70">
        <f t="shared" si="215"/>
        <v>6.3E-2</v>
      </c>
      <c r="V274" s="71">
        <f t="shared" si="216"/>
        <v>6.3E-2</v>
      </c>
      <c r="W274" s="72">
        <f t="shared" si="224"/>
        <v>0</v>
      </c>
      <c r="X274" s="134">
        <f t="shared" si="225"/>
        <v>0</v>
      </c>
      <c r="Y274" s="78">
        <f t="shared" si="272"/>
        <v>0</v>
      </c>
      <c r="Z274" s="79"/>
      <c r="AA274" s="80"/>
      <c r="AB274" s="81"/>
      <c r="AC274" s="70">
        <f t="shared" si="217"/>
        <v>6.3E-2</v>
      </c>
      <c r="AD274" s="71">
        <f t="shared" si="256"/>
        <v>6.3E-2</v>
      </c>
      <c r="AE274" s="72">
        <f t="shared" si="226"/>
        <v>0</v>
      </c>
      <c r="AF274" s="134">
        <f t="shared" si="227"/>
        <v>0</v>
      </c>
      <c r="AG274" s="78">
        <f t="shared" si="273"/>
        <v>0</v>
      </c>
      <c r="AH274" s="79"/>
      <c r="AI274" s="80"/>
      <c r="AJ274" s="81"/>
      <c r="AK274" s="70">
        <f t="shared" si="211"/>
        <v>6.3E-2</v>
      </c>
      <c r="AL274" s="71">
        <f t="shared" si="257"/>
        <v>6.3E-2</v>
      </c>
      <c r="AM274" s="72">
        <f t="shared" si="228"/>
        <v>0</v>
      </c>
      <c r="AN274" s="134">
        <f t="shared" si="229"/>
        <v>0</v>
      </c>
      <c r="AO274" s="78">
        <f t="shared" si="274"/>
        <v>0</v>
      </c>
      <c r="AP274" s="79"/>
      <c r="AQ274" s="80"/>
      <c r="AR274" s="81"/>
      <c r="AS274" s="70">
        <f t="shared" si="212"/>
        <v>6.3E-2</v>
      </c>
      <c r="AT274" s="71">
        <f t="shared" si="258"/>
        <v>6.3E-2</v>
      </c>
      <c r="AU274" s="72">
        <f t="shared" si="230"/>
        <v>0</v>
      </c>
      <c r="AV274" s="134">
        <f t="shared" si="231"/>
        <v>0</v>
      </c>
      <c r="AW274" s="78">
        <f t="shared" si="275"/>
        <v>0.13</v>
      </c>
      <c r="AX274" s="79">
        <v>0.13</v>
      </c>
      <c r="AY274" s="80"/>
      <c r="AZ274" s="81"/>
      <c r="BA274" s="70">
        <f t="shared" si="213"/>
        <v>0.193</v>
      </c>
      <c r="BB274" s="71">
        <f t="shared" si="259"/>
        <v>0.193</v>
      </c>
      <c r="BC274" s="72">
        <f t="shared" si="232"/>
        <v>0</v>
      </c>
      <c r="BD274" s="134">
        <f t="shared" si="233"/>
        <v>0</v>
      </c>
      <c r="BE274" s="78">
        <f t="shared" si="276"/>
        <v>0</v>
      </c>
      <c r="BF274" s="79"/>
      <c r="BG274" s="80"/>
      <c r="BH274" s="81"/>
      <c r="BI274" s="70">
        <f t="shared" si="214"/>
        <v>0.193</v>
      </c>
      <c r="BJ274" s="71">
        <f t="shared" si="260"/>
        <v>0.193</v>
      </c>
      <c r="BK274" s="72">
        <f t="shared" si="263"/>
        <v>0</v>
      </c>
      <c r="BL274" s="134">
        <f t="shared" si="264"/>
        <v>0</v>
      </c>
    </row>
    <row r="275" spans="1:64" ht="12.9" x14ac:dyDescent="0.35">
      <c r="A275" s="118" t="s">
        <v>32</v>
      </c>
      <c r="B275" s="26" t="s">
        <v>46</v>
      </c>
      <c r="C275" s="27" t="s">
        <v>134</v>
      </c>
      <c r="D275" s="27" t="s">
        <v>125</v>
      </c>
      <c r="E275" s="78">
        <f t="shared" si="269"/>
        <v>2</v>
      </c>
      <c r="F275" s="79">
        <v>2</v>
      </c>
      <c r="G275" s="80"/>
      <c r="H275" s="81"/>
      <c r="I275" s="78">
        <f t="shared" si="270"/>
        <v>0</v>
      </c>
      <c r="J275" s="79"/>
      <c r="K275" s="80"/>
      <c r="L275" s="81"/>
      <c r="M275" s="70">
        <f t="shared" si="220"/>
        <v>2</v>
      </c>
      <c r="N275" s="71">
        <f t="shared" si="221"/>
        <v>2</v>
      </c>
      <c r="O275" s="72">
        <f t="shared" si="222"/>
        <v>0</v>
      </c>
      <c r="P275" s="134">
        <f t="shared" si="223"/>
        <v>0</v>
      </c>
      <c r="Q275" s="78">
        <f t="shared" si="271"/>
        <v>0</v>
      </c>
      <c r="R275" s="79"/>
      <c r="S275" s="80"/>
      <c r="T275" s="81"/>
      <c r="U275" s="70">
        <f t="shared" si="215"/>
        <v>2</v>
      </c>
      <c r="V275" s="71">
        <f t="shared" si="216"/>
        <v>2</v>
      </c>
      <c r="W275" s="72">
        <f t="shared" si="224"/>
        <v>0</v>
      </c>
      <c r="X275" s="134">
        <f t="shared" si="225"/>
        <v>0</v>
      </c>
      <c r="Y275" s="78">
        <f t="shared" si="272"/>
        <v>0</v>
      </c>
      <c r="Z275" s="79"/>
      <c r="AA275" s="80"/>
      <c r="AB275" s="81"/>
      <c r="AC275" s="70">
        <f t="shared" si="217"/>
        <v>2</v>
      </c>
      <c r="AD275" s="71">
        <f t="shared" si="256"/>
        <v>2</v>
      </c>
      <c r="AE275" s="72">
        <f t="shared" si="226"/>
        <v>0</v>
      </c>
      <c r="AF275" s="134">
        <f t="shared" si="227"/>
        <v>0</v>
      </c>
      <c r="AG275" s="78">
        <f t="shared" si="273"/>
        <v>0</v>
      </c>
      <c r="AH275" s="79"/>
      <c r="AI275" s="80"/>
      <c r="AJ275" s="81"/>
      <c r="AK275" s="70">
        <f t="shared" si="211"/>
        <v>2</v>
      </c>
      <c r="AL275" s="71">
        <f t="shared" si="257"/>
        <v>2</v>
      </c>
      <c r="AM275" s="72">
        <f t="shared" si="228"/>
        <v>0</v>
      </c>
      <c r="AN275" s="134">
        <f t="shared" si="229"/>
        <v>0</v>
      </c>
      <c r="AO275" s="78">
        <f t="shared" si="274"/>
        <v>0</v>
      </c>
      <c r="AP275" s="79"/>
      <c r="AQ275" s="80"/>
      <c r="AR275" s="81"/>
      <c r="AS275" s="70">
        <f t="shared" si="212"/>
        <v>2</v>
      </c>
      <c r="AT275" s="71">
        <f t="shared" si="258"/>
        <v>2</v>
      </c>
      <c r="AU275" s="72">
        <f t="shared" si="230"/>
        <v>0</v>
      </c>
      <c r="AV275" s="134">
        <f t="shared" si="231"/>
        <v>0</v>
      </c>
      <c r="AW275" s="78">
        <f t="shared" si="275"/>
        <v>-0.04</v>
      </c>
      <c r="AX275" s="79">
        <v>-0.04</v>
      </c>
      <c r="AY275" s="80"/>
      <c r="AZ275" s="81"/>
      <c r="BA275" s="70">
        <f t="shared" si="213"/>
        <v>1.96</v>
      </c>
      <c r="BB275" s="71">
        <f t="shared" si="259"/>
        <v>1.96</v>
      </c>
      <c r="BC275" s="72">
        <f t="shared" si="232"/>
        <v>0</v>
      </c>
      <c r="BD275" s="134">
        <f t="shared" si="233"/>
        <v>0</v>
      </c>
      <c r="BE275" s="78">
        <f t="shared" si="276"/>
        <v>0</v>
      </c>
      <c r="BF275" s="79"/>
      <c r="BG275" s="80"/>
      <c r="BH275" s="81"/>
      <c r="BI275" s="70">
        <f t="shared" si="214"/>
        <v>1.96</v>
      </c>
      <c r="BJ275" s="71">
        <f t="shared" si="260"/>
        <v>1.96</v>
      </c>
      <c r="BK275" s="72">
        <f t="shared" si="263"/>
        <v>0</v>
      </c>
      <c r="BL275" s="134">
        <f t="shared" si="264"/>
        <v>0</v>
      </c>
    </row>
    <row r="276" spans="1:64" ht="12.9" x14ac:dyDescent="0.35">
      <c r="A276" s="285" t="s">
        <v>7</v>
      </c>
      <c r="B276" s="237" t="s">
        <v>48</v>
      </c>
      <c r="C276" s="27" t="s">
        <v>214</v>
      </c>
      <c r="D276" s="25" t="s">
        <v>125</v>
      </c>
      <c r="E276" s="78">
        <f t="shared" si="269"/>
        <v>2</v>
      </c>
      <c r="F276" s="79">
        <v>2</v>
      </c>
      <c r="G276" s="80"/>
      <c r="H276" s="81"/>
      <c r="I276" s="78">
        <f t="shared" si="270"/>
        <v>0</v>
      </c>
      <c r="J276" s="79"/>
      <c r="K276" s="80"/>
      <c r="L276" s="81"/>
      <c r="M276" s="70">
        <f t="shared" si="220"/>
        <v>2</v>
      </c>
      <c r="N276" s="71">
        <f t="shared" si="221"/>
        <v>2</v>
      </c>
      <c r="O276" s="72">
        <f t="shared" si="222"/>
        <v>0</v>
      </c>
      <c r="P276" s="134">
        <f t="shared" si="223"/>
        <v>0</v>
      </c>
      <c r="Q276" s="78">
        <f t="shared" si="271"/>
        <v>0</v>
      </c>
      <c r="R276" s="79"/>
      <c r="S276" s="80"/>
      <c r="T276" s="81"/>
      <c r="U276" s="70">
        <f t="shared" si="215"/>
        <v>2</v>
      </c>
      <c r="V276" s="71">
        <f t="shared" si="216"/>
        <v>2</v>
      </c>
      <c r="W276" s="72">
        <f t="shared" si="224"/>
        <v>0</v>
      </c>
      <c r="X276" s="134">
        <f t="shared" si="225"/>
        <v>0</v>
      </c>
      <c r="Y276" s="78">
        <f t="shared" si="272"/>
        <v>0.5</v>
      </c>
      <c r="Z276" s="79">
        <v>0.5</v>
      </c>
      <c r="AA276" s="80"/>
      <c r="AB276" s="81"/>
      <c r="AC276" s="70">
        <f t="shared" si="217"/>
        <v>2.5</v>
      </c>
      <c r="AD276" s="71">
        <f t="shared" si="256"/>
        <v>2.5</v>
      </c>
      <c r="AE276" s="72">
        <f t="shared" si="226"/>
        <v>0</v>
      </c>
      <c r="AF276" s="134">
        <f t="shared" si="227"/>
        <v>0</v>
      </c>
      <c r="AG276" s="78">
        <f t="shared" si="273"/>
        <v>0</v>
      </c>
      <c r="AH276" s="79"/>
      <c r="AI276" s="80"/>
      <c r="AJ276" s="81"/>
      <c r="AK276" s="70">
        <f t="shared" si="211"/>
        <v>2.5</v>
      </c>
      <c r="AL276" s="71">
        <f t="shared" si="257"/>
        <v>2.5</v>
      </c>
      <c r="AM276" s="72">
        <f t="shared" si="228"/>
        <v>0</v>
      </c>
      <c r="AN276" s="134">
        <f t="shared" si="229"/>
        <v>0</v>
      </c>
      <c r="AO276" s="78">
        <f t="shared" si="274"/>
        <v>0</v>
      </c>
      <c r="AP276" s="79"/>
      <c r="AQ276" s="80"/>
      <c r="AR276" s="81"/>
      <c r="AS276" s="70">
        <f t="shared" si="212"/>
        <v>2.5</v>
      </c>
      <c r="AT276" s="71">
        <f t="shared" si="258"/>
        <v>2.5</v>
      </c>
      <c r="AU276" s="72">
        <f t="shared" si="230"/>
        <v>0</v>
      </c>
      <c r="AV276" s="134">
        <f t="shared" si="231"/>
        <v>0</v>
      </c>
      <c r="AW276" s="78">
        <f t="shared" si="275"/>
        <v>0</v>
      </c>
      <c r="AX276" s="79"/>
      <c r="AY276" s="80"/>
      <c r="AZ276" s="81"/>
      <c r="BA276" s="70">
        <f t="shared" si="213"/>
        <v>2.5</v>
      </c>
      <c r="BB276" s="71">
        <f t="shared" si="259"/>
        <v>2.5</v>
      </c>
      <c r="BC276" s="72">
        <f t="shared" si="232"/>
        <v>0</v>
      </c>
      <c r="BD276" s="134">
        <f t="shared" si="233"/>
        <v>0</v>
      </c>
      <c r="BE276" s="78">
        <f t="shared" si="276"/>
        <v>0</v>
      </c>
      <c r="BF276" s="79"/>
      <c r="BG276" s="80"/>
      <c r="BH276" s="81"/>
      <c r="BI276" s="70">
        <f t="shared" si="214"/>
        <v>2.5</v>
      </c>
      <c r="BJ276" s="71">
        <f t="shared" si="260"/>
        <v>2.5</v>
      </c>
      <c r="BK276" s="72">
        <f t="shared" si="263"/>
        <v>0</v>
      </c>
      <c r="BL276" s="134">
        <f t="shared" si="264"/>
        <v>0</v>
      </c>
    </row>
    <row r="277" spans="1:64" ht="12.9" hidden="1" x14ac:dyDescent="0.35">
      <c r="A277" s="287"/>
      <c r="B277" s="243"/>
      <c r="C277" s="27" t="s">
        <v>214</v>
      </c>
      <c r="D277" s="25" t="s">
        <v>187</v>
      </c>
      <c r="E277" s="78">
        <f t="shared" si="269"/>
        <v>0</v>
      </c>
      <c r="F277" s="79"/>
      <c r="G277" s="80"/>
      <c r="H277" s="81"/>
      <c r="I277" s="78">
        <f t="shared" si="270"/>
        <v>0</v>
      </c>
      <c r="J277" s="79"/>
      <c r="K277" s="80"/>
      <c r="L277" s="81"/>
      <c r="M277" s="70">
        <f t="shared" si="220"/>
        <v>0</v>
      </c>
      <c r="N277" s="71">
        <f t="shared" si="221"/>
        <v>0</v>
      </c>
      <c r="O277" s="72">
        <f t="shared" si="222"/>
        <v>0</v>
      </c>
      <c r="P277" s="134">
        <f t="shared" si="223"/>
        <v>0</v>
      </c>
      <c r="Q277" s="78">
        <f t="shared" si="271"/>
        <v>0</v>
      </c>
      <c r="R277" s="79"/>
      <c r="S277" s="80"/>
      <c r="T277" s="81"/>
      <c r="U277" s="70">
        <f t="shared" si="215"/>
        <v>0</v>
      </c>
      <c r="V277" s="71">
        <f t="shared" si="216"/>
        <v>0</v>
      </c>
      <c r="W277" s="72">
        <f t="shared" si="224"/>
        <v>0</v>
      </c>
      <c r="X277" s="134">
        <f t="shared" si="225"/>
        <v>0</v>
      </c>
      <c r="Y277" s="78">
        <f t="shared" si="272"/>
        <v>0</v>
      </c>
      <c r="Z277" s="79"/>
      <c r="AA277" s="80"/>
      <c r="AB277" s="81"/>
      <c r="AC277" s="70">
        <f t="shared" si="217"/>
        <v>0</v>
      </c>
      <c r="AD277" s="71">
        <f t="shared" si="256"/>
        <v>0</v>
      </c>
      <c r="AE277" s="72">
        <f t="shared" si="226"/>
        <v>0</v>
      </c>
      <c r="AF277" s="134">
        <f t="shared" si="227"/>
        <v>0</v>
      </c>
      <c r="AG277" s="78">
        <f t="shared" si="273"/>
        <v>0</v>
      </c>
      <c r="AH277" s="79"/>
      <c r="AI277" s="80"/>
      <c r="AJ277" s="81"/>
      <c r="AK277" s="70">
        <f t="shared" si="211"/>
        <v>0</v>
      </c>
      <c r="AL277" s="71">
        <f t="shared" si="257"/>
        <v>0</v>
      </c>
      <c r="AM277" s="72">
        <f t="shared" si="228"/>
        <v>0</v>
      </c>
      <c r="AN277" s="134">
        <f t="shared" si="229"/>
        <v>0</v>
      </c>
      <c r="AO277" s="78">
        <f t="shared" si="274"/>
        <v>0</v>
      </c>
      <c r="AP277" s="79"/>
      <c r="AQ277" s="80"/>
      <c r="AR277" s="81"/>
      <c r="AS277" s="70">
        <f t="shared" si="212"/>
        <v>0</v>
      </c>
      <c r="AT277" s="71">
        <f t="shared" si="258"/>
        <v>0</v>
      </c>
      <c r="AU277" s="72">
        <f t="shared" si="230"/>
        <v>0</v>
      </c>
      <c r="AV277" s="134">
        <f t="shared" si="231"/>
        <v>0</v>
      </c>
      <c r="AW277" s="78">
        <f t="shared" si="275"/>
        <v>0</v>
      </c>
      <c r="AX277" s="79"/>
      <c r="AY277" s="80"/>
      <c r="AZ277" s="81"/>
      <c r="BA277" s="70">
        <f t="shared" si="213"/>
        <v>0</v>
      </c>
      <c r="BB277" s="71">
        <f t="shared" si="259"/>
        <v>0</v>
      </c>
      <c r="BC277" s="72">
        <f t="shared" si="232"/>
        <v>0</v>
      </c>
      <c r="BD277" s="134">
        <f t="shared" si="233"/>
        <v>0</v>
      </c>
      <c r="BE277" s="78">
        <f t="shared" si="276"/>
        <v>0</v>
      </c>
      <c r="BF277" s="79"/>
      <c r="BG277" s="80"/>
      <c r="BH277" s="81"/>
      <c r="BI277" s="70">
        <f t="shared" si="214"/>
        <v>0</v>
      </c>
      <c r="BJ277" s="71">
        <f t="shared" si="260"/>
        <v>0</v>
      </c>
      <c r="BK277" s="72">
        <f t="shared" si="263"/>
        <v>0</v>
      </c>
      <c r="BL277" s="134">
        <f t="shared" si="264"/>
        <v>0</v>
      </c>
    </row>
    <row r="278" spans="1:64" ht="12.9" x14ac:dyDescent="0.35">
      <c r="A278" s="286"/>
      <c r="B278" s="238"/>
      <c r="C278" s="27" t="s">
        <v>302</v>
      </c>
      <c r="D278" s="25" t="s">
        <v>137</v>
      </c>
      <c r="E278" s="78">
        <f t="shared" si="269"/>
        <v>0</v>
      </c>
      <c r="F278" s="79"/>
      <c r="G278" s="80"/>
      <c r="H278" s="81"/>
      <c r="I278" s="78">
        <f t="shared" si="270"/>
        <v>0</v>
      </c>
      <c r="J278" s="79"/>
      <c r="K278" s="80"/>
      <c r="L278" s="81"/>
      <c r="M278" s="70">
        <f t="shared" si="220"/>
        <v>0</v>
      </c>
      <c r="N278" s="71">
        <f t="shared" si="221"/>
        <v>0</v>
      </c>
      <c r="O278" s="72">
        <f t="shared" si="222"/>
        <v>0</v>
      </c>
      <c r="P278" s="134">
        <f t="shared" si="223"/>
        <v>0</v>
      </c>
      <c r="Q278" s="78">
        <f t="shared" si="271"/>
        <v>0</v>
      </c>
      <c r="R278" s="79"/>
      <c r="S278" s="80"/>
      <c r="T278" s="81"/>
      <c r="U278" s="70">
        <f t="shared" si="215"/>
        <v>0</v>
      </c>
      <c r="V278" s="71">
        <f t="shared" si="216"/>
        <v>0</v>
      </c>
      <c r="W278" s="72">
        <f t="shared" si="224"/>
        <v>0</v>
      </c>
      <c r="X278" s="134">
        <f t="shared" si="225"/>
        <v>0</v>
      </c>
      <c r="Y278" s="78">
        <f t="shared" si="272"/>
        <v>7.85</v>
      </c>
      <c r="Z278" s="79">
        <v>7.85</v>
      </c>
      <c r="AA278" s="80"/>
      <c r="AB278" s="81"/>
      <c r="AC278" s="70">
        <f t="shared" si="217"/>
        <v>7.85</v>
      </c>
      <c r="AD278" s="71">
        <f t="shared" si="256"/>
        <v>7.85</v>
      </c>
      <c r="AE278" s="72">
        <f t="shared" si="226"/>
        <v>0</v>
      </c>
      <c r="AF278" s="134">
        <f t="shared" si="227"/>
        <v>0</v>
      </c>
      <c r="AG278" s="78">
        <f t="shared" si="273"/>
        <v>0</v>
      </c>
      <c r="AH278" s="79"/>
      <c r="AI278" s="80"/>
      <c r="AJ278" s="81"/>
      <c r="AK278" s="70">
        <f t="shared" si="211"/>
        <v>7.85</v>
      </c>
      <c r="AL278" s="71">
        <f t="shared" si="257"/>
        <v>7.85</v>
      </c>
      <c r="AM278" s="72">
        <f t="shared" si="228"/>
        <v>0</v>
      </c>
      <c r="AN278" s="134">
        <f t="shared" si="229"/>
        <v>0</v>
      </c>
      <c r="AO278" s="78">
        <f t="shared" si="274"/>
        <v>0</v>
      </c>
      <c r="AP278" s="79"/>
      <c r="AQ278" s="80"/>
      <c r="AR278" s="81"/>
      <c r="AS278" s="70">
        <f t="shared" si="212"/>
        <v>7.85</v>
      </c>
      <c r="AT278" s="71">
        <f t="shared" si="258"/>
        <v>7.85</v>
      </c>
      <c r="AU278" s="72">
        <f t="shared" si="230"/>
        <v>0</v>
      </c>
      <c r="AV278" s="134">
        <f t="shared" si="231"/>
        <v>0</v>
      </c>
      <c r="AW278" s="78">
        <f t="shared" si="275"/>
        <v>0</v>
      </c>
      <c r="AX278" s="79"/>
      <c r="AY278" s="80"/>
      <c r="AZ278" s="81"/>
      <c r="BA278" s="70">
        <f t="shared" si="213"/>
        <v>7.85</v>
      </c>
      <c r="BB278" s="71">
        <f t="shared" si="259"/>
        <v>7.85</v>
      </c>
      <c r="BC278" s="72">
        <f t="shared" si="232"/>
        <v>0</v>
      </c>
      <c r="BD278" s="134">
        <f t="shared" si="233"/>
        <v>0</v>
      </c>
      <c r="BE278" s="78">
        <f t="shared" si="276"/>
        <v>0</v>
      </c>
      <c r="BF278" s="79"/>
      <c r="BG278" s="80"/>
      <c r="BH278" s="81"/>
      <c r="BI278" s="70">
        <f t="shared" si="214"/>
        <v>7.85</v>
      </c>
      <c r="BJ278" s="71">
        <f t="shared" si="260"/>
        <v>7.85</v>
      </c>
      <c r="BK278" s="72">
        <f t="shared" si="263"/>
        <v>0</v>
      </c>
      <c r="BL278" s="134">
        <f t="shared" si="264"/>
        <v>0</v>
      </c>
    </row>
    <row r="279" spans="1:64" s="138" customFormat="1" ht="12.45" x14ac:dyDescent="0.3">
      <c r="A279" s="135"/>
      <c r="B279" s="136" t="s">
        <v>16</v>
      </c>
      <c r="C279" s="42" t="s">
        <v>118</v>
      </c>
      <c r="D279" s="137"/>
      <c r="E279" s="73">
        <f>SUM(H279,F279)</f>
        <v>1471.885</v>
      </c>
      <c r="F279" s="74">
        <f>SUM(F281:F293)</f>
        <v>1469.9749999999999</v>
      </c>
      <c r="G279" s="75">
        <f>SUM(G281:G293)</f>
        <v>1157.5580000000002</v>
      </c>
      <c r="H279" s="133">
        <f>SUM(H281:H294)</f>
        <v>1.91</v>
      </c>
      <c r="I279" s="73">
        <f>SUM(L279,J279)</f>
        <v>24.922999999999998</v>
      </c>
      <c r="J279" s="74">
        <f>SUM(J281:J293)</f>
        <v>24.922999999999998</v>
      </c>
      <c r="K279" s="75">
        <f>SUM(K281:K293)</f>
        <v>24.1</v>
      </c>
      <c r="L279" s="133">
        <f>SUM(L281:L294)</f>
        <v>0</v>
      </c>
      <c r="M279" s="73">
        <f t="shared" si="220"/>
        <v>1496.808</v>
      </c>
      <c r="N279" s="74">
        <f t="shared" si="221"/>
        <v>1494.8979999999999</v>
      </c>
      <c r="O279" s="75">
        <f t="shared" si="222"/>
        <v>1181.6580000000001</v>
      </c>
      <c r="P279" s="133">
        <f t="shared" si="223"/>
        <v>1.91</v>
      </c>
      <c r="Q279" s="73">
        <f>SUM(T279,R279)</f>
        <v>214.23</v>
      </c>
      <c r="R279" s="74">
        <f>SUM(R281:R294)</f>
        <v>214.23</v>
      </c>
      <c r="S279" s="75">
        <f>SUM(S281:S293)</f>
        <v>4.7409999999999997</v>
      </c>
      <c r="T279" s="133">
        <f>SUM(T281:T294)</f>
        <v>0</v>
      </c>
      <c r="U279" s="73">
        <f>SUM(X279,V279)</f>
        <v>1711.038</v>
      </c>
      <c r="V279" s="74">
        <f>N279+R279</f>
        <v>1709.1279999999999</v>
      </c>
      <c r="W279" s="75">
        <f t="shared" si="224"/>
        <v>1186.3990000000001</v>
      </c>
      <c r="X279" s="133">
        <f t="shared" si="225"/>
        <v>1.91</v>
      </c>
      <c r="Y279" s="73">
        <f>SUM(AB279,Z279)</f>
        <v>1.53</v>
      </c>
      <c r="Z279" s="74">
        <f>SUM(Z281:Z294)</f>
        <v>1.53</v>
      </c>
      <c r="AA279" s="75">
        <f>SUM(AA281:AA293)</f>
        <v>-4.0000000000000001E-3</v>
      </c>
      <c r="AB279" s="133">
        <f>SUM(AB281:AB294)</f>
        <v>0</v>
      </c>
      <c r="AC279" s="73">
        <f>SUM(AF279,AD279)</f>
        <v>1712.568</v>
      </c>
      <c r="AD279" s="74">
        <f>V279+Z279</f>
        <v>1710.6579999999999</v>
      </c>
      <c r="AE279" s="75">
        <f t="shared" si="226"/>
        <v>1186.3950000000002</v>
      </c>
      <c r="AF279" s="133">
        <f t="shared" si="227"/>
        <v>1.91</v>
      </c>
      <c r="AG279" s="73">
        <f>SUM(AJ279,AH279)</f>
        <v>142.26699999999997</v>
      </c>
      <c r="AH279" s="74">
        <f>SUM(AH281:AH294)</f>
        <v>136.48299999999998</v>
      </c>
      <c r="AI279" s="75">
        <f>SUM(AI281:AI293)</f>
        <v>119.28</v>
      </c>
      <c r="AJ279" s="133">
        <f>SUM(AJ281:AJ294)</f>
        <v>5.7839999999999998</v>
      </c>
      <c r="AK279" s="73">
        <f>SUM(AN279,AL279)</f>
        <v>1854.8349999999998</v>
      </c>
      <c r="AL279" s="74">
        <f>AD279+AH279</f>
        <v>1847.1409999999998</v>
      </c>
      <c r="AM279" s="75">
        <f t="shared" si="228"/>
        <v>1305.6750000000002</v>
      </c>
      <c r="AN279" s="133">
        <f t="shared" si="229"/>
        <v>7.694</v>
      </c>
      <c r="AO279" s="73">
        <f>SUM(AR279,AP279)</f>
        <v>31.51</v>
      </c>
      <c r="AP279" s="74">
        <f>SUM(AP281:AP294)</f>
        <v>31.51</v>
      </c>
      <c r="AQ279" s="75">
        <f>SUM(AQ281:AQ293)</f>
        <v>26.2</v>
      </c>
      <c r="AR279" s="133">
        <f>SUM(AR281:AR294)</f>
        <v>0</v>
      </c>
      <c r="AS279" s="73">
        <f>SUM(AV279,AT279)</f>
        <v>1886.3449999999998</v>
      </c>
      <c r="AT279" s="74">
        <f>AL279+AP279</f>
        <v>1878.6509999999998</v>
      </c>
      <c r="AU279" s="75">
        <f t="shared" si="230"/>
        <v>1331.8750000000002</v>
      </c>
      <c r="AV279" s="133">
        <f t="shared" si="231"/>
        <v>7.694</v>
      </c>
      <c r="AW279" s="73">
        <f>SUM(AZ279,AX279)</f>
        <v>-191.40699999999998</v>
      </c>
      <c r="AX279" s="74">
        <f>SUM(AX281:AX294)</f>
        <v>-219.62299999999999</v>
      </c>
      <c r="AY279" s="75">
        <f>SUM(AY281:AY293)</f>
        <v>46.97</v>
      </c>
      <c r="AZ279" s="133">
        <f>SUM(AZ281:AZ294)</f>
        <v>28.216000000000001</v>
      </c>
      <c r="BA279" s="73">
        <f>SUM(BD279,BB279)</f>
        <v>1694.9379999999999</v>
      </c>
      <c r="BB279" s="74">
        <f>AT279+AX279</f>
        <v>1659.0279999999998</v>
      </c>
      <c r="BC279" s="75">
        <f t="shared" si="232"/>
        <v>1378.8450000000003</v>
      </c>
      <c r="BD279" s="133">
        <f t="shared" si="233"/>
        <v>35.910000000000004</v>
      </c>
      <c r="BE279" s="73">
        <f>SUM(BH279,BF279)</f>
        <v>10.007</v>
      </c>
      <c r="BF279" s="74">
        <f>SUM(BF281:BF294)</f>
        <v>10.007</v>
      </c>
      <c r="BG279" s="75">
        <f>SUM(BG281:BG293)</f>
        <v>7.0590000000000011</v>
      </c>
      <c r="BH279" s="133">
        <f>SUM(BH281:BH294)</f>
        <v>0</v>
      </c>
      <c r="BI279" s="73">
        <f>SUM(BL279,BJ279)</f>
        <v>1704.9449999999999</v>
      </c>
      <c r="BJ279" s="74">
        <f>BB279+BF279</f>
        <v>1669.0349999999999</v>
      </c>
      <c r="BK279" s="75">
        <f t="shared" si="263"/>
        <v>1385.9040000000002</v>
      </c>
      <c r="BL279" s="133">
        <f t="shared" si="264"/>
        <v>35.910000000000004</v>
      </c>
    </row>
    <row r="280" spans="1:64" ht="12.9" x14ac:dyDescent="0.35">
      <c r="A280" s="43"/>
      <c r="B280" s="4" t="s">
        <v>2</v>
      </c>
      <c r="C280" s="44"/>
      <c r="D280" s="28"/>
      <c r="E280" s="78">
        <f t="shared" ref="E280:E311" si="280">SUM(H280,F280)</f>
        <v>0</v>
      </c>
      <c r="F280" s="79">
        <v>0</v>
      </c>
      <c r="G280" s="80">
        <v>0</v>
      </c>
      <c r="H280" s="81">
        <v>0</v>
      </c>
      <c r="I280" s="78">
        <f t="shared" ref="I280:I311" si="281">SUM(L280,J280)</f>
        <v>0</v>
      </c>
      <c r="J280" s="79">
        <v>0</v>
      </c>
      <c r="K280" s="80">
        <v>0</v>
      </c>
      <c r="L280" s="81">
        <v>0</v>
      </c>
      <c r="M280" s="70">
        <f t="shared" si="220"/>
        <v>0</v>
      </c>
      <c r="N280" s="71">
        <f t="shared" si="221"/>
        <v>0</v>
      </c>
      <c r="O280" s="72">
        <f t="shared" si="222"/>
        <v>0</v>
      </c>
      <c r="P280" s="134">
        <f t="shared" si="223"/>
        <v>0</v>
      </c>
      <c r="Q280" s="78">
        <f t="shared" ref="Q280:Q311" si="282">SUM(T280,R280)</f>
        <v>0</v>
      </c>
      <c r="R280" s="79">
        <v>0</v>
      </c>
      <c r="S280" s="80">
        <v>0</v>
      </c>
      <c r="T280" s="81">
        <v>0</v>
      </c>
      <c r="U280" s="70">
        <f t="shared" si="215"/>
        <v>0</v>
      </c>
      <c r="V280" s="71">
        <f t="shared" si="216"/>
        <v>0</v>
      </c>
      <c r="W280" s="72">
        <f t="shared" si="224"/>
        <v>0</v>
      </c>
      <c r="X280" s="134">
        <f t="shared" si="225"/>
        <v>0</v>
      </c>
      <c r="Y280" s="78">
        <f t="shared" ref="Y280:Y311" si="283">SUM(AB280,Z280)</f>
        <v>0</v>
      </c>
      <c r="Z280" s="79">
        <v>0</v>
      </c>
      <c r="AA280" s="80">
        <v>0</v>
      </c>
      <c r="AB280" s="81">
        <v>0</v>
      </c>
      <c r="AC280" s="70">
        <f t="shared" ref="AC280:AC312" si="284">SUM(AF280,AD280)</f>
        <v>0</v>
      </c>
      <c r="AD280" s="71">
        <f t="shared" ref="AD280:AD312" si="285">V280+Z280</f>
        <v>0</v>
      </c>
      <c r="AE280" s="72">
        <f t="shared" si="226"/>
        <v>0</v>
      </c>
      <c r="AF280" s="134">
        <f t="shared" si="227"/>
        <v>0</v>
      </c>
      <c r="AG280" s="78">
        <f t="shared" ref="AG280:AG311" si="286">SUM(AJ280,AH280)</f>
        <v>0</v>
      </c>
      <c r="AH280" s="79">
        <v>0</v>
      </c>
      <c r="AI280" s="80">
        <v>0</v>
      </c>
      <c r="AJ280" s="81">
        <v>0</v>
      </c>
      <c r="AK280" s="70">
        <f t="shared" ref="AK280:AK312" si="287">SUM(AN280,AL280)</f>
        <v>0</v>
      </c>
      <c r="AL280" s="71">
        <f t="shared" ref="AL280:AL312" si="288">AD280+AH280</f>
        <v>0</v>
      </c>
      <c r="AM280" s="72">
        <f t="shared" si="228"/>
        <v>0</v>
      </c>
      <c r="AN280" s="134">
        <f t="shared" si="229"/>
        <v>0</v>
      </c>
      <c r="AO280" s="78">
        <f t="shared" ref="AO280:AO311" si="289">SUM(AR280,AP280)</f>
        <v>0</v>
      </c>
      <c r="AP280" s="79">
        <v>0</v>
      </c>
      <c r="AQ280" s="80">
        <v>0</v>
      </c>
      <c r="AR280" s="81">
        <v>0</v>
      </c>
      <c r="AS280" s="70">
        <f t="shared" ref="AS280:AS312" si="290">SUM(AV280,AT280)</f>
        <v>0</v>
      </c>
      <c r="AT280" s="71">
        <f t="shared" ref="AT280:AT312" si="291">AL280+AP280</f>
        <v>0</v>
      </c>
      <c r="AU280" s="72">
        <f t="shared" si="230"/>
        <v>0</v>
      </c>
      <c r="AV280" s="134">
        <f t="shared" si="231"/>
        <v>0</v>
      </c>
      <c r="AW280" s="78">
        <f t="shared" ref="AW280:AW311" si="292">SUM(AZ280,AX280)</f>
        <v>0</v>
      </c>
      <c r="AX280" s="79">
        <v>0</v>
      </c>
      <c r="AY280" s="80">
        <v>0</v>
      </c>
      <c r="AZ280" s="81">
        <v>0</v>
      </c>
      <c r="BA280" s="70">
        <f t="shared" ref="BA280:BA312" si="293">SUM(BD280,BB280)</f>
        <v>0</v>
      </c>
      <c r="BB280" s="71">
        <f t="shared" ref="BB280:BB312" si="294">AT280+AX280</f>
        <v>0</v>
      </c>
      <c r="BC280" s="72">
        <f t="shared" si="232"/>
        <v>0</v>
      </c>
      <c r="BD280" s="134">
        <f t="shared" si="233"/>
        <v>0</v>
      </c>
      <c r="BE280" s="78">
        <f t="shared" ref="BE280:BE311" si="295">SUM(BH280,BF280)</f>
        <v>0</v>
      </c>
      <c r="BF280" s="79">
        <v>0</v>
      </c>
      <c r="BG280" s="80">
        <v>0</v>
      </c>
      <c r="BH280" s="81">
        <v>0</v>
      </c>
      <c r="BI280" s="70">
        <f t="shared" ref="BI280:BI312" si="296">SUM(BL280,BJ280)</f>
        <v>0</v>
      </c>
      <c r="BJ280" s="71">
        <f t="shared" ref="BJ280:BJ312" si="297">BB280+BF280</f>
        <v>0</v>
      </c>
      <c r="BK280" s="72">
        <f t="shared" si="263"/>
        <v>0</v>
      </c>
      <c r="BL280" s="134">
        <f t="shared" si="264"/>
        <v>0</v>
      </c>
    </row>
    <row r="281" spans="1:64" ht="12.9" x14ac:dyDescent="0.35">
      <c r="A281" s="25" t="s">
        <v>22</v>
      </c>
      <c r="B281" s="26" t="s">
        <v>34</v>
      </c>
      <c r="C281" s="27" t="s">
        <v>94</v>
      </c>
      <c r="D281" s="40" t="s">
        <v>125</v>
      </c>
      <c r="E281" s="78">
        <f t="shared" si="280"/>
        <v>0.4</v>
      </c>
      <c r="F281" s="79">
        <v>0.4</v>
      </c>
      <c r="G281" s="80"/>
      <c r="H281" s="81"/>
      <c r="I281" s="78">
        <f t="shared" si="281"/>
        <v>0</v>
      </c>
      <c r="J281" s="79"/>
      <c r="K281" s="80"/>
      <c r="L281" s="81"/>
      <c r="M281" s="70">
        <f t="shared" si="220"/>
        <v>0.4</v>
      </c>
      <c r="N281" s="71">
        <f t="shared" si="221"/>
        <v>0.4</v>
      </c>
      <c r="O281" s="72">
        <f t="shared" si="222"/>
        <v>0</v>
      </c>
      <c r="P281" s="134">
        <f t="shared" si="223"/>
        <v>0</v>
      </c>
      <c r="Q281" s="78">
        <f t="shared" si="282"/>
        <v>0</v>
      </c>
      <c r="R281" s="79"/>
      <c r="S281" s="80"/>
      <c r="T281" s="81"/>
      <c r="U281" s="70">
        <f t="shared" si="215"/>
        <v>0.4</v>
      </c>
      <c r="V281" s="71">
        <f t="shared" si="216"/>
        <v>0.4</v>
      </c>
      <c r="W281" s="72">
        <f t="shared" si="224"/>
        <v>0</v>
      </c>
      <c r="X281" s="134">
        <f t="shared" si="225"/>
        <v>0</v>
      </c>
      <c r="Y281" s="78">
        <f t="shared" si="283"/>
        <v>0</v>
      </c>
      <c r="Z281" s="79"/>
      <c r="AA281" s="80"/>
      <c r="AB281" s="81"/>
      <c r="AC281" s="70">
        <f t="shared" si="284"/>
        <v>0.4</v>
      </c>
      <c r="AD281" s="71">
        <f t="shared" si="285"/>
        <v>0.4</v>
      </c>
      <c r="AE281" s="72">
        <f t="shared" si="226"/>
        <v>0</v>
      </c>
      <c r="AF281" s="134">
        <f t="shared" si="227"/>
        <v>0</v>
      </c>
      <c r="AG281" s="78">
        <f t="shared" si="286"/>
        <v>0</v>
      </c>
      <c r="AH281" s="79"/>
      <c r="AI281" s="80"/>
      <c r="AJ281" s="81"/>
      <c r="AK281" s="70">
        <f t="shared" si="287"/>
        <v>0.4</v>
      </c>
      <c r="AL281" s="71">
        <f t="shared" si="288"/>
        <v>0.4</v>
      </c>
      <c r="AM281" s="72">
        <f t="shared" si="228"/>
        <v>0</v>
      </c>
      <c r="AN281" s="134">
        <f t="shared" si="229"/>
        <v>0</v>
      </c>
      <c r="AO281" s="78">
        <f t="shared" si="289"/>
        <v>0</v>
      </c>
      <c r="AP281" s="79"/>
      <c r="AQ281" s="80"/>
      <c r="AR281" s="81"/>
      <c r="AS281" s="70">
        <f t="shared" si="290"/>
        <v>0.4</v>
      </c>
      <c r="AT281" s="71">
        <f t="shared" si="291"/>
        <v>0.4</v>
      </c>
      <c r="AU281" s="72">
        <f t="shared" si="230"/>
        <v>0</v>
      </c>
      <c r="AV281" s="134">
        <f t="shared" si="231"/>
        <v>0</v>
      </c>
      <c r="AW281" s="78">
        <f t="shared" si="292"/>
        <v>0.5</v>
      </c>
      <c r="AX281" s="79">
        <v>0.5</v>
      </c>
      <c r="AY281" s="80"/>
      <c r="AZ281" s="81"/>
      <c r="BA281" s="70">
        <f t="shared" si="293"/>
        <v>0.9</v>
      </c>
      <c r="BB281" s="71">
        <f t="shared" si="294"/>
        <v>0.9</v>
      </c>
      <c r="BC281" s="72">
        <f t="shared" si="232"/>
        <v>0</v>
      </c>
      <c r="BD281" s="134">
        <f t="shared" si="233"/>
        <v>0</v>
      </c>
      <c r="BE281" s="78">
        <f t="shared" si="295"/>
        <v>0</v>
      </c>
      <c r="BF281" s="79"/>
      <c r="BG281" s="80"/>
      <c r="BH281" s="81"/>
      <c r="BI281" s="70">
        <f t="shared" si="296"/>
        <v>0.9</v>
      </c>
      <c r="BJ281" s="71">
        <f t="shared" si="297"/>
        <v>0.9</v>
      </c>
      <c r="BK281" s="72">
        <f t="shared" si="263"/>
        <v>0</v>
      </c>
      <c r="BL281" s="134">
        <f t="shared" si="264"/>
        <v>0</v>
      </c>
    </row>
    <row r="282" spans="1:64" ht="12.9" x14ac:dyDescent="0.35">
      <c r="A282" s="231" t="s">
        <v>25</v>
      </c>
      <c r="B282" s="233" t="s">
        <v>41</v>
      </c>
      <c r="C282" s="27" t="s">
        <v>95</v>
      </c>
      <c r="D282" s="40" t="s">
        <v>125</v>
      </c>
      <c r="E282" s="78">
        <f t="shared" si="280"/>
        <v>0</v>
      </c>
      <c r="F282" s="79"/>
      <c r="G282" s="80"/>
      <c r="H282" s="81"/>
      <c r="I282" s="78">
        <f t="shared" si="281"/>
        <v>0</v>
      </c>
      <c r="J282" s="79"/>
      <c r="K282" s="80"/>
      <c r="L282" s="81"/>
      <c r="M282" s="70">
        <f t="shared" si="220"/>
        <v>0</v>
      </c>
      <c r="N282" s="71">
        <f t="shared" si="221"/>
        <v>0</v>
      </c>
      <c r="O282" s="72">
        <f t="shared" si="222"/>
        <v>0</v>
      </c>
      <c r="P282" s="134">
        <f t="shared" si="223"/>
        <v>0</v>
      </c>
      <c r="Q282" s="78">
        <f t="shared" si="282"/>
        <v>2.42</v>
      </c>
      <c r="R282" s="79">
        <v>2.42</v>
      </c>
      <c r="S282" s="80"/>
      <c r="T282" s="81"/>
      <c r="U282" s="70">
        <f t="shared" si="215"/>
        <v>2.42</v>
      </c>
      <c r="V282" s="71">
        <f t="shared" si="216"/>
        <v>2.42</v>
      </c>
      <c r="W282" s="72">
        <f t="shared" si="224"/>
        <v>0</v>
      </c>
      <c r="X282" s="134">
        <f t="shared" si="225"/>
        <v>0</v>
      </c>
      <c r="Y282" s="78">
        <f t="shared" si="283"/>
        <v>0</v>
      </c>
      <c r="Z282" s="79"/>
      <c r="AA282" s="80"/>
      <c r="AB282" s="81"/>
      <c r="AC282" s="70">
        <f t="shared" si="284"/>
        <v>2.42</v>
      </c>
      <c r="AD282" s="71">
        <f t="shared" si="285"/>
        <v>2.42</v>
      </c>
      <c r="AE282" s="72">
        <f t="shared" si="226"/>
        <v>0</v>
      </c>
      <c r="AF282" s="134">
        <f t="shared" si="227"/>
        <v>0</v>
      </c>
      <c r="AG282" s="78">
        <f t="shared" si="286"/>
        <v>0.57899999999999996</v>
      </c>
      <c r="AH282" s="79">
        <v>0.57899999999999996</v>
      </c>
      <c r="AI282" s="80"/>
      <c r="AJ282" s="81"/>
      <c r="AK282" s="70">
        <f t="shared" si="287"/>
        <v>2.9989999999999997</v>
      </c>
      <c r="AL282" s="71">
        <f t="shared" si="288"/>
        <v>2.9989999999999997</v>
      </c>
      <c r="AM282" s="72">
        <f t="shared" si="228"/>
        <v>0</v>
      </c>
      <c r="AN282" s="134">
        <f t="shared" si="229"/>
        <v>0</v>
      </c>
      <c r="AO282" s="78">
        <f t="shared" si="289"/>
        <v>0</v>
      </c>
      <c r="AP282" s="79"/>
      <c r="AQ282" s="80"/>
      <c r="AR282" s="81"/>
      <c r="AS282" s="70">
        <f t="shared" si="290"/>
        <v>2.9989999999999997</v>
      </c>
      <c r="AT282" s="71">
        <f t="shared" si="291"/>
        <v>2.9989999999999997</v>
      </c>
      <c r="AU282" s="72">
        <f t="shared" si="230"/>
        <v>0</v>
      </c>
      <c r="AV282" s="134">
        <f t="shared" si="231"/>
        <v>0</v>
      </c>
      <c r="AW282" s="78">
        <f t="shared" si="292"/>
        <v>0</v>
      </c>
      <c r="AX282" s="79"/>
      <c r="AY282" s="80"/>
      <c r="AZ282" s="81"/>
      <c r="BA282" s="70">
        <f t="shared" si="293"/>
        <v>2.9989999999999997</v>
      </c>
      <c r="BB282" s="71">
        <f t="shared" si="294"/>
        <v>2.9989999999999997</v>
      </c>
      <c r="BC282" s="72">
        <f t="shared" si="232"/>
        <v>0</v>
      </c>
      <c r="BD282" s="134">
        <f t="shared" si="233"/>
        <v>0</v>
      </c>
      <c r="BE282" s="78">
        <f t="shared" si="295"/>
        <v>0</v>
      </c>
      <c r="BF282" s="79"/>
      <c r="BG282" s="80"/>
      <c r="BH282" s="81"/>
      <c r="BI282" s="70">
        <f t="shared" si="296"/>
        <v>2.9989999999999997</v>
      </c>
      <c r="BJ282" s="71">
        <f t="shared" si="297"/>
        <v>2.9989999999999997</v>
      </c>
      <c r="BK282" s="72">
        <f t="shared" si="263"/>
        <v>0</v>
      </c>
      <c r="BL282" s="134">
        <f t="shared" si="264"/>
        <v>0</v>
      </c>
    </row>
    <row r="283" spans="1:64" ht="12.9" x14ac:dyDescent="0.35">
      <c r="A283" s="232"/>
      <c r="B283" s="234"/>
      <c r="C283" s="27" t="s">
        <v>227</v>
      </c>
      <c r="D283" s="40" t="s">
        <v>137</v>
      </c>
      <c r="E283" s="78">
        <f t="shared" si="280"/>
        <v>0</v>
      </c>
      <c r="F283" s="79"/>
      <c r="G283" s="80"/>
      <c r="H283" s="81"/>
      <c r="I283" s="78">
        <f t="shared" si="281"/>
        <v>0</v>
      </c>
      <c r="J283" s="79"/>
      <c r="K283" s="80"/>
      <c r="L283" s="81"/>
      <c r="M283" s="70">
        <f t="shared" si="220"/>
        <v>0</v>
      </c>
      <c r="N283" s="71">
        <f t="shared" si="221"/>
        <v>0</v>
      </c>
      <c r="O283" s="72">
        <f t="shared" si="222"/>
        <v>0</v>
      </c>
      <c r="P283" s="134">
        <f t="shared" si="223"/>
        <v>0</v>
      </c>
      <c r="Q283" s="78">
        <f t="shared" si="282"/>
        <v>0</v>
      </c>
      <c r="R283" s="79"/>
      <c r="S283" s="80"/>
      <c r="T283" s="81"/>
      <c r="U283" s="70">
        <f t="shared" ref="U283:U311" si="298">SUM(X283,V283)</f>
        <v>0</v>
      </c>
      <c r="V283" s="71">
        <f t="shared" ref="V283:V311" si="299">N283+R283</f>
        <v>0</v>
      </c>
      <c r="W283" s="72">
        <f t="shared" si="224"/>
        <v>0</v>
      </c>
      <c r="X283" s="134">
        <f t="shared" si="225"/>
        <v>0</v>
      </c>
      <c r="Y283" s="78">
        <f t="shared" si="283"/>
        <v>0.61</v>
      </c>
      <c r="Z283" s="79">
        <v>0.61</v>
      </c>
      <c r="AA283" s="80"/>
      <c r="AB283" s="81"/>
      <c r="AC283" s="70">
        <f t="shared" si="284"/>
        <v>0.61</v>
      </c>
      <c r="AD283" s="71">
        <f t="shared" si="285"/>
        <v>0.61</v>
      </c>
      <c r="AE283" s="72">
        <f t="shared" si="226"/>
        <v>0</v>
      </c>
      <c r="AF283" s="134">
        <f t="shared" si="227"/>
        <v>0</v>
      </c>
      <c r="AG283" s="78">
        <f t="shared" si="286"/>
        <v>0</v>
      </c>
      <c r="AH283" s="79"/>
      <c r="AI283" s="80"/>
      <c r="AJ283" s="81"/>
      <c r="AK283" s="70">
        <f t="shared" si="287"/>
        <v>0.61</v>
      </c>
      <c r="AL283" s="71">
        <f t="shared" si="288"/>
        <v>0.61</v>
      </c>
      <c r="AM283" s="72">
        <f t="shared" si="228"/>
        <v>0</v>
      </c>
      <c r="AN283" s="134">
        <f t="shared" si="229"/>
        <v>0</v>
      </c>
      <c r="AO283" s="78">
        <f t="shared" si="289"/>
        <v>0</v>
      </c>
      <c r="AP283" s="79"/>
      <c r="AQ283" s="80"/>
      <c r="AR283" s="81"/>
      <c r="AS283" s="70">
        <f t="shared" si="290"/>
        <v>0.61</v>
      </c>
      <c r="AT283" s="71">
        <f t="shared" si="291"/>
        <v>0.61</v>
      </c>
      <c r="AU283" s="72">
        <f t="shared" si="230"/>
        <v>0</v>
      </c>
      <c r="AV283" s="134">
        <f t="shared" si="231"/>
        <v>0</v>
      </c>
      <c r="AW283" s="78">
        <f t="shared" si="292"/>
        <v>0</v>
      </c>
      <c r="AX283" s="79"/>
      <c r="AY283" s="80"/>
      <c r="AZ283" s="81"/>
      <c r="BA283" s="70">
        <f t="shared" si="293"/>
        <v>0.61</v>
      </c>
      <c r="BB283" s="71">
        <f t="shared" si="294"/>
        <v>0.61</v>
      </c>
      <c r="BC283" s="72">
        <f t="shared" si="232"/>
        <v>0</v>
      </c>
      <c r="BD283" s="134">
        <f t="shared" si="233"/>
        <v>0</v>
      </c>
      <c r="BE283" s="78">
        <f t="shared" si="295"/>
        <v>0</v>
      </c>
      <c r="BF283" s="79"/>
      <c r="BG283" s="80"/>
      <c r="BH283" s="81"/>
      <c r="BI283" s="70">
        <f t="shared" si="296"/>
        <v>0.61</v>
      </c>
      <c r="BJ283" s="71">
        <f t="shared" si="297"/>
        <v>0.61</v>
      </c>
      <c r="BK283" s="72">
        <f t="shared" si="263"/>
        <v>0</v>
      </c>
      <c r="BL283" s="134">
        <f t="shared" si="264"/>
        <v>0</v>
      </c>
    </row>
    <row r="284" spans="1:64" ht="12.9" x14ac:dyDescent="0.35">
      <c r="A284" s="231" t="s">
        <v>23</v>
      </c>
      <c r="B284" s="233" t="s">
        <v>44</v>
      </c>
      <c r="C284" s="27" t="s">
        <v>235</v>
      </c>
      <c r="D284" s="25" t="s">
        <v>125</v>
      </c>
      <c r="E284" s="78">
        <f t="shared" si="280"/>
        <v>737.57599999999991</v>
      </c>
      <c r="F284" s="79">
        <f>512.65+223.016</f>
        <v>735.66599999999994</v>
      </c>
      <c r="G284" s="80">
        <f>409.386+157.16-5.5</f>
        <v>561.04600000000005</v>
      </c>
      <c r="H284" s="81">
        <v>1.91</v>
      </c>
      <c r="I284" s="78">
        <f t="shared" si="281"/>
        <v>0</v>
      </c>
      <c r="J284" s="79"/>
      <c r="K284" s="80"/>
      <c r="L284" s="81"/>
      <c r="M284" s="70">
        <f t="shared" ref="M284:M311" si="300">SUM(P284,N284)</f>
        <v>737.57599999999991</v>
      </c>
      <c r="N284" s="71">
        <f t="shared" ref="N284:N311" si="301">F284+J284</f>
        <v>735.66599999999994</v>
      </c>
      <c r="O284" s="72">
        <f t="shared" ref="O284:O311" si="302">G284+K284</f>
        <v>561.04600000000005</v>
      </c>
      <c r="P284" s="134">
        <f t="shared" ref="P284:P311" si="303">H284+L284</f>
        <v>1.91</v>
      </c>
      <c r="Q284" s="78">
        <f t="shared" si="282"/>
        <v>0</v>
      </c>
      <c r="R284" s="79"/>
      <c r="S284" s="80"/>
      <c r="T284" s="81"/>
      <c r="U284" s="70">
        <f t="shared" si="298"/>
        <v>737.57599999999991</v>
      </c>
      <c r="V284" s="71">
        <f t="shared" si="299"/>
        <v>735.66599999999994</v>
      </c>
      <c r="W284" s="72">
        <f t="shared" ref="W284:W311" si="304">O284+S284</f>
        <v>561.04600000000005</v>
      </c>
      <c r="X284" s="134">
        <f t="shared" ref="X284:X311" si="305">P284+T284</f>
        <v>1.91</v>
      </c>
      <c r="Y284" s="78">
        <f t="shared" si="283"/>
        <v>0</v>
      </c>
      <c r="Z284" s="79"/>
      <c r="AA284" s="80"/>
      <c r="AB284" s="81"/>
      <c r="AC284" s="70">
        <f t="shared" si="284"/>
        <v>737.57599999999991</v>
      </c>
      <c r="AD284" s="71">
        <f t="shared" si="285"/>
        <v>735.66599999999994</v>
      </c>
      <c r="AE284" s="72">
        <f t="shared" ref="AE284:AE311" si="306">W284+AA284</f>
        <v>561.04600000000005</v>
      </c>
      <c r="AF284" s="134">
        <f t="shared" ref="AF284:AF311" si="307">X284+AB284</f>
        <v>1.91</v>
      </c>
      <c r="AG284" s="78">
        <f t="shared" si="286"/>
        <v>5.7839999999999998</v>
      </c>
      <c r="AH284" s="79"/>
      <c r="AI284" s="80"/>
      <c r="AJ284" s="81">
        <v>5.7839999999999998</v>
      </c>
      <c r="AK284" s="70">
        <f t="shared" si="287"/>
        <v>743.3599999999999</v>
      </c>
      <c r="AL284" s="71">
        <f t="shared" si="288"/>
        <v>735.66599999999994</v>
      </c>
      <c r="AM284" s="72">
        <f t="shared" ref="AM284:AM311" si="308">AE284+AI284</f>
        <v>561.04600000000005</v>
      </c>
      <c r="AN284" s="134">
        <f t="shared" ref="AN284:AN311" si="309">AF284+AJ284</f>
        <v>7.694</v>
      </c>
      <c r="AO284" s="78">
        <f t="shared" si="289"/>
        <v>1</v>
      </c>
      <c r="AP284" s="79">
        <v>1</v>
      </c>
      <c r="AQ284" s="80"/>
      <c r="AR284" s="81"/>
      <c r="AS284" s="70">
        <f t="shared" si="290"/>
        <v>744.3599999999999</v>
      </c>
      <c r="AT284" s="71">
        <f t="shared" si="291"/>
        <v>736.66599999999994</v>
      </c>
      <c r="AU284" s="72">
        <f t="shared" ref="AU284:AU311" si="310">AM284+AQ284</f>
        <v>561.04600000000005</v>
      </c>
      <c r="AV284" s="134">
        <f t="shared" ref="AV284:AV311" si="311">AN284+AR284</f>
        <v>7.694</v>
      </c>
      <c r="AW284" s="78">
        <f t="shared" si="292"/>
        <v>45.436</v>
      </c>
      <c r="AX284" s="79">
        <f>2.22+15</f>
        <v>17.22</v>
      </c>
      <c r="AY284" s="80">
        <v>10.5</v>
      </c>
      <c r="AZ284" s="81">
        <v>28.216000000000001</v>
      </c>
      <c r="BA284" s="70">
        <f t="shared" si="293"/>
        <v>789.79599999999994</v>
      </c>
      <c r="BB284" s="71">
        <f t="shared" si="294"/>
        <v>753.88599999999997</v>
      </c>
      <c r="BC284" s="72">
        <f t="shared" ref="BC284:BC311" si="312">AU284+AY284</f>
        <v>571.54600000000005</v>
      </c>
      <c r="BD284" s="134">
        <f t="shared" ref="BD284:BD311" si="313">AV284+AZ284</f>
        <v>35.910000000000004</v>
      </c>
      <c r="BE284" s="78">
        <f t="shared" si="295"/>
        <v>0</v>
      </c>
      <c r="BF284" s="79"/>
      <c r="BG284" s="80">
        <v>0.35</v>
      </c>
      <c r="BH284" s="81"/>
      <c r="BI284" s="70">
        <f t="shared" si="296"/>
        <v>789.79599999999994</v>
      </c>
      <c r="BJ284" s="71">
        <f t="shared" si="297"/>
        <v>753.88599999999997</v>
      </c>
      <c r="BK284" s="72">
        <f t="shared" si="263"/>
        <v>571.89600000000007</v>
      </c>
      <c r="BL284" s="134">
        <f t="shared" si="264"/>
        <v>35.910000000000004</v>
      </c>
    </row>
    <row r="285" spans="1:64" ht="12.9" x14ac:dyDescent="0.35">
      <c r="A285" s="241"/>
      <c r="B285" s="242"/>
      <c r="C285" s="27" t="s">
        <v>239</v>
      </c>
      <c r="D285" s="25" t="s">
        <v>38</v>
      </c>
      <c r="E285" s="78">
        <f t="shared" si="280"/>
        <v>606.4</v>
      </c>
      <c r="F285" s="79">
        <v>606.4</v>
      </c>
      <c r="G285" s="80">
        <f>557.08-4.6</f>
        <v>552.48</v>
      </c>
      <c r="H285" s="81"/>
      <c r="I285" s="78">
        <f t="shared" si="281"/>
        <v>0</v>
      </c>
      <c r="J285" s="79"/>
      <c r="K285" s="80"/>
      <c r="L285" s="81"/>
      <c r="M285" s="70">
        <f t="shared" si="300"/>
        <v>606.4</v>
      </c>
      <c r="N285" s="71">
        <f t="shared" si="301"/>
        <v>606.4</v>
      </c>
      <c r="O285" s="72">
        <f t="shared" si="302"/>
        <v>552.48</v>
      </c>
      <c r="P285" s="134">
        <f t="shared" si="303"/>
        <v>0</v>
      </c>
      <c r="Q285" s="78">
        <f t="shared" si="282"/>
        <v>0</v>
      </c>
      <c r="R285" s="79"/>
      <c r="S285" s="80"/>
      <c r="T285" s="81"/>
      <c r="U285" s="70">
        <f t="shared" si="298"/>
        <v>606.4</v>
      </c>
      <c r="V285" s="71">
        <f t="shared" si="299"/>
        <v>606.4</v>
      </c>
      <c r="W285" s="72">
        <f t="shared" si="304"/>
        <v>552.48</v>
      </c>
      <c r="X285" s="134">
        <f t="shared" si="305"/>
        <v>0</v>
      </c>
      <c r="Y285" s="78">
        <f t="shared" si="283"/>
        <v>0</v>
      </c>
      <c r="Z285" s="79"/>
      <c r="AA285" s="80"/>
      <c r="AB285" s="81"/>
      <c r="AC285" s="70">
        <f t="shared" si="284"/>
        <v>606.4</v>
      </c>
      <c r="AD285" s="71">
        <f t="shared" si="285"/>
        <v>606.4</v>
      </c>
      <c r="AE285" s="72">
        <f t="shared" si="306"/>
        <v>552.48</v>
      </c>
      <c r="AF285" s="134">
        <f t="shared" si="307"/>
        <v>0</v>
      </c>
      <c r="AG285" s="78">
        <f t="shared" si="286"/>
        <v>104.8</v>
      </c>
      <c r="AH285" s="79">
        <f>100+4.8</f>
        <v>104.8</v>
      </c>
      <c r="AI285" s="80">
        <f>86+4.73</f>
        <v>90.73</v>
      </c>
      <c r="AJ285" s="81"/>
      <c r="AK285" s="70">
        <f t="shared" si="287"/>
        <v>711.19999999999993</v>
      </c>
      <c r="AL285" s="71">
        <f t="shared" si="288"/>
        <v>711.19999999999993</v>
      </c>
      <c r="AM285" s="72">
        <f t="shared" si="308"/>
        <v>643.21</v>
      </c>
      <c r="AN285" s="134">
        <f t="shared" si="309"/>
        <v>0</v>
      </c>
      <c r="AO285" s="78">
        <f t="shared" si="289"/>
        <v>30.51</v>
      </c>
      <c r="AP285" s="79">
        <v>30.51</v>
      </c>
      <c r="AQ285" s="80">
        <v>26.2</v>
      </c>
      <c r="AR285" s="81"/>
      <c r="AS285" s="70">
        <f t="shared" si="290"/>
        <v>741.70999999999992</v>
      </c>
      <c r="AT285" s="71">
        <f t="shared" si="291"/>
        <v>741.70999999999992</v>
      </c>
      <c r="AU285" s="72">
        <f t="shared" si="310"/>
        <v>669.41000000000008</v>
      </c>
      <c r="AV285" s="134">
        <f t="shared" si="311"/>
        <v>0</v>
      </c>
      <c r="AW285" s="78">
        <f t="shared" si="292"/>
        <v>14.84</v>
      </c>
      <c r="AX285" s="79">
        <v>14.84</v>
      </c>
      <c r="AY285" s="80">
        <v>12.6</v>
      </c>
      <c r="AZ285" s="81"/>
      <c r="BA285" s="70">
        <f t="shared" si="293"/>
        <v>756.55</v>
      </c>
      <c r="BB285" s="71">
        <f t="shared" si="294"/>
        <v>756.55</v>
      </c>
      <c r="BC285" s="72">
        <f t="shared" si="312"/>
        <v>682.0100000000001</v>
      </c>
      <c r="BD285" s="134">
        <f t="shared" si="313"/>
        <v>0</v>
      </c>
      <c r="BE285" s="78">
        <f t="shared" si="295"/>
        <v>-2</v>
      </c>
      <c r="BF285" s="79">
        <v>-2</v>
      </c>
      <c r="BG285" s="80">
        <v>-2.2999999999999998</v>
      </c>
      <c r="BH285" s="81"/>
      <c r="BI285" s="70">
        <f t="shared" si="296"/>
        <v>754.55</v>
      </c>
      <c r="BJ285" s="71">
        <f t="shared" si="297"/>
        <v>754.55</v>
      </c>
      <c r="BK285" s="72">
        <f t="shared" si="263"/>
        <v>679.71000000000015</v>
      </c>
      <c r="BL285" s="134">
        <f t="shared" si="264"/>
        <v>0</v>
      </c>
    </row>
    <row r="286" spans="1:64" ht="12.9" x14ac:dyDescent="0.35">
      <c r="A286" s="241"/>
      <c r="B286" s="242"/>
      <c r="C286" s="27" t="s">
        <v>241</v>
      </c>
      <c r="D286" s="25" t="s">
        <v>137</v>
      </c>
      <c r="E286" s="78">
        <f t="shared" si="280"/>
        <v>18.2</v>
      </c>
      <c r="F286" s="79">
        <v>18.2</v>
      </c>
      <c r="G286" s="80">
        <v>17.940000000000001</v>
      </c>
      <c r="H286" s="81"/>
      <c r="I286" s="78">
        <f t="shared" si="281"/>
        <v>0</v>
      </c>
      <c r="J286" s="79"/>
      <c r="K286" s="80"/>
      <c r="L286" s="81"/>
      <c r="M286" s="70">
        <f t="shared" si="300"/>
        <v>18.2</v>
      </c>
      <c r="N286" s="71">
        <f t="shared" si="301"/>
        <v>18.2</v>
      </c>
      <c r="O286" s="72">
        <f t="shared" si="302"/>
        <v>17.940000000000001</v>
      </c>
      <c r="P286" s="134">
        <f t="shared" si="303"/>
        <v>0</v>
      </c>
      <c r="Q286" s="78">
        <f t="shared" si="282"/>
        <v>4.8099999999999996</v>
      </c>
      <c r="R286" s="79">
        <v>4.8099999999999996</v>
      </c>
      <c r="S286" s="80">
        <v>4.7409999999999997</v>
      </c>
      <c r="T286" s="81"/>
      <c r="U286" s="70">
        <f t="shared" si="298"/>
        <v>23.009999999999998</v>
      </c>
      <c r="V286" s="71">
        <f t="shared" si="299"/>
        <v>23.009999999999998</v>
      </c>
      <c r="W286" s="72">
        <f t="shared" si="304"/>
        <v>22.681000000000001</v>
      </c>
      <c r="X286" s="134">
        <f t="shared" si="305"/>
        <v>0</v>
      </c>
      <c r="Y286" s="78">
        <f t="shared" si="283"/>
        <v>0</v>
      </c>
      <c r="Z286" s="79"/>
      <c r="AA286" s="80">
        <v>-4.0000000000000001E-3</v>
      </c>
      <c r="AB286" s="81"/>
      <c r="AC286" s="70">
        <f t="shared" si="284"/>
        <v>23.009999999999998</v>
      </c>
      <c r="AD286" s="71">
        <f t="shared" si="285"/>
        <v>23.009999999999998</v>
      </c>
      <c r="AE286" s="72">
        <f t="shared" si="306"/>
        <v>22.677</v>
      </c>
      <c r="AF286" s="134">
        <f t="shared" si="307"/>
        <v>0</v>
      </c>
      <c r="AG286" s="78">
        <f t="shared" si="286"/>
        <v>8.6</v>
      </c>
      <c r="AH286" s="79">
        <f>14-5.4</f>
        <v>8.6</v>
      </c>
      <c r="AI286" s="80">
        <f>13.8-5.32</f>
        <v>8.48</v>
      </c>
      <c r="AJ286" s="81"/>
      <c r="AK286" s="70">
        <f t="shared" si="287"/>
        <v>31.61</v>
      </c>
      <c r="AL286" s="71">
        <f t="shared" si="288"/>
        <v>31.61</v>
      </c>
      <c r="AM286" s="72">
        <f t="shared" si="308"/>
        <v>31.157</v>
      </c>
      <c r="AN286" s="134">
        <f t="shared" si="309"/>
        <v>0</v>
      </c>
      <c r="AO286" s="78">
        <f t="shared" si="289"/>
        <v>0</v>
      </c>
      <c r="AP286" s="79"/>
      <c r="AQ286" s="80"/>
      <c r="AR286" s="81"/>
      <c r="AS286" s="70">
        <f t="shared" si="290"/>
        <v>31.61</v>
      </c>
      <c r="AT286" s="71">
        <f t="shared" si="291"/>
        <v>31.61</v>
      </c>
      <c r="AU286" s="72">
        <f t="shared" si="310"/>
        <v>31.157</v>
      </c>
      <c r="AV286" s="134">
        <f t="shared" si="311"/>
        <v>0</v>
      </c>
      <c r="AW286" s="78">
        <f t="shared" si="292"/>
        <v>0</v>
      </c>
      <c r="AX286" s="79"/>
      <c r="AY286" s="80"/>
      <c r="AZ286" s="81"/>
      <c r="BA286" s="70">
        <f t="shared" si="293"/>
        <v>31.61</v>
      </c>
      <c r="BB286" s="71">
        <f t="shared" si="294"/>
        <v>31.61</v>
      </c>
      <c r="BC286" s="72">
        <f t="shared" si="312"/>
        <v>31.157</v>
      </c>
      <c r="BD286" s="134">
        <f t="shared" si="313"/>
        <v>0</v>
      </c>
      <c r="BE286" s="78">
        <f t="shared" si="295"/>
        <v>0</v>
      </c>
      <c r="BF286" s="79"/>
      <c r="BG286" s="80"/>
      <c r="BH286" s="81"/>
      <c r="BI286" s="70">
        <f t="shared" si="296"/>
        <v>31.61</v>
      </c>
      <c r="BJ286" s="71">
        <f t="shared" si="297"/>
        <v>31.61</v>
      </c>
      <c r="BK286" s="72">
        <f t="shared" si="263"/>
        <v>31.157</v>
      </c>
      <c r="BL286" s="134">
        <f t="shared" si="264"/>
        <v>0</v>
      </c>
    </row>
    <row r="287" spans="1:64" ht="12.9" x14ac:dyDescent="0.35">
      <c r="A287" s="232"/>
      <c r="B287" s="234"/>
      <c r="C287" s="27" t="s">
        <v>242</v>
      </c>
      <c r="D287" s="25" t="s">
        <v>187</v>
      </c>
      <c r="E287" s="78">
        <f t="shared" si="280"/>
        <v>26.709</v>
      </c>
      <c r="F287" s="79">
        <v>26.709</v>
      </c>
      <c r="G287" s="80">
        <v>25.5</v>
      </c>
      <c r="H287" s="81"/>
      <c r="I287" s="78">
        <f t="shared" si="281"/>
        <v>24.922999999999998</v>
      </c>
      <c r="J287" s="79">
        <v>24.922999999999998</v>
      </c>
      <c r="K287" s="80">
        <v>24.1</v>
      </c>
      <c r="L287" s="81"/>
      <c r="M287" s="70">
        <f t="shared" si="300"/>
        <v>51.631999999999998</v>
      </c>
      <c r="N287" s="71">
        <f t="shared" si="301"/>
        <v>51.631999999999998</v>
      </c>
      <c r="O287" s="72">
        <f t="shared" si="302"/>
        <v>49.6</v>
      </c>
      <c r="P287" s="134">
        <f t="shared" si="303"/>
        <v>0</v>
      </c>
      <c r="Q287" s="78">
        <f t="shared" si="282"/>
        <v>0</v>
      </c>
      <c r="R287" s="79"/>
      <c r="S287" s="80"/>
      <c r="T287" s="81"/>
      <c r="U287" s="70">
        <f t="shared" si="298"/>
        <v>51.631999999999998</v>
      </c>
      <c r="V287" s="71">
        <f t="shared" si="299"/>
        <v>51.631999999999998</v>
      </c>
      <c r="W287" s="72">
        <f t="shared" si="304"/>
        <v>49.6</v>
      </c>
      <c r="X287" s="134">
        <f t="shared" si="305"/>
        <v>0</v>
      </c>
      <c r="Y287" s="78">
        <f t="shared" si="283"/>
        <v>0</v>
      </c>
      <c r="Z287" s="79"/>
      <c r="AA287" s="80"/>
      <c r="AB287" s="81"/>
      <c r="AC287" s="70">
        <f t="shared" si="284"/>
        <v>51.631999999999998</v>
      </c>
      <c r="AD287" s="71">
        <f t="shared" si="285"/>
        <v>51.631999999999998</v>
      </c>
      <c r="AE287" s="72">
        <f t="shared" si="306"/>
        <v>49.6</v>
      </c>
      <c r="AF287" s="134">
        <f t="shared" si="307"/>
        <v>0</v>
      </c>
      <c r="AG287" s="78">
        <f t="shared" si="286"/>
        <v>22.504000000000001</v>
      </c>
      <c r="AH287" s="79">
        <v>22.504000000000001</v>
      </c>
      <c r="AI287" s="80">
        <v>20.07</v>
      </c>
      <c r="AJ287" s="81"/>
      <c r="AK287" s="70">
        <f t="shared" si="287"/>
        <v>74.135999999999996</v>
      </c>
      <c r="AL287" s="71">
        <f t="shared" si="288"/>
        <v>74.135999999999996</v>
      </c>
      <c r="AM287" s="72">
        <f t="shared" si="308"/>
        <v>69.67</v>
      </c>
      <c r="AN287" s="134">
        <f t="shared" si="309"/>
        <v>0</v>
      </c>
      <c r="AO287" s="78">
        <f t="shared" si="289"/>
        <v>0</v>
      </c>
      <c r="AP287" s="79"/>
      <c r="AQ287" s="80"/>
      <c r="AR287" s="81"/>
      <c r="AS287" s="70">
        <f t="shared" si="290"/>
        <v>74.135999999999996</v>
      </c>
      <c r="AT287" s="71">
        <f t="shared" si="291"/>
        <v>74.135999999999996</v>
      </c>
      <c r="AU287" s="72">
        <f t="shared" si="310"/>
        <v>69.67</v>
      </c>
      <c r="AV287" s="134">
        <f t="shared" si="311"/>
        <v>0</v>
      </c>
      <c r="AW287" s="78">
        <f t="shared" si="292"/>
        <v>25.547000000000001</v>
      </c>
      <c r="AX287" s="79">
        <v>25.547000000000001</v>
      </c>
      <c r="AY287" s="80">
        <v>23.87</v>
      </c>
      <c r="AZ287" s="81"/>
      <c r="BA287" s="70">
        <f t="shared" si="293"/>
        <v>99.682999999999993</v>
      </c>
      <c r="BB287" s="71">
        <f t="shared" si="294"/>
        <v>99.682999999999993</v>
      </c>
      <c r="BC287" s="72">
        <f t="shared" si="312"/>
        <v>93.54</v>
      </c>
      <c r="BD287" s="134">
        <f t="shared" si="313"/>
        <v>0</v>
      </c>
      <c r="BE287" s="78">
        <f t="shared" si="295"/>
        <v>12.007</v>
      </c>
      <c r="BF287" s="79">
        <v>12.007</v>
      </c>
      <c r="BG287" s="80">
        <v>9.0090000000000003</v>
      </c>
      <c r="BH287" s="81"/>
      <c r="BI287" s="70">
        <f t="shared" si="296"/>
        <v>111.69</v>
      </c>
      <c r="BJ287" s="71">
        <f t="shared" si="297"/>
        <v>111.69</v>
      </c>
      <c r="BK287" s="72">
        <f t="shared" si="263"/>
        <v>102.54900000000001</v>
      </c>
      <c r="BL287" s="134">
        <f t="shared" si="264"/>
        <v>0</v>
      </c>
    </row>
    <row r="288" spans="1:64" ht="12.9" x14ac:dyDescent="0.35">
      <c r="A288" s="231" t="s">
        <v>33</v>
      </c>
      <c r="B288" s="233" t="s">
        <v>45</v>
      </c>
      <c r="C288" s="27" t="s">
        <v>243</v>
      </c>
      <c r="D288" s="25" t="s">
        <v>125</v>
      </c>
      <c r="E288" s="78">
        <f t="shared" si="280"/>
        <v>1.6</v>
      </c>
      <c r="F288" s="79">
        <v>1.6</v>
      </c>
      <c r="G288" s="80">
        <v>0.59199999999999997</v>
      </c>
      <c r="H288" s="81"/>
      <c r="I288" s="78">
        <f t="shared" si="281"/>
        <v>0</v>
      </c>
      <c r="J288" s="79"/>
      <c r="K288" s="80"/>
      <c r="L288" s="81"/>
      <c r="M288" s="70">
        <f t="shared" si="300"/>
        <v>1.6</v>
      </c>
      <c r="N288" s="71">
        <f t="shared" si="301"/>
        <v>1.6</v>
      </c>
      <c r="O288" s="72">
        <f t="shared" si="302"/>
        <v>0.59199999999999997</v>
      </c>
      <c r="P288" s="134">
        <f t="shared" si="303"/>
        <v>0</v>
      </c>
      <c r="Q288" s="78">
        <f t="shared" si="282"/>
        <v>0</v>
      </c>
      <c r="R288" s="79"/>
      <c r="S288" s="80"/>
      <c r="T288" s="81"/>
      <c r="U288" s="70">
        <f t="shared" si="298"/>
        <v>1.6</v>
      </c>
      <c r="V288" s="71">
        <f t="shared" si="299"/>
        <v>1.6</v>
      </c>
      <c r="W288" s="72">
        <f t="shared" si="304"/>
        <v>0.59199999999999997</v>
      </c>
      <c r="X288" s="134">
        <f t="shared" si="305"/>
        <v>0</v>
      </c>
      <c r="Y288" s="78">
        <f t="shared" si="283"/>
        <v>0</v>
      </c>
      <c r="Z288" s="79"/>
      <c r="AA288" s="80"/>
      <c r="AB288" s="81"/>
      <c r="AC288" s="70">
        <f t="shared" si="284"/>
        <v>1.6</v>
      </c>
      <c r="AD288" s="71">
        <f t="shared" si="285"/>
        <v>1.6</v>
      </c>
      <c r="AE288" s="72">
        <f t="shared" si="306"/>
        <v>0.59199999999999997</v>
      </c>
      <c r="AF288" s="134">
        <f t="shared" si="307"/>
        <v>0</v>
      </c>
      <c r="AG288" s="78">
        <f t="shared" si="286"/>
        <v>0</v>
      </c>
      <c r="AH288" s="79"/>
      <c r="AI288" s="80"/>
      <c r="AJ288" s="81"/>
      <c r="AK288" s="70">
        <f t="shared" si="287"/>
        <v>1.6</v>
      </c>
      <c r="AL288" s="71">
        <f t="shared" si="288"/>
        <v>1.6</v>
      </c>
      <c r="AM288" s="72">
        <f t="shared" si="308"/>
        <v>0.59199999999999997</v>
      </c>
      <c r="AN288" s="134">
        <f t="shared" si="309"/>
        <v>0</v>
      </c>
      <c r="AO288" s="78">
        <f t="shared" si="289"/>
        <v>0</v>
      </c>
      <c r="AP288" s="79"/>
      <c r="AQ288" s="80"/>
      <c r="AR288" s="81"/>
      <c r="AS288" s="70">
        <f t="shared" si="290"/>
        <v>1.6</v>
      </c>
      <c r="AT288" s="71">
        <f t="shared" si="291"/>
        <v>1.6</v>
      </c>
      <c r="AU288" s="72">
        <f t="shared" si="310"/>
        <v>0.59199999999999997</v>
      </c>
      <c r="AV288" s="134">
        <f t="shared" si="311"/>
        <v>0</v>
      </c>
      <c r="AW288" s="78">
        <f t="shared" si="292"/>
        <v>0</v>
      </c>
      <c r="AX288" s="79"/>
      <c r="AY288" s="80"/>
      <c r="AZ288" s="81"/>
      <c r="BA288" s="70">
        <f t="shared" si="293"/>
        <v>1.6</v>
      </c>
      <c r="BB288" s="71">
        <f t="shared" si="294"/>
        <v>1.6</v>
      </c>
      <c r="BC288" s="72">
        <f t="shared" si="312"/>
        <v>0.59199999999999997</v>
      </c>
      <c r="BD288" s="134">
        <f t="shared" si="313"/>
        <v>0</v>
      </c>
      <c r="BE288" s="78">
        <f t="shared" si="295"/>
        <v>0</v>
      </c>
      <c r="BF288" s="79"/>
      <c r="BG288" s="80"/>
      <c r="BH288" s="81"/>
      <c r="BI288" s="70">
        <f t="shared" si="296"/>
        <v>1.6</v>
      </c>
      <c r="BJ288" s="71">
        <f t="shared" si="297"/>
        <v>1.6</v>
      </c>
      <c r="BK288" s="72">
        <f t="shared" si="263"/>
        <v>0.59199999999999997</v>
      </c>
      <c r="BL288" s="134">
        <f t="shared" si="264"/>
        <v>0</v>
      </c>
    </row>
    <row r="289" spans="1:64" ht="12.9" x14ac:dyDescent="0.35">
      <c r="A289" s="241"/>
      <c r="B289" s="242"/>
      <c r="C289" s="27" t="s">
        <v>260</v>
      </c>
      <c r="D289" s="25" t="s">
        <v>137</v>
      </c>
      <c r="E289" s="78">
        <f t="shared" si="280"/>
        <v>0</v>
      </c>
      <c r="F289" s="79"/>
      <c r="G289" s="80"/>
      <c r="H289" s="81"/>
      <c r="I289" s="78">
        <f t="shared" si="281"/>
        <v>0</v>
      </c>
      <c r="J289" s="79"/>
      <c r="K289" s="80"/>
      <c r="L289" s="81"/>
      <c r="M289" s="70">
        <f t="shared" si="300"/>
        <v>0</v>
      </c>
      <c r="N289" s="71">
        <f t="shared" si="301"/>
        <v>0</v>
      </c>
      <c r="O289" s="72">
        <f t="shared" si="302"/>
        <v>0</v>
      </c>
      <c r="P289" s="134">
        <f t="shared" si="303"/>
        <v>0</v>
      </c>
      <c r="Q289" s="78">
        <f t="shared" si="282"/>
        <v>0</v>
      </c>
      <c r="R289" s="79"/>
      <c r="S289" s="80"/>
      <c r="T289" s="81"/>
      <c r="U289" s="70">
        <f t="shared" si="298"/>
        <v>0</v>
      </c>
      <c r="V289" s="71">
        <f t="shared" si="299"/>
        <v>0</v>
      </c>
      <c r="W289" s="72">
        <f t="shared" si="304"/>
        <v>0</v>
      </c>
      <c r="X289" s="134">
        <f t="shared" si="305"/>
        <v>0</v>
      </c>
      <c r="Y289" s="78">
        <f t="shared" si="283"/>
        <v>0</v>
      </c>
      <c r="Z289" s="79"/>
      <c r="AA289" s="80"/>
      <c r="AB289" s="81"/>
      <c r="AC289" s="70">
        <f t="shared" si="284"/>
        <v>0</v>
      </c>
      <c r="AD289" s="71">
        <f t="shared" si="285"/>
        <v>0</v>
      </c>
      <c r="AE289" s="72">
        <f t="shared" si="306"/>
        <v>0</v>
      </c>
      <c r="AF289" s="134">
        <f t="shared" si="307"/>
        <v>0</v>
      </c>
      <c r="AG289" s="78">
        <f t="shared" si="286"/>
        <v>0</v>
      </c>
      <c r="AH289" s="79"/>
      <c r="AI289" s="80"/>
      <c r="AJ289" s="81"/>
      <c r="AK289" s="70">
        <f t="shared" si="287"/>
        <v>0</v>
      </c>
      <c r="AL289" s="71">
        <f t="shared" si="288"/>
        <v>0</v>
      </c>
      <c r="AM289" s="72">
        <f t="shared" si="308"/>
        <v>0</v>
      </c>
      <c r="AN289" s="134">
        <f t="shared" si="309"/>
        <v>0</v>
      </c>
      <c r="AO289" s="78">
        <f t="shared" si="289"/>
        <v>0</v>
      </c>
      <c r="AP289" s="79"/>
      <c r="AQ289" s="80"/>
      <c r="AR289" s="81"/>
      <c r="AS289" s="70">
        <f t="shared" si="290"/>
        <v>0</v>
      </c>
      <c r="AT289" s="71">
        <f t="shared" si="291"/>
        <v>0</v>
      </c>
      <c r="AU289" s="72">
        <f t="shared" si="310"/>
        <v>0</v>
      </c>
      <c r="AV289" s="134">
        <f t="shared" si="311"/>
        <v>0</v>
      </c>
      <c r="AW289" s="78">
        <f t="shared" si="292"/>
        <v>3.2480000000000002</v>
      </c>
      <c r="AX289" s="79">
        <v>3.2480000000000002</v>
      </c>
      <c r="AY289" s="80"/>
      <c r="AZ289" s="81"/>
      <c r="BA289" s="70">
        <f t="shared" si="293"/>
        <v>3.2480000000000002</v>
      </c>
      <c r="BB289" s="71">
        <f t="shared" si="294"/>
        <v>3.2480000000000002</v>
      </c>
      <c r="BC289" s="72">
        <f t="shared" si="312"/>
        <v>0</v>
      </c>
      <c r="BD289" s="134">
        <f t="shared" si="313"/>
        <v>0</v>
      </c>
      <c r="BE289" s="78">
        <f t="shared" si="295"/>
        <v>0</v>
      </c>
      <c r="BF289" s="79"/>
      <c r="BG289" s="80"/>
      <c r="BH289" s="81"/>
      <c r="BI289" s="70">
        <f t="shared" si="296"/>
        <v>3.2480000000000002</v>
      </c>
      <c r="BJ289" s="71">
        <f t="shared" si="297"/>
        <v>3.2480000000000002</v>
      </c>
      <c r="BK289" s="72">
        <f t="shared" si="263"/>
        <v>0</v>
      </c>
      <c r="BL289" s="134">
        <f t="shared" si="264"/>
        <v>0</v>
      </c>
    </row>
    <row r="290" spans="1:64" ht="12.9" x14ac:dyDescent="0.35">
      <c r="A290" s="232"/>
      <c r="B290" s="234"/>
      <c r="C290" s="27" t="s">
        <v>262</v>
      </c>
      <c r="D290" s="25" t="s">
        <v>50</v>
      </c>
      <c r="E290" s="78">
        <f t="shared" si="280"/>
        <v>0</v>
      </c>
      <c r="F290" s="79"/>
      <c r="G290" s="80"/>
      <c r="H290" s="81"/>
      <c r="I290" s="78">
        <f t="shared" si="281"/>
        <v>0</v>
      </c>
      <c r="J290" s="79"/>
      <c r="K290" s="80"/>
      <c r="L290" s="81"/>
      <c r="M290" s="70">
        <f t="shared" si="300"/>
        <v>0</v>
      </c>
      <c r="N290" s="71">
        <f t="shared" si="301"/>
        <v>0</v>
      </c>
      <c r="O290" s="72">
        <f t="shared" si="302"/>
        <v>0</v>
      </c>
      <c r="P290" s="134">
        <f t="shared" si="303"/>
        <v>0</v>
      </c>
      <c r="Q290" s="78">
        <f t="shared" si="282"/>
        <v>0</v>
      </c>
      <c r="R290" s="79"/>
      <c r="S290" s="80"/>
      <c r="T290" s="81"/>
      <c r="U290" s="70">
        <f t="shared" si="298"/>
        <v>0</v>
      </c>
      <c r="V290" s="71">
        <f t="shared" si="299"/>
        <v>0</v>
      </c>
      <c r="W290" s="72">
        <f t="shared" si="304"/>
        <v>0</v>
      </c>
      <c r="X290" s="134">
        <f t="shared" si="305"/>
        <v>0</v>
      </c>
      <c r="Y290" s="78">
        <f t="shared" si="283"/>
        <v>0.92</v>
      </c>
      <c r="Z290" s="79">
        <v>0.92</v>
      </c>
      <c r="AA290" s="80"/>
      <c r="AB290" s="81"/>
      <c r="AC290" s="70">
        <f t="shared" si="284"/>
        <v>0.92</v>
      </c>
      <c r="AD290" s="71">
        <f t="shared" si="285"/>
        <v>0.92</v>
      </c>
      <c r="AE290" s="72">
        <f t="shared" si="306"/>
        <v>0</v>
      </c>
      <c r="AF290" s="134">
        <f t="shared" si="307"/>
        <v>0</v>
      </c>
      <c r="AG290" s="78">
        <f t="shared" si="286"/>
        <v>0</v>
      </c>
      <c r="AH290" s="79"/>
      <c r="AI290" s="80"/>
      <c r="AJ290" s="81"/>
      <c r="AK290" s="70">
        <f t="shared" si="287"/>
        <v>0.92</v>
      </c>
      <c r="AL290" s="71">
        <f t="shared" si="288"/>
        <v>0.92</v>
      </c>
      <c r="AM290" s="72">
        <f t="shared" si="308"/>
        <v>0</v>
      </c>
      <c r="AN290" s="134">
        <f t="shared" si="309"/>
        <v>0</v>
      </c>
      <c r="AO290" s="78">
        <f t="shared" si="289"/>
        <v>0</v>
      </c>
      <c r="AP290" s="79"/>
      <c r="AQ290" s="80"/>
      <c r="AR290" s="81"/>
      <c r="AS290" s="70">
        <f t="shared" si="290"/>
        <v>0.92</v>
      </c>
      <c r="AT290" s="71">
        <f t="shared" si="291"/>
        <v>0.92</v>
      </c>
      <c r="AU290" s="72">
        <f t="shared" si="310"/>
        <v>0</v>
      </c>
      <c r="AV290" s="134">
        <f t="shared" si="311"/>
        <v>0</v>
      </c>
      <c r="AW290" s="78">
        <f t="shared" si="292"/>
        <v>0</v>
      </c>
      <c r="AX290" s="79"/>
      <c r="AY290" s="80"/>
      <c r="AZ290" s="81"/>
      <c r="BA290" s="70">
        <f t="shared" si="293"/>
        <v>0.92</v>
      </c>
      <c r="BB290" s="71">
        <f t="shared" si="294"/>
        <v>0.92</v>
      </c>
      <c r="BC290" s="72">
        <f t="shared" si="312"/>
        <v>0</v>
      </c>
      <c r="BD290" s="134">
        <f t="shared" si="313"/>
        <v>0</v>
      </c>
      <c r="BE290" s="78">
        <f t="shared" si="295"/>
        <v>0</v>
      </c>
      <c r="BF290" s="79"/>
      <c r="BG290" s="80"/>
      <c r="BH290" s="81"/>
      <c r="BI290" s="70">
        <f t="shared" si="296"/>
        <v>0.92</v>
      </c>
      <c r="BJ290" s="71">
        <f t="shared" si="297"/>
        <v>0.92</v>
      </c>
      <c r="BK290" s="72">
        <f t="shared" si="263"/>
        <v>0</v>
      </c>
      <c r="BL290" s="134">
        <f t="shared" si="264"/>
        <v>0</v>
      </c>
    </row>
    <row r="291" spans="1:64" ht="12.9" x14ac:dyDescent="0.35">
      <c r="A291" s="45" t="s">
        <v>32</v>
      </c>
      <c r="B291" s="26" t="s">
        <v>46</v>
      </c>
      <c r="C291" s="27" t="s">
        <v>272</v>
      </c>
      <c r="D291" s="25" t="s">
        <v>125</v>
      </c>
      <c r="E291" s="78">
        <f t="shared" si="280"/>
        <v>2</v>
      </c>
      <c r="F291" s="79">
        <v>2</v>
      </c>
      <c r="G291" s="80"/>
      <c r="H291" s="81"/>
      <c r="I291" s="78">
        <f t="shared" si="281"/>
        <v>0</v>
      </c>
      <c r="J291" s="79"/>
      <c r="K291" s="80"/>
      <c r="L291" s="81"/>
      <c r="M291" s="70">
        <f t="shared" si="300"/>
        <v>2</v>
      </c>
      <c r="N291" s="71">
        <f t="shared" si="301"/>
        <v>2</v>
      </c>
      <c r="O291" s="72">
        <f t="shared" si="302"/>
        <v>0</v>
      </c>
      <c r="P291" s="134">
        <f t="shared" si="303"/>
        <v>0</v>
      </c>
      <c r="Q291" s="78">
        <f t="shared" si="282"/>
        <v>0</v>
      </c>
      <c r="R291" s="79"/>
      <c r="S291" s="80"/>
      <c r="T291" s="81"/>
      <c r="U291" s="70">
        <f t="shared" si="298"/>
        <v>2</v>
      </c>
      <c r="V291" s="71">
        <f t="shared" si="299"/>
        <v>2</v>
      </c>
      <c r="W291" s="72">
        <f t="shared" si="304"/>
        <v>0</v>
      </c>
      <c r="X291" s="134">
        <f t="shared" si="305"/>
        <v>0</v>
      </c>
      <c r="Y291" s="78">
        <f t="shared" si="283"/>
        <v>0</v>
      </c>
      <c r="Z291" s="79"/>
      <c r="AA291" s="80"/>
      <c r="AB291" s="81"/>
      <c r="AC291" s="70">
        <f t="shared" si="284"/>
        <v>2</v>
      </c>
      <c r="AD291" s="71">
        <f t="shared" si="285"/>
        <v>2</v>
      </c>
      <c r="AE291" s="72">
        <f t="shared" si="306"/>
        <v>0</v>
      </c>
      <c r="AF291" s="134">
        <f t="shared" si="307"/>
        <v>0</v>
      </c>
      <c r="AG291" s="78">
        <f t="shared" si="286"/>
        <v>0</v>
      </c>
      <c r="AH291" s="79"/>
      <c r="AI291" s="80"/>
      <c r="AJ291" s="81"/>
      <c r="AK291" s="70">
        <f t="shared" si="287"/>
        <v>2</v>
      </c>
      <c r="AL291" s="71">
        <f t="shared" si="288"/>
        <v>2</v>
      </c>
      <c r="AM291" s="72">
        <f t="shared" si="308"/>
        <v>0</v>
      </c>
      <c r="AN291" s="134">
        <f t="shared" si="309"/>
        <v>0</v>
      </c>
      <c r="AO291" s="78">
        <f t="shared" si="289"/>
        <v>0</v>
      </c>
      <c r="AP291" s="79"/>
      <c r="AQ291" s="80"/>
      <c r="AR291" s="81"/>
      <c r="AS291" s="70">
        <f t="shared" si="290"/>
        <v>2</v>
      </c>
      <c r="AT291" s="71">
        <f t="shared" si="291"/>
        <v>2</v>
      </c>
      <c r="AU291" s="72">
        <f t="shared" si="310"/>
        <v>0</v>
      </c>
      <c r="AV291" s="134">
        <f t="shared" si="311"/>
        <v>0</v>
      </c>
      <c r="AW291" s="78">
        <f t="shared" si="292"/>
        <v>0.11</v>
      </c>
      <c r="AX291" s="79">
        <v>0.11</v>
      </c>
      <c r="AY291" s="80"/>
      <c r="AZ291" s="81"/>
      <c r="BA291" s="70">
        <f t="shared" si="293"/>
        <v>2.11</v>
      </c>
      <c r="BB291" s="71">
        <f t="shared" si="294"/>
        <v>2.11</v>
      </c>
      <c r="BC291" s="72">
        <f t="shared" si="312"/>
        <v>0</v>
      </c>
      <c r="BD291" s="134">
        <f t="shared" si="313"/>
        <v>0</v>
      </c>
      <c r="BE291" s="78">
        <f t="shared" si="295"/>
        <v>0</v>
      </c>
      <c r="BF291" s="79"/>
      <c r="BG291" s="80"/>
      <c r="BH291" s="81"/>
      <c r="BI291" s="70">
        <f t="shared" si="296"/>
        <v>2.11</v>
      </c>
      <c r="BJ291" s="71">
        <f t="shared" si="297"/>
        <v>2.11</v>
      </c>
      <c r="BK291" s="72">
        <f t="shared" si="263"/>
        <v>0</v>
      </c>
      <c r="BL291" s="134">
        <f t="shared" si="264"/>
        <v>0</v>
      </c>
    </row>
    <row r="292" spans="1:64" ht="12.9" hidden="1" x14ac:dyDescent="0.35">
      <c r="A292" s="118" t="s">
        <v>40</v>
      </c>
      <c r="B292" s="50" t="s">
        <v>47</v>
      </c>
      <c r="C292" s="27" t="s">
        <v>272</v>
      </c>
      <c r="D292" s="25" t="s">
        <v>38</v>
      </c>
      <c r="E292" s="78">
        <f t="shared" si="280"/>
        <v>0</v>
      </c>
      <c r="F292" s="79"/>
      <c r="G292" s="80"/>
      <c r="H292" s="81"/>
      <c r="I292" s="78">
        <f t="shared" si="281"/>
        <v>0</v>
      </c>
      <c r="J292" s="79"/>
      <c r="K292" s="80"/>
      <c r="L292" s="81"/>
      <c r="M292" s="70">
        <f t="shared" si="300"/>
        <v>0</v>
      </c>
      <c r="N292" s="71">
        <f t="shared" si="301"/>
        <v>0</v>
      </c>
      <c r="O292" s="72">
        <f t="shared" si="302"/>
        <v>0</v>
      </c>
      <c r="P292" s="134">
        <f t="shared" si="303"/>
        <v>0</v>
      </c>
      <c r="Q292" s="78">
        <f t="shared" si="282"/>
        <v>0</v>
      </c>
      <c r="R292" s="79"/>
      <c r="S292" s="80"/>
      <c r="T292" s="81"/>
      <c r="U292" s="70">
        <f t="shared" si="298"/>
        <v>0</v>
      </c>
      <c r="V292" s="71">
        <f t="shared" si="299"/>
        <v>0</v>
      </c>
      <c r="W292" s="72">
        <f t="shared" si="304"/>
        <v>0</v>
      </c>
      <c r="X292" s="134">
        <f t="shared" si="305"/>
        <v>0</v>
      </c>
      <c r="Y292" s="78">
        <f t="shared" si="283"/>
        <v>0</v>
      </c>
      <c r="Z292" s="79"/>
      <c r="AA292" s="80"/>
      <c r="AB292" s="81"/>
      <c r="AC292" s="70">
        <f t="shared" si="284"/>
        <v>0</v>
      </c>
      <c r="AD292" s="71">
        <f t="shared" si="285"/>
        <v>0</v>
      </c>
      <c r="AE292" s="72">
        <f t="shared" si="306"/>
        <v>0</v>
      </c>
      <c r="AF292" s="134">
        <f t="shared" si="307"/>
        <v>0</v>
      </c>
      <c r="AG292" s="78">
        <f t="shared" si="286"/>
        <v>0</v>
      </c>
      <c r="AH292" s="79"/>
      <c r="AI292" s="80"/>
      <c r="AJ292" s="81"/>
      <c r="AK292" s="70">
        <f t="shared" si="287"/>
        <v>0</v>
      </c>
      <c r="AL292" s="71">
        <f t="shared" si="288"/>
        <v>0</v>
      </c>
      <c r="AM292" s="72">
        <f t="shared" si="308"/>
        <v>0</v>
      </c>
      <c r="AN292" s="134">
        <f t="shared" si="309"/>
        <v>0</v>
      </c>
      <c r="AO292" s="78">
        <f t="shared" si="289"/>
        <v>0</v>
      </c>
      <c r="AP292" s="79"/>
      <c r="AQ292" s="80"/>
      <c r="AR292" s="81"/>
      <c r="AS292" s="70">
        <f t="shared" si="290"/>
        <v>0</v>
      </c>
      <c r="AT292" s="71">
        <f t="shared" si="291"/>
        <v>0</v>
      </c>
      <c r="AU292" s="72">
        <f t="shared" si="310"/>
        <v>0</v>
      </c>
      <c r="AV292" s="134">
        <f t="shared" si="311"/>
        <v>0</v>
      </c>
      <c r="AW292" s="78">
        <f t="shared" si="292"/>
        <v>0</v>
      </c>
      <c r="AX292" s="79"/>
      <c r="AY292" s="80"/>
      <c r="AZ292" s="81"/>
      <c r="BA292" s="70">
        <f t="shared" si="293"/>
        <v>0</v>
      </c>
      <c r="BB292" s="71">
        <f t="shared" si="294"/>
        <v>0</v>
      </c>
      <c r="BC292" s="72">
        <f t="shared" si="312"/>
        <v>0</v>
      </c>
      <c r="BD292" s="134">
        <f t="shared" si="313"/>
        <v>0</v>
      </c>
      <c r="BE292" s="78">
        <f t="shared" si="295"/>
        <v>0</v>
      </c>
      <c r="BF292" s="79"/>
      <c r="BG292" s="80"/>
      <c r="BH292" s="81"/>
      <c r="BI292" s="70">
        <f t="shared" si="296"/>
        <v>0</v>
      </c>
      <c r="BJ292" s="71">
        <f t="shared" si="297"/>
        <v>0</v>
      </c>
      <c r="BK292" s="72">
        <f t="shared" si="263"/>
        <v>0</v>
      </c>
      <c r="BL292" s="134">
        <f t="shared" si="264"/>
        <v>0</v>
      </c>
    </row>
    <row r="293" spans="1:64" ht="12.9" x14ac:dyDescent="0.35">
      <c r="A293" s="285" t="s">
        <v>7</v>
      </c>
      <c r="B293" s="237" t="s">
        <v>48</v>
      </c>
      <c r="C293" s="27" t="s">
        <v>277</v>
      </c>
      <c r="D293" s="25" t="s">
        <v>125</v>
      </c>
      <c r="E293" s="78">
        <f t="shared" si="280"/>
        <v>79</v>
      </c>
      <c r="F293" s="79">
        <v>79</v>
      </c>
      <c r="G293" s="80"/>
      <c r="H293" s="81"/>
      <c r="I293" s="78">
        <f t="shared" si="281"/>
        <v>0</v>
      </c>
      <c r="J293" s="79"/>
      <c r="K293" s="80"/>
      <c r="L293" s="81"/>
      <c r="M293" s="70">
        <f t="shared" si="300"/>
        <v>79</v>
      </c>
      <c r="N293" s="71">
        <f t="shared" si="301"/>
        <v>79</v>
      </c>
      <c r="O293" s="72">
        <f t="shared" si="302"/>
        <v>0</v>
      </c>
      <c r="P293" s="134">
        <f t="shared" si="303"/>
        <v>0</v>
      </c>
      <c r="Q293" s="78">
        <f t="shared" si="282"/>
        <v>0</v>
      </c>
      <c r="R293" s="79"/>
      <c r="S293" s="80"/>
      <c r="T293" s="81"/>
      <c r="U293" s="70">
        <f t="shared" si="298"/>
        <v>79</v>
      </c>
      <c r="V293" s="71">
        <f t="shared" si="299"/>
        <v>79</v>
      </c>
      <c r="W293" s="72">
        <f t="shared" si="304"/>
        <v>0</v>
      </c>
      <c r="X293" s="134">
        <f t="shared" si="305"/>
        <v>0</v>
      </c>
      <c r="Y293" s="78">
        <f t="shared" si="283"/>
        <v>0</v>
      </c>
      <c r="Z293" s="79"/>
      <c r="AA293" s="80"/>
      <c r="AB293" s="81"/>
      <c r="AC293" s="70">
        <f t="shared" si="284"/>
        <v>79</v>
      </c>
      <c r="AD293" s="71">
        <f t="shared" si="285"/>
        <v>79</v>
      </c>
      <c r="AE293" s="72">
        <f t="shared" si="306"/>
        <v>0</v>
      </c>
      <c r="AF293" s="134">
        <f t="shared" si="307"/>
        <v>0</v>
      </c>
      <c r="AG293" s="78">
        <f t="shared" si="286"/>
        <v>0</v>
      </c>
      <c r="AH293" s="79"/>
      <c r="AI293" s="80"/>
      <c r="AJ293" s="81"/>
      <c r="AK293" s="70">
        <f t="shared" si="287"/>
        <v>79</v>
      </c>
      <c r="AL293" s="71">
        <f t="shared" si="288"/>
        <v>79</v>
      </c>
      <c r="AM293" s="72">
        <f t="shared" si="308"/>
        <v>0</v>
      </c>
      <c r="AN293" s="134">
        <f t="shared" si="309"/>
        <v>0</v>
      </c>
      <c r="AO293" s="78">
        <f t="shared" si="289"/>
        <v>0</v>
      </c>
      <c r="AP293" s="79"/>
      <c r="AQ293" s="80"/>
      <c r="AR293" s="81"/>
      <c r="AS293" s="70">
        <f t="shared" si="290"/>
        <v>79</v>
      </c>
      <c r="AT293" s="71">
        <f t="shared" si="291"/>
        <v>79</v>
      </c>
      <c r="AU293" s="72">
        <f t="shared" si="310"/>
        <v>0</v>
      </c>
      <c r="AV293" s="134">
        <f t="shared" si="311"/>
        <v>0</v>
      </c>
      <c r="AW293" s="78">
        <f t="shared" si="292"/>
        <v>-74.087999999999994</v>
      </c>
      <c r="AX293" s="79">
        <v>-74.087999999999994</v>
      </c>
      <c r="AY293" s="80"/>
      <c r="AZ293" s="81"/>
      <c r="BA293" s="70">
        <f t="shared" si="293"/>
        <v>4.9120000000000061</v>
      </c>
      <c r="BB293" s="71">
        <f t="shared" si="294"/>
        <v>4.9120000000000061</v>
      </c>
      <c r="BC293" s="72">
        <f t="shared" si="312"/>
        <v>0</v>
      </c>
      <c r="BD293" s="134">
        <f t="shared" si="313"/>
        <v>0</v>
      </c>
      <c r="BE293" s="78">
        <f t="shared" si="295"/>
        <v>0</v>
      </c>
      <c r="BF293" s="79"/>
      <c r="BG293" s="80"/>
      <c r="BH293" s="81"/>
      <c r="BI293" s="70">
        <f t="shared" si="296"/>
        <v>4.9120000000000061</v>
      </c>
      <c r="BJ293" s="71">
        <f t="shared" si="297"/>
        <v>4.9120000000000061</v>
      </c>
      <c r="BK293" s="72">
        <f t="shared" si="263"/>
        <v>0</v>
      </c>
      <c r="BL293" s="134">
        <f t="shared" si="264"/>
        <v>0</v>
      </c>
    </row>
    <row r="294" spans="1:64" ht="12.9" x14ac:dyDescent="0.35">
      <c r="A294" s="286"/>
      <c r="B294" s="238"/>
      <c r="C294" s="27" t="s">
        <v>291</v>
      </c>
      <c r="D294" s="48" t="s">
        <v>137</v>
      </c>
      <c r="E294" s="78">
        <f t="shared" si="280"/>
        <v>0</v>
      </c>
      <c r="F294" s="79">
        <v>0</v>
      </c>
      <c r="G294" s="80">
        <v>0</v>
      </c>
      <c r="H294" s="81">
        <v>0</v>
      </c>
      <c r="I294" s="78">
        <f t="shared" si="281"/>
        <v>0</v>
      </c>
      <c r="J294" s="79">
        <v>0</v>
      </c>
      <c r="K294" s="80">
        <v>0</v>
      </c>
      <c r="L294" s="81">
        <v>0</v>
      </c>
      <c r="M294" s="70">
        <f t="shared" si="300"/>
        <v>0</v>
      </c>
      <c r="N294" s="71">
        <f t="shared" si="301"/>
        <v>0</v>
      </c>
      <c r="O294" s="72">
        <f t="shared" si="302"/>
        <v>0</v>
      </c>
      <c r="P294" s="134">
        <f t="shared" si="303"/>
        <v>0</v>
      </c>
      <c r="Q294" s="78">
        <f t="shared" si="282"/>
        <v>207</v>
      </c>
      <c r="R294" s="79">
        <v>207</v>
      </c>
      <c r="S294" s="80">
        <v>0</v>
      </c>
      <c r="T294" s="81">
        <v>0</v>
      </c>
      <c r="U294" s="70">
        <f t="shared" si="298"/>
        <v>207</v>
      </c>
      <c r="V294" s="71">
        <f t="shared" si="299"/>
        <v>207</v>
      </c>
      <c r="W294" s="72">
        <f t="shared" si="304"/>
        <v>0</v>
      </c>
      <c r="X294" s="134">
        <f t="shared" si="305"/>
        <v>0</v>
      </c>
      <c r="Y294" s="78">
        <f t="shared" si="283"/>
        <v>0</v>
      </c>
      <c r="Z294" s="79"/>
      <c r="AA294" s="80"/>
      <c r="AB294" s="81">
        <v>0</v>
      </c>
      <c r="AC294" s="70">
        <f t="shared" si="284"/>
        <v>207</v>
      </c>
      <c r="AD294" s="71">
        <f t="shared" si="285"/>
        <v>207</v>
      </c>
      <c r="AE294" s="72">
        <f t="shared" si="306"/>
        <v>0</v>
      </c>
      <c r="AF294" s="134">
        <f t="shared" si="307"/>
        <v>0</v>
      </c>
      <c r="AG294" s="78">
        <f t="shared" si="286"/>
        <v>0</v>
      </c>
      <c r="AH294" s="79"/>
      <c r="AI294" s="80"/>
      <c r="AJ294" s="81">
        <v>0</v>
      </c>
      <c r="AK294" s="70">
        <f t="shared" si="287"/>
        <v>207</v>
      </c>
      <c r="AL294" s="71">
        <f t="shared" si="288"/>
        <v>207</v>
      </c>
      <c r="AM294" s="72">
        <f t="shared" si="308"/>
        <v>0</v>
      </c>
      <c r="AN294" s="134">
        <f t="shared" si="309"/>
        <v>0</v>
      </c>
      <c r="AO294" s="78">
        <f t="shared" si="289"/>
        <v>0</v>
      </c>
      <c r="AP294" s="79"/>
      <c r="AQ294" s="80"/>
      <c r="AR294" s="81">
        <v>0</v>
      </c>
      <c r="AS294" s="70">
        <f t="shared" si="290"/>
        <v>207</v>
      </c>
      <c r="AT294" s="71">
        <f t="shared" si="291"/>
        <v>207</v>
      </c>
      <c r="AU294" s="72">
        <f t="shared" si="310"/>
        <v>0</v>
      </c>
      <c r="AV294" s="134">
        <f t="shared" si="311"/>
        <v>0</v>
      </c>
      <c r="AW294" s="78">
        <f t="shared" si="292"/>
        <v>-207</v>
      </c>
      <c r="AX294" s="79">
        <v>-207</v>
      </c>
      <c r="AY294" s="80"/>
      <c r="AZ294" s="81">
        <v>0</v>
      </c>
      <c r="BA294" s="70">
        <f t="shared" si="293"/>
        <v>0</v>
      </c>
      <c r="BB294" s="71">
        <f t="shared" si="294"/>
        <v>0</v>
      </c>
      <c r="BC294" s="72">
        <f t="shared" si="312"/>
        <v>0</v>
      </c>
      <c r="BD294" s="134">
        <f t="shared" si="313"/>
        <v>0</v>
      </c>
      <c r="BE294" s="78">
        <f t="shared" si="295"/>
        <v>0</v>
      </c>
      <c r="BF294" s="79"/>
      <c r="BG294" s="80"/>
      <c r="BH294" s="81"/>
      <c r="BI294" s="70">
        <f t="shared" si="296"/>
        <v>0</v>
      </c>
      <c r="BJ294" s="71">
        <f t="shared" si="297"/>
        <v>0</v>
      </c>
      <c r="BK294" s="72">
        <f t="shared" si="263"/>
        <v>0</v>
      </c>
      <c r="BL294" s="134">
        <f t="shared" si="264"/>
        <v>0</v>
      </c>
    </row>
    <row r="295" spans="1:64" s="138" customFormat="1" ht="12.45" x14ac:dyDescent="0.3">
      <c r="A295" s="139"/>
      <c r="B295" s="136" t="s">
        <v>206</v>
      </c>
      <c r="C295" s="49" t="s">
        <v>119</v>
      </c>
      <c r="D295" s="140"/>
      <c r="E295" s="73">
        <f t="shared" si="280"/>
        <v>587.10400000000004</v>
      </c>
      <c r="F295" s="74">
        <f>SUM(F297:F308)</f>
        <v>586.50400000000002</v>
      </c>
      <c r="G295" s="75">
        <f>SUM(G297:G308)</f>
        <v>493.90999999999997</v>
      </c>
      <c r="H295" s="133">
        <f>SUM(H297:H308)</f>
        <v>0.6</v>
      </c>
      <c r="I295" s="73">
        <f t="shared" si="281"/>
        <v>3.0760000000000001</v>
      </c>
      <c r="J295" s="74">
        <f>SUM(J297:J308)</f>
        <v>3.0760000000000001</v>
      </c>
      <c r="K295" s="75">
        <f>SUM(K297:K308)</f>
        <v>2.964</v>
      </c>
      <c r="L295" s="133">
        <f>SUM(L297:L308)</f>
        <v>0</v>
      </c>
      <c r="M295" s="73">
        <f t="shared" si="300"/>
        <v>590.18000000000006</v>
      </c>
      <c r="N295" s="74">
        <f t="shared" si="301"/>
        <v>589.58000000000004</v>
      </c>
      <c r="O295" s="75">
        <f t="shared" si="302"/>
        <v>496.87399999999997</v>
      </c>
      <c r="P295" s="133">
        <f t="shared" si="303"/>
        <v>0.6</v>
      </c>
      <c r="Q295" s="73">
        <f t="shared" si="282"/>
        <v>0</v>
      </c>
      <c r="R295" s="74">
        <f>SUM(R297:R308)</f>
        <v>0</v>
      </c>
      <c r="S295" s="75">
        <f>SUM(S297:S308)</f>
        <v>0</v>
      </c>
      <c r="T295" s="133">
        <f>SUM(T297:T308)</f>
        <v>0</v>
      </c>
      <c r="U295" s="73">
        <f t="shared" si="298"/>
        <v>590.18000000000006</v>
      </c>
      <c r="V295" s="74">
        <f t="shared" si="299"/>
        <v>589.58000000000004</v>
      </c>
      <c r="W295" s="75">
        <f t="shared" si="304"/>
        <v>496.87399999999997</v>
      </c>
      <c r="X295" s="133">
        <f t="shared" si="305"/>
        <v>0.6</v>
      </c>
      <c r="Y295" s="73">
        <f t="shared" si="283"/>
        <v>0.91500000000000004</v>
      </c>
      <c r="Z295" s="74">
        <f>SUM(Z297:Z308)</f>
        <v>0.91500000000000004</v>
      </c>
      <c r="AA295" s="75">
        <f>SUM(AA297:AA308)</f>
        <v>0</v>
      </c>
      <c r="AB295" s="133">
        <f>SUM(AB297:AB308)</f>
        <v>0</v>
      </c>
      <c r="AC295" s="73">
        <f t="shared" si="284"/>
        <v>591.09500000000003</v>
      </c>
      <c r="AD295" s="74">
        <f t="shared" si="285"/>
        <v>590.495</v>
      </c>
      <c r="AE295" s="75">
        <f t="shared" si="306"/>
        <v>496.87399999999997</v>
      </c>
      <c r="AF295" s="133">
        <f t="shared" si="307"/>
        <v>0.6</v>
      </c>
      <c r="AG295" s="73">
        <f t="shared" si="286"/>
        <v>44.471999999999994</v>
      </c>
      <c r="AH295" s="74">
        <f>SUM(AH297:AH308)</f>
        <v>44.471999999999994</v>
      </c>
      <c r="AI295" s="75">
        <f>SUM(AI297:AI308)</f>
        <v>41.411999999999999</v>
      </c>
      <c r="AJ295" s="133">
        <f>SUM(AJ297:AJ308)</f>
        <v>0</v>
      </c>
      <c r="AK295" s="73">
        <f t="shared" si="287"/>
        <v>635.56700000000001</v>
      </c>
      <c r="AL295" s="74">
        <f t="shared" si="288"/>
        <v>634.96699999999998</v>
      </c>
      <c r="AM295" s="75">
        <f t="shared" si="308"/>
        <v>538.28599999999994</v>
      </c>
      <c r="AN295" s="133">
        <f t="shared" si="309"/>
        <v>0.6</v>
      </c>
      <c r="AO295" s="73">
        <f t="shared" si="289"/>
        <v>10.637</v>
      </c>
      <c r="AP295" s="74">
        <f>SUM(AP297:AP308)</f>
        <v>10.637</v>
      </c>
      <c r="AQ295" s="75">
        <f>SUM(AQ297:AQ308)</f>
        <v>7.4779999999999998</v>
      </c>
      <c r="AR295" s="133">
        <f>SUM(AR297:AR308)</f>
        <v>0</v>
      </c>
      <c r="AS295" s="73">
        <f t="shared" si="290"/>
        <v>646.20400000000006</v>
      </c>
      <c r="AT295" s="74">
        <f t="shared" si="291"/>
        <v>645.60400000000004</v>
      </c>
      <c r="AU295" s="75">
        <f t="shared" si="310"/>
        <v>545.7639999999999</v>
      </c>
      <c r="AV295" s="133">
        <f t="shared" si="311"/>
        <v>0.6</v>
      </c>
      <c r="AW295" s="73">
        <f t="shared" si="292"/>
        <v>7.6949999999999994</v>
      </c>
      <c r="AX295" s="74">
        <f>SUM(AX297:AX308)</f>
        <v>7.6949999999999994</v>
      </c>
      <c r="AY295" s="75">
        <f>SUM(AY297:AY308)</f>
        <v>0</v>
      </c>
      <c r="AZ295" s="133">
        <f>SUM(AZ297:AZ308)</f>
        <v>0</v>
      </c>
      <c r="BA295" s="73">
        <f t="shared" si="293"/>
        <v>653.89900000000011</v>
      </c>
      <c r="BB295" s="74">
        <f t="shared" si="294"/>
        <v>653.29900000000009</v>
      </c>
      <c r="BC295" s="75">
        <f t="shared" si="312"/>
        <v>545.7639999999999</v>
      </c>
      <c r="BD295" s="133">
        <f t="shared" si="313"/>
        <v>0.6</v>
      </c>
      <c r="BE295" s="73">
        <f>SUM(BH295,BF295)</f>
        <v>8.8940000000000001</v>
      </c>
      <c r="BF295" s="74">
        <f>SUM(BF297:BF308)</f>
        <v>6.2940000000000005</v>
      </c>
      <c r="BG295" s="75">
        <f>SUM(BG297:BG308)</f>
        <v>4.899</v>
      </c>
      <c r="BH295" s="133">
        <f>SUM(BH297:BH308)</f>
        <v>2.6</v>
      </c>
      <c r="BI295" s="73">
        <f t="shared" si="296"/>
        <v>662.79300000000012</v>
      </c>
      <c r="BJ295" s="74">
        <f t="shared" si="297"/>
        <v>659.59300000000007</v>
      </c>
      <c r="BK295" s="75">
        <f t="shared" si="263"/>
        <v>550.6629999999999</v>
      </c>
      <c r="BL295" s="133">
        <f t="shared" si="264"/>
        <v>3.2</v>
      </c>
    </row>
    <row r="296" spans="1:64" ht="12.9" x14ac:dyDescent="0.35">
      <c r="A296" s="43"/>
      <c r="B296" s="4" t="s">
        <v>2</v>
      </c>
      <c r="C296" s="44"/>
      <c r="D296" s="28"/>
      <c r="E296" s="78">
        <f t="shared" si="280"/>
        <v>0</v>
      </c>
      <c r="F296" s="79">
        <v>0</v>
      </c>
      <c r="G296" s="80">
        <v>0</v>
      </c>
      <c r="H296" s="81">
        <v>0</v>
      </c>
      <c r="I296" s="78">
        <f t="shared" si="281"/>
        <v>0</v>
      </c>
      <c r="J296" s="79">
        <v>0</v>
      </c>
      <c r="K296" s="80">
        <v>0</v>
      </c>
      <c r="L296" s="81">
        <v>0</v>
      </c>
      <c r="M296" s="70">
        <f t="shared" si="300"/>
        <v>0</v>
      </c>
      <c r="N296" s="71">
        <f t="shared" si="301"/>
        <v>0</v>
      </c>
      <c r="O296" s="72">
        <f t="shared" si="302"/>
        <v>0</v>
      </c>
      <c r="P296" s="134">
        <f t="shared" si="303"/>
        <v>0</v>
      </c>
      <c r="Q296" s="78">
        <f t="shared" si="282"/>
        <v>0</v>
      </c>
      <c r="R296" s="79">
        <v>0</v>
      </c>
      <c r="S296" s="80">
        <v>0</v>
      </c>
      <c r="T296" s="81">
        <v>0</v>
      </c>
      <c r="U296" s="70">
        <f t="shared" si="298"/>
        <v>0</v>
      </c>
      <c r="V296" s="71">
        <f t="shared" si="299"/>
        <v>0</v>
      </c>
      <c r="W296" s="72">
        <f t="shared" si="304"/>
        <v>0</v>
      </c>
      <c r="X296" s="134">
        <f t="shared" si="305"/>
        <v>0</v>
      </c>
      <c r="Y296" s="78">
        <f t="shared" si="283"/>
        <v>0</v>
      </c>
      <c r="Z296" s="79">
        <v>0</v>
      </c>
      <c r="AA296" s="80">
        <v>0</v>
      </c>
      <c r="AB296" s="81">
        <v>0</v>
      </c>
      <c r="AC296" s="70">
        <f t="shared" si="284"/>
        <v>0</v>
      </c>
      <c r="AD296" s="71">
        <f t="shared" si="285"/>
        <v>0</v>
      </c>
      <c r="AE296" s="72">
        <f t="shared" si="306"/>
        <v>0</v>
      </c>
      <c r="AF296" s="134">
        <f t="shared" si="307"/>
        <v>0</v>
      </c>
      <c r="AG296" s="78">
        <f t="shared" si="286"/>
        <v>0</v>
      </c>
      <c r="AH296" s="79">
        <v>0</v>
      </c>
      <c r="AI296" s="80">
        <v>0</v>
      </c>
      <c r="AJ296" s="81">
        <v>0</v>
      </c>
      <c r="AK296" s="70">
        <f t="shared" si="287"/>
        <v>0</v>
      </c>
      <c r="AL296" s="71">
        <f t="shared" si="288"/>
        <v>0</v>
      </c>
      <c r="AM296" s="72">
        <f t="shared" si="308"/>
        <v>0</v>
      </c>
      <c r="AN296" s="134">
        <f t="shared" si="309"/>
        <v>0</v>
      </c>
      <c r="AO296" s="78">
        <f t="shared" si="289"/>
        <v>0</v>
      </c>
      <c r="AP296" s="79">
        <v>0</v>
      </c>
      <c r="AQ296" s="80">
        <v>0</v>
      </c>
      <c r="AR296" s="81">
        <v>0</v>
      </c>
      <c r="AS296" s="70">
        <f t="shared" si="290"/>
        <v>0</v>
      </c>
      <c r="AT296" s="71">
        <f t="shared" si="291"/>
        <v>0</v>
      </c>
      <c r="AU296" s="72">
        <f t="shared" si="310"/>
        <v>0</v>
      </c>
      <c r="AV296" s="134">
        <f t="shared" si="311"/>
        <v>0</v>
      </c>
      <c r="AW296" s="78">
        <f t="shared" si="292"/>
        <v>0</v>
      </c>
      <c r="AX296" s="79">
        <v>0</v>
      </c>
      <c r="AY296" s="80">
        <v>0</v>
      </c>
      <c r="AZ296" s="81">
        <v>0</v>
      </c>
      <c r="BA296" s="70">
        <f t="shared" si="293"/>
        <v>0</v>
      </c>
      <c r="BB296" s="71">
        <f t="shared" si="294"/>
        <v>0</v>
      </c>
      <c r="BC296" s="72">
        <f t="shared" si="312"/>
        <v>0</v>
      </c>
      <c r="BD296" s="134">
        <f t="shared" si="313"/>
        <v>0</v>
      </c>
      <c r="BE296" s="78">
        <f t="shared" si="295"/>
        <v>0</v>
      </c>
      <c r="BF296" s="79">
        <v>0</v>
      </c>
      <c r="BG296" s="80">
        <v>0</v>
      </c>
      <c r="BH296" s="81">
        <v>0</v>
      </c>
      <c r="BI296" s="70">
        <f t="shared" si="296"/>
        <v>0</v>
      </c>
      <c r="BJ296" s="71">
        <f t="shared" si="297"/>
        <v>0</v>
      </c>
      <c r="BK296" s="72">
        <f t="shared" si="263"/>
        <v>0</v>
      </c>
      <c r="BL296" s="134">
        <f t="shared" si="264"/>
        <v>0</v>
      </c>
    </row>
    <row r="297" spans="1:64" ht="12.9" x14ac:dyDescent="0.35">
      <c r="A297" s="25" t="s">
        <v>22</v>
      </c>
      <c r="B297" s="26" t="s">
        <v>34</v>
      </c>
      <c r="C297" s="27" t="s">
        <v>96</v>
      </c>
      <c r="D297" s="40" t="s">
        <v>125</v>
      </c>
      <c r="E297" s="78">
        <f t="shared" si="280"/>
        <v>0.4</v>
      </c>
      <c r="F297" s="79">
        <v>0.4</v>
      </c>
      <c r="G297" s="80"/>
      <c r="H297" s="81"/>
      <c r="I297" s="78">
        <f t="shared" si="281"/>
        <v>0</v>
      </c>
      <c r="J297" s="79"/>
      <c r="K297" s="80"/>
      <c r="L297" s="81"/>
      <c r="M297" s="70">
        <f t="shared" si="300"/>
        <v>0.4</v>
      </c>
      <c r="N297" s="71">
        <f t="shared" si="301"/>
        <v>0.4</v>
      </c>
      <c r="O297" s="72">
        <f t="shared" si="302"/>
        <v>0</v>
      </c>
      <c r="P297" s="134">
        <f t="shared" si="303"/>
        <v>0</v>
      </c>
      <c r="Q297" s="78">
        <f t="shared" si="282"/>
        <v>0</v>
      </c>
      <c r="R297" s="79"/>
      <c r="S297" s="80"/>
      <c r="T297" s="81"/>
      <c r="U297" s="70">
        <f t="shared" si="298"/>
        <v>0.4</v>
      </c>
      <c r="V297" s="71">
        <f t="shared" si="299"/>
        <v>0.4</v>
      </c>
      <c r="W297" s="72">
        <f t="shared" si="304"/>
        <v>0</v>
      </c>
      <c r="X297" s="134">
        <f t="shared" si="305"/>
        <v>0</v>
      </c>
      <c r="Y297" s="78">
        <f t="shared" si="283"/>
        <v>0</v>
      </c>
      <c r="Z297" s="79"/>
      <c r="AA297" s="80"/>
      <c r="AB297" s="81"/>
      <c r="AC297" s="70">
        <f t="shared" si="284"/>
        <v>0.4</v>
      </c>
      <c r="AD297" s="71">
        <f t="shared" si="285"/>
        <v>0.4</v>
      </c>
      <c r="AE297" s="72">
        <f t="shared" si="306"/>
        <v>0</v>
      </c>
      <c r="AF297" s="134">
        <f t="shared" si="307"/>
        <v>0</v>
      </c>
      <c r="AG297" s="78">
        <f t="shared" si="286"/>
        <v>0</v>
      </c>
      <c r="AH297" s="79"/>
      <c r="AI297" s="80"/>
      <c r="AJ297" s="81"/>
      <c r="AK297" s="70">
        <f t="shared" si="287"/>
        <v>0.4</v>
      </c>
      <c r="AL297" s="71">
        <f t="shared" si="288"/>
        <v>0.4</v>
      </c>
      <c r="AM297" s="72">
        <f t="shared" si="308"/>
        <v>0</v>
      </c>
      <c r="AN297" s="134">
        <f t="shared" si="309"/>
        <v>0</v>
      </c>
      <c r="AO297" s="78">
        <f t="shared" si="289"/>
        <v>0</v>
      </c>
      <c r="AP297" s="79"/>
      <c r="AQ297" s="80"/>
      <c r="AR297" s="81"/>
      <c r="AS297" s="70">
        <f t="shared" si="290"/>
        <v>0.4</v>
      </c>
      <c r="AT297" s="71">
        <f t="shared" si="291"/>
        <v>0.4</v>
      </c>
      <c r="AU297" s="72">
        <f t="shared" si="310"/>
        <v>0</v>
      </c>
      <c r="AV297" s="134">
        <f t="shared" si="311"/>
        <v>0</v>
      </c>
      <c r="AW297" s="78">
        <f t="shared" si="292"/>
        <v>0.5</v>
      </c>
      <c r="AX297" s="79">
        <v>0.5</v>
      </c>
      <c r="AY297" s="80"/>
      <c r="AZ297" s="81"/>
      <c r="BA297" s="70">
        <f t="shared" si="293"/>
        <v>0.9</v>
      </c>
      <c r="BB297" s="71">
        <f t="shared" si="294"/>
        <v>0.9</v>
      </c>
      <c r="BC297" s="72">
        <f t="shared" si="312"/>
        <v>0</v>
      </c>
      <c r="BD297" s="134">
        <f t="shared" si="313"/>
        <v>0</v>
      </c>
      <c r="BE297" s="78">
        <f t="shared" si="295"/>
        <v>0</v>
      </c>
      <c r="BF297" s="79"/>
      <c r="BG297" s="80"/>
      <c r="BH297" s="81"/>
      <c r="BI297" s="70">
        <f t="shared" si="296"/>
        <v>0.9</v>
      </c>
      <c r="BJ297" s="71">
        <f t="shared" si="297"/>
        <v>0.9</v>
      </c>
      <c r="BK297" s="72">
        <f t="shared" si="263"/>
        <v>0</v>
      </c>
      <c r="BL297" s="134">
        <f t="shared" si="264"/>
        <v>0</v>
      </c>
    </row>
    <row r="298" spans="1:64" ht="12.9" x14ac:dyDescent="0.35">
      <c r="A298" s="120" t="s">
        <v>25</v>
      </c>
      <c r="B298" s="116" t="s">
        <v>41</v>
      </c>
      <c r="C298" s="27" t="s">
        <v>184</v>
      </c>
      <c r="D298" s="40" t="s">
        <v>137</v>
      </c>
      <c r="E298" s="78">
        <f t="shared" si="280"/>
        <v>0</v>
      </c>
      <c r="F298" s="79"/>
      <c r="G298" s="80"/>
      <c r="H298" s="81"/>
      <c r="I298" s="78">
        <f t="shared" si="281"/>
        <v>0</v>
      </c>
      <c r="J298" s="79"/>
      <c r="K298" s="80"/>
      <c r="L298" s="81"/>
      <c r="M298" s="70">
        <f t="shared" si="300"/>
        <v>0</v>
      </c>
      <c r="N298" s="71">
        <f t="shared" si="301"/>
        <v>0</v>
      </c>
      <c r="O298" s="72">
        <f t="shared" si="302"/>
        <v>0</v>
      </c>
      <c r="P298" s="134">
        <f t="shared" si="303"/>
        <v>0</v>
      </c>
      <c r="Q298" s="78">
        <f t="shared" si="282"/>
        <v>0</v>
      </c>
      <c r="R298" s="79"/>
      <c r="S298" s="80"/>
      <c r="T298" s="81"/>
      <c r="U298" s="70">
        <f t="shared" si="298"/>
        <v>0</v>
      </c>
      <c r="V298" s="71">
        <f t="shared" si="299"/>
        <v>0</v>
      </c>
      <c r="W298" s="72">
        <f t="shared" si="304"/>
        <v>0</v>
      </c>
      <c r="X298" s="134">
        <f t="shared" si="305"/>
        <v>0</v>
      </c>
      <c r="Y298" s="78">
        <f t="shared" si="283"/>
        <v>0.91500000000000004</v>
      </c>
      <c r="Z298" s="79">
        <v>0.91500000000000004</v>
      </c>
      <c r="AA298" s="80"/>
      <c r="AB298" s="81"/>
      <c r="AC298" s="70">
        <f t="shared" si="284"/>
        <v>0.91500000000000004</v>
      </c>
      <c r="AD298" s="71">
        <f t="shared" si="285"/>
        <v>0.91500000000000004</v>
      </c>
      <c r="AE298" s="72">
        <f t="shared" si="306"/>
        <v>0</v>
      </c>
      <c r="AF298" s="134">
        <f t="shared" si="307"/>
        <v>0</v>
      </c>
      <c r="AG298" s="78">
        <f t="shared" si="286"/>
        <v>0</v>
      </c>
      <c r="AH298" s="79"/>
      <c r="AI298" s="80"/>
      <c r="AJ298" s="81"/>
      <c r="AK298" s="70">
        <f t="shared" si="287"/>
        <v>0.91500000000000004</v>
      </c>
      <c r="AL298" s="71">
        <f t="shared" si="288"/>
        <v>0.91500000000000004</v>
      </c>
      <c r="AM298" s="72">
        <f t="shared" si="308"/>
        <v>0</v>
      </c>
      <c r="AN298" s="134">
        <f t="shared" si="309"/>
        <v>0</v>
      </c>
      <c r="AO298" s="78">
        <f t="shared" si="289"/>
        <v>0</v>
      </c>
      <c r="AP298" s="79"/>
      <c r="AQ298" s="80"/>
      <c r="AR298" s="81"/>
      <c r="AS298" s="70">
        <f t="shared" si="290"/>
        <v>0.91500000000000004</v>
      </c>
      <c r="AT298" s="71">
        <f t="shared" si="291"/>
        <v>0.91500000000000004</v>
      </c>
      <c r="AU298" s="72">
        <f t="shared" si="310"/>
        <v>0</v>
      </c>
      <c r="AV298" s="134">
        <f t="shared" si="311"/>
        <v>0</v>
      </c>
      <c r="AW298" s="78">
        <f t="shared" si="292"/>
        <v>0</v>
      </c>
      <c r="AX298" s="79"/>
      <c r="AY298" s="80"/>
      <c r="AZ298" s="81"/>
      <c r="BA298" s="70">
        <f t="shared" si="293"/>
        <v>0.91500000000000004</v>
      </c>
      <c r="BB298" s="71">
        <f t="shared" si="294"/>
        <v>0.91500000000000004</v>
      </c>
      <c r="BC298" s="72">
        <f t="shared" si="312"/>
        <v>0</v>
      </c>
      <c r="BD298" s="134">
        <f t="shared" si="313"/>
        <v>0</v>
      </c>
      <c r="BE298" s="78">
        <f t="shared" si="295"/>
        <v>0</v>
      </c>
      <c r="BF298" s="79"/>
      <c r="BG298" s="80"/>
      <c r="BH298" s="81"/>
      <c r="BI298" s="70">
        <f t="shared" si="296"/>
        <v>0.91500000000000004</v>
      </c>
      <c r="BJ298" s="71">
        <f t="shared" si="297"/>
        <v>0.91500000000000004</v>
      </c>
      <c r="BK298" s="72">
        <f t="shared" si="263"/>
        <v>0</v>
      </c>
      <c r="BL298" s="134">
        <f t="shared" si="264"/>
        <v>0</v>
      </c>
    </row>
    <row r="299" spans="1:64" ht="12.9" x14ac:dyDescent="0.35">
      <c r="A299" s="231" t="s">
        <v>23</v>
      </c>
      <c r="B299" s="233" t="s">
        <v>44</v>
      </c>
      <c r="C299" s="27" t="s">
        <v>192</v>
      </c>
      <c r="D299" s="25" t="s">
        <v>125</v>
      </c>
      <c r="E299" s="78">
        <f t="shared" si="280"/>
        <v>559.80400000000009</v>
      </c>
      <c r="F299" s="79">
        <f>547.2+12.004</f>
        <v>559.20400000000006</v>
      </c>
      <c r="G299" s="80">
        <f>465.62+8.64-3.3</f>
        <v>470.96</v>
      </c>
      <c r="H299" s="81">
        <v>0.6</v>
      </c>
      <c r="I299" s="78">
        <f t="shared" si="281"/>
        <v>0</v>
      </c>
      <c r="J299" s="79"/>
      <c r="K299" s="80"/>
      <c r="L299" s="81"/>
      <c r="M299" s="70">
        <f t="shared" si="300"/>
        <v>559.80400000000009</v>
      </c>
      <c r="N299" s="71">
        <f t="shared" si="301"/>
        <v>559.20400000000006</v>
      </c>
      <c r="O299" s="72">
        <f t="shared" si="302"/>
        <v>470.96</v>
      </c>
      <c r="P299" s="134">
        <f t="shared" si="303"/>
        <v>0.6</v>
      </c>
      <c r="Q299" s="78">
        <f t="shared" si="282"/>
        <v>0</v>
      </c>
      <c r="R299" s="79"/>
      <c r="S299" s="80"/>
      <c r="T299" s="81"/>
      <c r="U299" s="70">
        <f t="shared" si="298"/>
        <v>559.80400000000009</v>
      </c>
      <c r="V299" s="71">
        <f t="shared" si="299"/>
        <v>559.20400000000006</v>
      </c>
      <c r="W299" s="72">
        <f t="shared" si="304"/>
        <v>470.96</v>
      </c>
      <c r="X299" s="134">
        <f t="shared" si="305"/>
        <v>0.6</v>
      </c>
      <c r="Y299" s="78">
        <f t="shared" si="283"/>
        <v>0</v>
      </c>
      <c r="Z299" s="79"/>
      <c r="AA299" s="80"/>
      <c r="AB299" s="81"/>
      <c r="AC299" s="70">
        <f t="shared" si="284"/>
        <v>559.80400000000009</v>
      </c>
      <c r="AD299" s="71">
        <f t="shared" si="285"/>
        <v>559.20400000000006</v>
      </c>
      <c r="AE299" s="72">
        <f t="shared" si="306"/>
        <v>470.96</v>
      </c>
      <c r="AF299" s="134">
        <f t="shared" si="307"/>
        <v>0.6</v>
      </c>
      <c r="AG299" s="78">
        <f t="shared" si="286"/>
        <v>0.37</v>
      </c>
      <c r="AH299" s="79">
        <v>0.37</v>
      </c>
      <c r="AI299" s="80"/>
      <c r="AJ299" s="81"/>
      <c r="AK299" s="70">
        <f t="shared" si="287"/>
        <v>560.17400000000009</v>
      </c>
      <c r="AL299" s="71">
        <f t="shared" si="288"/>
        <v>559.57400000000007</v>
      </c>
      <c r="AM299" s="72">
        <f t="shared" si="308"/>
        <v>470.96</v>
      </c>
      <c r="AN299" s="134">
        <f t="shared" si="309"/>
        <v>0.6</v>
      </c>
      <c r="AO299" s="78">
        <f t="shared" si="289"/>
        <v>0</v>
      </c>
      <c r="AP299" s="79"/>
      <c r="AQ299" s="80"/>
      <c r="AR299" s="81"/>
      <c r="AS299" s="70">
        <f t="shared" si="290"/>
        <v>560.17400000000009</v>
      </c>
      <c r="AT299" s="71">
        <f t="shared" si="291"/>
        <v>559.57400000000007</v>
      </c>
      <c r="AU299" s="72">
        <f t="shared" si="310"/>
        <v>470.96</v>
      </c>
      <c r="AV299" s="134">
        <f t="shared" si="311"/>
        <v>0.6</v>
      </c>
      <c r="AW299" s="78">
        <f t="shared" si="292"/>
        <v>4.0999999999999996</v>
      </c>
      <c r="AX299" s="79">
        <f>3.1+1</f>
        <v>4.0999999999999996</v>
      </c>
      <c r="AY299" s="80"/>
      <c r="AZ299" s="81"/>
      <c r="BA299" s="70">
        <f t="shared" si="293"/>
        <v>564.27400000000011</v>
      </c>
      <c r="BB299" s="71">
        <f t="shared" si="294"/>
        <v>563.67400000000009</v>
      </c>
      <c r="BC299" s="72">
        <f t="shared" si="312"/>
        <v>470.96</v>
      </c>
      <c r="BD299" s="134">
        <f t="shared" si="313"/>
        <v>0.6</v>
      </c>
      <c r="BE299" s="78">
        <f t="shared" si="295"/>
        <v>0</v>
      </c>
      <c r="BF299" s="79">
        <v>-2.6</v>
      </c>
      <c r="BG299" s="80">
        <v>-2.6</v>
      </c>
      <c r="BH299" s="81">
        <v>2.6</v>
      </c>
      <c r="BI299" s="70">
        <f t="shared" si="296"/>
        <v>564.27400000000011</v>
      </c>
      <c r="BJ299" s="71">
        <f t="shared" si="297"/>
        <v>561.07400000000007</v>
      </c>
      <c r="BK299" s="72">
        <f t="shared" si="263"/>
        <v>468.35999999999996</v>
      </c>
      <c r="BL299" s="134">
        <f t="shared" si="264"/>
        <v>3.2</v>
      </c>
    </row>
    <row r="300" spans="1:64" ht="12.9" x14ac:dyDescent="0.35">
      <c r="A300" s="241"/>
      <c r="B300" s="242"/>
      <c r="C300" s="27" t="s">
        <v>195</v>
      </c>
      <c r="D300" s="25" t="s">
        <v>38</v>
      </c>
      <c r="E300" s="78">
        <f t="shared" si="280"/>
        <v>26</v>
      </c>
      <c r="F300" s="79">
        <v>26</v>
      </c>
      <c r="G300" s="80">
        <f>23.15-0.2</f>
        <v>22.95</v>
      </c>
      <c r="H300" s="81"/>
      <c r="I300" s="78">
        <f t="shared" si="281"/>
        <v>0</v>
      </c>
      <c r="J300" s="79"/>
      <c r="K300" s="80"/>
      <c r="L300" s="81"/>
      <c r="M300" s="70">
        <f t="shared" si="300"/>
        <v>26</v>
      </c>
      <c r="N300" s="71">
        <f t="shared" si="301"/>
        <v>26</v>
      </c>
      <c r="O300" s="72">
        <f t="shared" si="302"/>
        <v>22.95</v>
      </c>
      <c r="P300" s="134">
        <f t="shared" si="303"/>
        <v>0</v>
      </c>
      <c r="Q300" s="78">
        <f t="shared" si="282"/>
        <v>0</v>
      </c>
      <c r="R300" s="79"/>
      <c r="S300" s="80"/>
      <c r="T300" s="81"/>
      <c r="U300" s="70">
        <f t="shared" si="298"/>
        <v>26</v>
      </c>
      <c r="V300" s="71">
        <f t="shared" si="299"/>
        <v>26</v>
      </c>
      <c r="W300" s="72">
        <f t="shared" si="304"/>
        <v>22.95</v>
      </c>
      <c r="X300" s="134">
        <f t="shared" si="305"/>
        <v>0</v>
      </c>
      <c r="Y300" s="78">
        <f t="shared" si="283"/>
        <v>0</v>
      </c>
      <c r="Z300" s="79"/>
      <c r="AA300" s="80"/>
      <c r="AB300" s="81"/>
      <c r="AC300" s="70">
        <f t="shared" si="284"/>
        <v>26</v>
      </c>
      <c r="AD300" s="71">
        <f t="shared" si="285"/>
        <v>26</v>
      </c>
      <c r="AE300" s="72">
        <f t="shared" si="306"/>
        <v>22.95</v>
      </c>
      <c r="AF300" s="134">
        <f t="shared" si="307"/>
        <v>0</v>
      </c>
      <c r="AG300" s="78">
        <f t="shared" si="286"/>
        <v>14.69</v>
      </c>
      <c r="AH300" s="79">
        <v>14.69</v>
      </c>
      <c r="AI300" s="80">
        <v>12.5</v>
      </c>
      <c r="AJ300" s="81"/>
      <c r="AK300" s="70">
        <f t="shared" si="287"/>
        <v>40.69</v>
      </c>
      <c r="AL300" s="71">
        <f t="shared" si="288"/>
        <v>40.69</v>
      </c>
      <c r="AM300" s="72">
        <f t="shared" si="308"/>
        <v>35.450000000000003</v>
      </c>
      <c r="AN300" s="134">
        <f t="shared" si="309"/>
        <v>0</v>
      </c>
      <c r="AO300" s="78">
        <f t="shared" si="289"/>
        <v>5.5</v>
      </c>
      <c r="AP300" s="79">
        <v>5.5</v>
      </c>
      <c r="AQ300" s="80">
        <v>2.5</v>
      </c>
      <c r="AR300" s="81"/>
      <c r="AS300" s="70">
        <f t="shared" si="290"/>
        <v>46.19</v>
      </c>
      <c r="AT300" s="71">
        <f t="shared" si="291"/>
        <v>46.19</v>
      </c>
      <c r="AU300" s="72">
        <f t="shared" si="310"/>
        <v>37.950000000000003</v>
      </c>
      <c r="AV300" s="134">
        <f t="shared" si="311"/>
        <v>0</v>
      </c>
      <c r="AW300" s="78">
        <f t="shared" si="292"/>
        <v>0</v>
      </c>
      <c r="AX300" s="79"/>
      <c r="AY300" s="80"/>
      <c r="AZ300" s="81"/>
      <c r="BA300" s="70">
        <f t="shared" si="293"/>
        <v>46.19</v>
      </c>
      <c r="BB300" s="71">
        <f t="shared" si="294"/>
        <v>46.19</v>
      </c>
      <c r="BC300" s="72">
        <f t="shared" si="312"/>
        <v>37.950000000000003</v>
      </c>
      <c r="BD300" s="134">
        <f t="shared" si="313"/>
        <v>0</v>
      </c>
      <c r="BE300" s="78">
        <f t="shared" si="295"/>
        <v>2</v>
      </c>
      <c r="BF300" s="79">
        <v>2</v>
      </c>
      <c r="BG300" s="80">
        <v>0.8</v>
      </c>
      <c r="BH300" s="81"/>
      <c r="BI300" s="70">
        <f t="shared" si="296"/>
        <v>48.19</v>
      </c>
      <c r="BJ300" s="71">
        <f t="shared" si="297"/>
        <v>48.19</v>
      </c>
      <c r="BK300" s="72">
        <f t="shared" si="263"/>
        <v>38.75</v>
      </c>
      <c r="BL300" s="134">
        <f t="shared" si="264"/>
        <v>0</v>
      </c>
    </row>
    <row r="301" spans="1:64" ht="12.9" x14ac:dyDescent="0.35">
      <c r="A301" s="241"/>
      <c r="B301" s="242"/>
      <c r="C301" s="27" t="s">
        <v>203</v>
      </c>
      <c r="D301" s="25" t="s">
        <v>137</v>
      </c>
      <c r="E301" s="78">
        <f t="shared" si="280"/>
        <v>0</v>
      </c>
      <c r="F301" s="79"/>
      <c r="G301" s="80"/>
      <c r="H301" s="81"/>
      <c r="I301" s="78">
        <f t="shared" si="281"/>
        <v>0</v>
      </c>
      <c r="J301" s="79"/>
      <c r="K301" s="80"/>
      <c r="L301" s="81"/>
      <c r="M301" s="70">
        <f t="shared" si="300"/>
        <v>0</v>
      </c>
      <c r="N301" s="71">
        <f t="shared" si="301"/>
        <v>0</v>
      </c>
      <c r="O301" s="72">
        <f t="shared" si="302"/>
        <v>0</v>
      </c>
      <c r="P301" s="134">
        <f t="shared" si="303"/>
        <v>0</v>
      </c>
      <c r="Q301" s="78">
        <f t="shared" si="282"/>
        <v>0</v>
      </c>
      <c r="R301" s="79"/>
      <c r="S301" s="80"/>
      <c r="T301" s="81"/>
      <c r="U301" s="70">
        <f t="shared" si="298"/>
        <v>0</v>
      </c>
      <c r="V301" s="71">
        <f t="shared" si="299"/>
        <v>0</v>
      </c>
      <c r="W301" s="72">
        <f t="shared" si="304"/>
        <v>0</v>
      </c>
      <c r="X301" s="134">
        <f t="shared" si="305"/>
        <v>0</v>
      </c>
      <c r="Y301" s="78">
        <f t="shared" si="283"/>
        <v>0</v>
      </c>
      <c r="Z301" s="79"/>
      <c r="AA301" s="80"/>
      <c r="AB301" s="81"/>
      <c r="AC301" s="70">
        <f t="shared" si="284"/>
        <v>0</v>
      </c>
      <c r="AD301" s="71">
        <f t="shared" si="285"/>
        <v>0</v>
      </c>
      <c r="AE301" s="72">
        <f t="shared" si="306"/>
        <v>0</v>
      </c>
      <c r="AF301" s="134">
        <f t="shared" si="307"/>
        <v>0</v>
      </c>
      <c r="AG301" s="78">
        <f t="shared" si="286"/>
        <v>24.57</v>
      </c>
      <c r="AH301" s="79">
        <f>8.4+16.17</f>
        <v>24.57</v>
      </c>
      <c r="AI301" s="80">
        <f>8.28+15.94</f>
        <v>24.22</v>
      </c>
      <c r="AJ301" s="81"/>
      <c r="AK301" s="70">
        <f t="shared" si="287"/>
        <v>24.57</v>
      </c>
      <c r="AL301" s="71">
        <f t="shared" si="288"/>
        <v>24.57</v>
      </c>
      <c r="AM301" s="72">
        <f t="shared" si="308"/>
        <v>24.22</v>
      </c>
      <c r="AN301" s="134">
        <f t="shared" si="309"/>
        <v>0</v>
      </c>
      <c r="AO301" s="78">
        <f t="shared" si="289"/>
        <v>0</v>
      </c>
      <c r="AP301" s="79"/>
      <c r="AQ301" s="80"/>
      <c r="AR301" s="81"/>
      <c r="AS301" s="70">
        <f t="shared" si="290"/>
        <v>24.57</v>
      </c>
      <c r="AT301" s="71">
        <f t="shared" si="291"/>
        <v>24.57</v>
      </c>
      <c r="AU301" s="72">
        <f t="shared" si="310"/>
        <v>24.22</v>
      </c>
      <c r="AV301" s="134">
        <f t="shared" si="311"/>
        <v>0</v>
      </c>
      <c r="AW301" s="78">
        <f t="shared" si="292"/>
        <v>0</v>
      </c>
      <c r="AX301" s="79"/>
      <c r="AY301" s="80"/>
      <c r="AZ301" s="81"/>
      <c r="BA301" s="70">
        <f t="shared" si="293"/>
        <v>24.57</v>
      </c>
      <c r="BB301" s="71">
        <f t="shared" si="294"/>
        <v>24.57</v>
      </c>
      <c r="BC301" s="72">
        <f t="shared" si="312"/>
        <v>24.22</v>
      </c>
      <c r="BD301" s="134">
        <f t="shared" si="313"/>
        <v>0</v>
      </c>
      <c r="BE301" s="78">
        <f t="shared" si="295"/>
        <v>0</v>
      </c>
      <c r="BF301" s="79"/>
      <c r="BG301" s="80"/>
      <c r="BH301" s="81"/>
      <c r="BI301" s="70">
        <f t="shared" si="296"/>
        <v>24.57</v>
      </c>
      <c r="BJ301" s="71">
        <f t="shared" si="297"/>
        <v>24.57</v>
      </c>
      <c r="BK301" s="72">
        <f t="shared" si="263"/>
        <v>24.22</v>
      </c>
      <c r="BL301" s="134">
        <f t="shared" si="264"/>
        <v>0</v>
      </c>
    </row>
    <row r="302" spans="1:64" ht="12.9" x14ac:dyDescent="0.35">
      <c r="A302" s="232"/>
      <c r="B302" s="234"/>
      <c r="C302" s="27" t="s">
        <v>226</v>
      </c>
      <c r="D302" s="25" t="s">
        <v>187</v>
      </c>
      <c r="E302" s="78">
        <f t="shared" si="280"/>
        <v>0</v>
      </c>
      <c r="F302" s="79"/>
      <c r="G302" s="80"/>
      <c r="H302" s="81"/>
      <c r="I302" s="78">
        <f t="shared" si="281"/>
        <v>3.0760000000000001</v>
      </c>
      <c r="J302" s="79">
        <v>3.0760000000000001</v>
      </c>
      <c r="K302" s="80">
        <v>2.964</v>
      </c>
      <c r="L302" s="81"/>
      <c r="M302" s="70">
        <f t="shared" si="300"/>
        <v>3.0760000000000001</v>
      </c>
      <c r="N302" s="71">
        <f t="shared" si="301"/>
        <v>3.0760000000000001</v>
      </c>
      <c r="O302" s="72">
        <f t="shared" si="302"/>
        <v>2.964</v>
      </c>
      <c r="P302" s="134">
        <f t="shared" si="303"/>
        <v>0</v>
      </c>
      <c r="Q302" s="78">
        <f t="shared" si="282"/>
        <v>0</v>
      </c>
      <c r="R302" s="79"/>
      <c r="S302" s="80"/>
      <c r="T302" s="81"/>
      <c r="U302" s="70">
        <f t="shared" si="298"/>
        <v>3.0760000000000001</v>
      </c>
      <c r="V302" s="71">
        <f t="shared" si="299"/>
        <v>3.0760000000000001</v>
      </c>
      <c r="W302" s="72">
        <f t="shared" si="304"/>
        <v>2.964</v>
      </c>
      <c r="X302" s="134">
        <f t="shared" si="305"/>
        <v>0</v>
      </c>
      <c r="Y302" s="78">
        <f t="shared" si="283"/>
        <v>0</v>
      </c>
      <c r="Z302" s="79"/>
      <c r="AA302" s="80"/>
      <c r="AB302" s="81"/>
      <c r="AC302" s="70">
        <f t="shared" si="284"/>
        <v>3.0760000000000001</v>
      </c>
      <c r="AD302" s="71">
        <f t="shared" si="285"/>
        <v>3.0760000000000001</v>
      </c>
      <c r="AE302" s="72">
        <f t="shared" si="306"/>
        <v>2.964</v>
      </c>
      <c r="AF302" s="134">
        <f t="shared" si="307"/>
        <v>0</v>
      </c>
      <c r="AG302" s="78">
        <f t="shared" si="286"/>
        <v>4.8419999999999996</v>
      </c>
      <c r="AH302" s="79">
        <v>4.8419999999999996</v>
      </c>
      <c r="AI302" s="80">
        <v>4.6920000000000002</v>
      </c>
      <c r="AJ302" s="81"/>
      <c r="AK302" s="70">
        <f t="shared" si="287"/>
        <v>7.9179999999999993</v>
      </c>
      <c r="AL302" s="71">
        <f t="shared" si="288"/>
        <v>7.9179999999999993</v>
      </c>
      <c r="AM302" s="72">
        <f t="shared" si="308"/>
        <v>7.6560000000000006</v>
      </c>
      <c r="AN302" s="134">
        <f t="shared" si="309"/>
        <v>0</v>
      </c>
      <c r="AO302" s="78">
        <f t="shared" si="289"/>
        <v>5.1369999999999996</v>
      </c>
      <c r="AP302" s="79">
        <v>5.1369999999999996</v>
      </c>
      <c r="AQ302" s="80">
        <v>4.9779999999999998</v>
      </c>
      <c r="AR302" s="81"/>
      <c r="AS302" s="70">
        <f t="shared" si="290"/>
        <v>13.055</v>
      </c>
      <c r="AT302" s="71">
        <f t="shared" si="291"/>
        <v>13.055</v>
      </c>
      <c r="AU302" s="72">
        <f t="shared" si="310"/>
        <v>12.634</v>
      </c>
      <c r="AV302" s="134">
        <f t="shared" si="311"/>
        <v>0</v>
      </c>
      <c r="AW302" s="78">
        <f t="shared" si="292"/>
        <v>0</v>
      </c>
      <c r="AX302" s="79"/>
      <c r="AY302" s="80"/>
      <c r="AZ302" s="81"/>
      <c r="BA302" s="70">
        <f t="shared" si="293"/>
        <v>13.055</v>
      </c>
      <c r="BB302" s="71">
        <f t="shared" si="294"/>
        <v>13.055</v>
      </c>
      <c r="BC302" s="72">
        <f t="shared" si="312"/>
        <v>12.634</v>
      </c>
      <c r="BD302" s="134">
        <f t="shared" si="313"/>
        <v>0</v>
      </c>
      <c r="BE302" s="78">
        <f t="shared" si="295"/>
        <v>6.8940000000000001</v>
      </c>
      <c r="BF302" s="79">
        <v>6.8940000000000001</v>
      </c>
      <c r="BG302" s="80">
        <v>6.6989999999999998</v>
      </c>
      <c r="BH302" s="81"/>
      <c r="BI302" s="70">
        <f t="shared" si="296"/>
        <v>19.948999999999998</v>
      </c>
      <c r="BJ302" s="71">
        <f t="shared" si="297"/>
        <v>19.948999999999998</v>
      </c>
      <c r="BK302" s="72">
        <f t="shared" si="263"/>
        <v>19.332999999999998</v>
      </c>
      <c r="BL302" s="134">
        <f t="shared" si="264"/>
        <v>0</v>
      </c>
    </row>
    <row r="303" spans="1:64" ht="12.9" hidden="1" x14ac:dyDescent="0.35">
      <c r="A303" s="118" t="s">
        <v>33</v>
      </c>
      <c r="B303" s="23" t="s">
        <v>45</v>
      </c>
      <c r="C303" s="27" t="s">
        <v>203</v>
      </c>
      <c r="D303" s="25" t="s">
        <v>50</v>
      </c>
      <c r="E303" s="78">
        <f t="shared" si="280"/>
        <v>0</v>
      </c>
      <c r="F303" s="79"/>
      <c r="G303" s="80"/>
      <c r="H303" s="81"/>
      <c r="I303" s="78">
        <f t="shared" si="281"/>
        <v>0</v>
      </c>
      <c r="J303" s="79"/>
      <c r="K303" s="80"/>
      <c r="L303" s="81"/>
      <c r="M303" s="70">
        <f t="shared" si="300"/>
        <v>0</v>
      </c>
      <c r="N303" s="71">
        <f t="shared" si="301"/>
        <v>0</v>
      </c>
      <c r="O303" s="72">
        <f t="shared" si="302"/>
        <v>0</v>
      </c>
      <c r="P303" s="134">
        <f t="shared" si="303"/>
        <v>0</v>
      </c>
      <c r="Q303" s="78">
        <f t="shared" si="282"/>
        <v>0</v>
      </c>
      <c r="R303" s="79"/>
      <c r="S303" s="80"/>
      <c r="T303" s="81"/>
      <c r="U303" s="70">
        <f t="shared" si="298"/>
        <v>0</v>
      </c>
      <c r="V303" s="71">
        <f t="shared" si="299"/>
        <v>0</v>
      </c>
      <c r="W303" s="72">
        <f t="shared" si="304"/>
        <v>0</v>
      </c>
      <c r="X303" s="134">
        <f t="shared" si="305"/>
        <v>0</v>
      </c>
      <c r="Y303" s="78">
        <f t="shared" si="283"/>
        <v>0</v>
      </c>
      <c r="Z303" s="79"/>
      <c r="AA303" s="80"/>
      <c r="AB303" s="81"/>
      <c r="AC303" s="70">
        <f t="shared" si="284"/>
        <v>0</v>
      </c>
      <c r="AD303" s="71">
        <f t="shared" si="285"/>
        <v>0</v>
      </c>
      <c r="AE303" s="72">
        <f t="shared" si="306"/>
        <v>0</v>
      </c>
      <c r="AF303" s="134">
        <f t="shared" si="307"/>
        <v>0</v>
      </c>
      <c r="AG303" s="78">
        <f t="shared" si="286"/>
        <v>0</v>
      </c>
      <c r="AH303" s="79"/>
      <c r="AI303" s="80"/>
      <c r="AJ303" s="81"/>
      <c r="AK303" s="70">
        <f t="shared" si="287"/>
        <v>0</v>
      </c>
      <c r="AL303" s="71">
        <f t="shared" si="288"/>
        <v>0</v>
      </c>
      <c r="AM303" s="72">
        <f t="shared" si="308"/>
        <v>0</v>
      </c>
      <c r="AN303" s="134">
        <f t="shared" si="309"/>
        <v>0</v>
      </c>
      <c r="AO303" s="78">
        <f t="shared" si="289"/>
        <v>0</v>
      </c>
      <c r="AP303" s="79"/>
      <c r="AQ303" s="80"/>
      <c r="AR303" s="81"/>
      <c r="AS303" s="70">
        <f t="shared" si="290"/>
        <v>0</v>
      </c>
      <c r="AT303" s="71">
        <f t="shared" si="291"/>
        <v>0</v>
      </c>
      <c r="AU303" s="72">
        <f t="shared" si="310"/>
        <v>0</v>
      </c>
      <c r="AV303" s="134">
        <f t="shared" si="311"/>
        <v>0</v>
      </c>
      <c r="AW303" s="78">
        <f t="shared" si="292"/>
        <v>0</v>
      </c>
      <c r="AX303" s="79"/>
      <c r="AY303" s="80"/>
      <c r="AZ303" s="81"/>
      <c r="BA303" s="70">
        <f t="shared" si="293"/>
        <v>0</v>
      </c>
      <c r="BB303" s="71">
        <f t="shared" si="294"/>
        <v>0</v>
      </c>
      <c r="BC303" s="72">
        <f t="shared" si="312"/>
        <v>0</v>
      </c>
      <c r="BD303" s="134">
        <f t="shared" si="313"/>
        <v>0</v>
      </c>
      <c r="BE303" s="78">
        <f t="shared" si="295"/>
        <v>0</v>
      </c>
      <c r="BF303" s="79"/>
      <c r="BG303" s="80"/>
      <c r="BH303" s="81"/>
      <c r="BI303" s="70">
        <f t="shared" si="296"/>
        <v>0</v>
      </c>
      <c r="BJ303" s="71">
        <f t="shared" si="297"/>
        <v>0</v>
      </c>
      <c r="BK303" s="72">
        <f t="shared" si="263"/>
        <v>0</v>
      </c>
      <c r="BL303" s="134">
        <f t="shared" si="264"/>
        <v>0</v>
      </c>
    </row>
    <row r="304" spans="1:64" ht="12.9" x14ac:dyDescent="0.35">
      <c r="A304" s="283" t="s">
        <v>33</v>
      </c>
      <c r="B304" s="233" t="s">
        <v>45</v>
      </c>
      <c r="C304" s="27" t="s">
        <v>278</v>
      </c>
      <c r="D304" s="25" t="s">
        <v>125</v>
      </c>
      <c r="E304" s="78">
        <f t="shared" si="280"/>
        <v>0.3</v>
      </c>
      <c r="F304" s="79">
        <v>0.3</v>
      </c>
      <c r="G304" s="80"/>
      <c r="H304" s="81"/>
      <c r="I304" s="78">
        <f t="shared" si="281"/>
        <v>0</v>
      </c>
      <c r="J304" s="79"/>
      <c r="K304" s="80"/>
      <c r="L304" s="81"/>
      <c r="M304" s="70">
        <f t="shared" si="300"/>
        <v>0.3</v>
      </c>
      <c r="N304" s="71">
        <f t="shared" si="301"/>
        <v>0.3</v>
      </c>
      <c r="O304" s="72">
        <f t="shared" si="302"/>
        <v>0</v>
      </c>
      <c r="P304" s="134">
        <f t="shared" si="303"/>
        <v>0</v>
      </c>
      <c r="Q304" s="78">
        <f t="shared" si="282"/>
        <v>0</v>
      </c>
      <c r="R304" s="79"/>
      <c r="S304" s="80"/>
      <c r="T304" s="81"/>
      <c r="U304" s="70">
        <f t="shared" si="298"/>
        <v>0.3</v>
      </c>
      <c r="V304" s="71">
        <f t="shared" si="299"/>
        <v>0.3</v>
      </c>
      <c r="W304" s="72">
        <f t="shared" si="304"/>
        <v>0</v>
      </c>
      <c r="X304" s="134">
        <f t="shared" si="305"/>
        <v>0</v>
      </c>
      <c r="Y304" s="78">
        <f t="shared" si="283"/>
        <v>0</v>
      </c>
      <c r="Z304" s="79"/>
      <c r="AA304" s="80"/>
      <c r="AB304" s="81"/>
      <c r="AC304" s="70">
        <f t="shared" si="284"/>
        <v>0.3</v>
      </c>
      <c r="AD304" s="71">
        <f t="shared" si="285"/>
        <v>0.3</v>
      </c>
      <c r="AE304" s="72">
        <f t="shared" si="306"/>
        <v>0</v>
      </c>
      <c r="AF304" s="134">
        <f t="shared" si="307"/>
        <v>0</v>
      </c>
      <c r="AG304" s="78">
        <f t="shared" si="286"/>
        <v>0</v>
      </c>
      <c r="AH304" s="79"/>
      <c r="AI304" s="80"/>
      <c r="AJ304" s="81"/>
      <c r="AK304" s="70">
        <f t="shared" si="287"/>
        <v>0.3</v>
      </c>
      <c r="AL304" s="71">
        <f t="shared" si="288"/>
        <v>0.3</v>
      </c>
      <c r="AM304" s="72">
        <f t="shared" si="308"/>
        <v>0</v>
      </c>
      <c r="AN304" s="134">
        <f t="shared" si="309"/>
        <v>0</v>
      </c>
      <c r="AO304" s="78">
        <f t="shared" si="289"/>
        <v>0</v>
      </c>
      <c r="AP304" s="79"/>
      <c r="AQ304" s="80"/>
      <c r="AR304" s="81"/>
      <c r="AS304" s="70">
        <f t="shared" si="290"/>
        <v>0.3</v>
      </c>
      <c r="AT304" s="71">
        <f t="shared" si="291"/>
        <v>0.3</v>
      </c>
      <c r="AU304" s="72">
        <f t="shared" si="310"/>
        <v>0</v>
      </c>
      <c r="AV304" s="134">
        <f t="shared" si="311"/>
        <v>0</v>
      </c>
      <c r="AW304" s="78">
        <f t="shared" si="292"/>
        <v>0</v>
      </c>
      <c r="AX304" s="79"/>
      <c r="AY304" s="80"/>
      <c r="AZ304" s="81"/>
      <c r="BA304" s="70">
        <f t="shared" si="293"/>
        <v>0.3</v>
      </c>
      <c r="BB304" s="71">
        <f t="shared" si="294"/>
        <v>0.3</v>
      </c>
      <c r="BC304" s="72">
        <f t="shared" si="312"/>
        <v>0</v>
      </c>
      <c r="BD304" s="134">
        <f t="shared" si="313"/>
        <v>0</v>
      </c>
      <c r="BE304" s="78">
        <f t="shared" si="295"/>
        <v>0</v>
      </c>
      <c r="BF304" s="79"/>
      <c r="BG304" s="80"/>
      <c r="BH304" s="81"/>
      <c r="BI304" s="70">
        <f t="shared" si="296"/>
        <v>0.3</v>
      </c>
      <c r="BJ304" s="71">
        <f t="shared" si="297"/>
        <v>0.3</v>
      </c>
      <c r="BK304" s="72">
        <f t="shared" si="263"/>
        <v>0</v>
      </c>
      <c r="BL304" s="134">
        <f t="shared" si="264"/>
        <v>0</v>
      </c>
    </row>
    <row r="305" spans="1:64" ht="12.9" hidden="1" x14ac:dyDescent="0.35">
      <c r="A305" s="284"/>
      <c r="B305" s="234"/>
      <c r="C305" s="27" t="s">
        <v>226</v>
      </c>
      <c r="D305" s="25" t="s">
        <v>137</v>
      </c>
      <c r="E305" s="78">
        <f t="shared" si="280"/>
        <v>0</v>
      </c>
      <c r="F305" s="79"/>
      <c r="G305" s="80"/>
      <c r="H305" s="81"/>
      <c r="I305" s="78">
        <f t="shared" si="281"/>
        <v>0</v>
      </c>
      <c r="J305" s="79"/>
      <c r="K305" s="80"/>
      <c r="L305" s="81"/>
      <c r="M305" s="70">
        <f t="shared" si="300"/>
        <v>0</v>
      </c>
      <c r="N305" s="71">
        <f t="shared" si="301"/>
        <v>0</v>
      </c>
      <c r="O305" s="72">
        <f t="shared" si="302"/>
        <v>0</v>
      </c>
      <c r="P305" s="134">
        <f t="shared" si="303"/>
        <v>0</v>
      </c>
      <c r="Q305" s="78">
        <f t="shared" si="282"/>
        <v>0</v>
      </c>
      <c r="R305" s="79"/>
      <c r="S305" s="80"/>
      <c r="T305" s="81"/>
      <c r="U305" s="70">
        <f t="shared" si="298"/>
        <v>0</v>
      </c>
      <c r="V305" s="71">
        <f t="shared" si="299"/>
        <v>0</v>
      </c>
      <c r="W305" s="72">
        <f t="shared" si="304"/>
        <v>0</v>
      </c>
      <c r="X305" s="134">
        <f t="shared" si="305"/>
        <v>0</v>
      </c>
      <c r="Y305" s="78">
        <f t="shared" si="283"/>
        <v>0</v>
      </c>
      <c r="Z305" s="79"/>
      <c r="AA305" s="80"/>
      <c r="AB305" s="81"/>
      <c r="AC305" s="70">
        <f t="shared" si="284"/>
        <v>0</v>
      </c>
      <c r="AD305" s="71">
        <f t="shared" si="285"/>
        <v>0</v>
      </c>
      <c r="AE305" s="72">
        <f t="shared" si="306"/>
        <v>0</v>
      </c>
      <c r="AF305" s="134">
        <f t="shared" si="307"/>
        <v>0</v>
      </c>
      <c r="AG305" s="78">
        <f t="shared" si="286"/>
        <v>0</v>
      </c>
      <c r="AH305" s="79"/>
      <c r="AI305" s="80"/>
      <c r="AJ305" s="81"/>
      <c r="AK305" s="70">
        <f t="shared" si="287"/>
        <v>0</v>
      </c>
      <c r="AL305" s="71">
        <f t="shared" si="288"/>
        <v>0</v>
      </c>
      <c r="AM305" s="72">
        <f t="shared" si="308"/>
        <v>0</v>
      </c>
      <c r="AN305" s="134">
        <f t="shared" si="309"/>
        <v>0</v>
      </c>
      <c r="AO305" s="78">
        <f t="shared" si="289"/>
        <v>0</v>
      </c>
      <c r="AP305" s="79"/>
      <c r="AQ305" s="80"/>
      <c r="AR305" s="81"/>
      <c r="AS305" s="70">
        <f t="shared" si="290"/>
        <v>0</v>
      </c>
      <c r="AT305" s="71">
        <f t="shared" si="291"/>
        <v>0</v>
      </c>
      <c r="AU305" s="72">
        <f t="shared" si="310"/>
        <v>0</v>
      </c>
      <c r="AV305" s="134">
        <f t="shared" si="311"/>
        <v>0</v>
      </c>
      <c r="AW305" s="78">
        <f t="shared" si="292"/>
        <v>0</v>
      </c>
      <c r="AX305" s="79"/>
      <c r="AY305" s="80"/>
      <c r="AZ305" s="81"/>
      <c r="BA305" s="70">
        <f t="shared" si="293"/>
        <v>0</v>
      </c>
      <c r="BB305" s="71">
        <f t="shared" si="294"/>
        <v>0</v>
      </c>
      <c r="BC305" s="72">
        <f t="shared" si="312"/>
        <v>0</v>
      </c>
      <c r="BD305" s="134">
        <f t="shared" si="313"/>
        <v>0</v>
      </c>
      <c r="BE305" s="78">
        <f t="shared" si="295"/>
        <v>0</v>
      </c>
      <c r="BF305" s="79"/>
      <c r="BG305" s="80"/>
      <c r="BH305" s="81"/>
      <c r="BI305" s="70">
        <f t="shared" si="296"/>
        <v>0</v>
      </c>
      <c r="BJ305" s="71">
        <f t="shared" si="297"/>
        <v>0</v>
      </c>
      <c r="BK305" s="72">
        <f t="shared" si="263"/>
        <v>0</v>
      </c>
      <c r="BL305" s="134">
        <f t="shared" si="264"/>
        <v>0</v>
      </c>
    </row>
    <row r="306" spans="1:64" ht="12.9" x14ac:dyDescent="0.35">
      <c r="A306" s="285" t="s">
        <v>32</v>
      </c>
      <c r="B306" s="237" t="s">
        <v>46</v>
      </c>
      <c r="C306" s="27" t="s">
        <v>251</v>
      </c>
      <c r="D306" s="25" t="s">
        <v>125</v>
      </c>
      <c r="E306" s="78">
        <f t="shared" si="280"/>
        <v>0.6</v>
      </c>
      <c r="F306" s="79">
        <v>0.6</v>
      </c>
      <c r="G306" s="80"/>
      <c r="H306" s="81"/>
      <c r="I306" s="78">
        <f t="shared" si="281"/>
        <v>0</v>
      </c>
      <c r="J306" s="79"/>
      <c r="K306" s="80"/>
      <c r="L306" s="81"/>
      <c r="M306" s="70">
        <f t="shared" si="300"/>
        <v>0.6</v>
      </c>
      <c r="N306" s="71">
        <f t="shared" si="301"/>
        <v>0.6</v>
      </c>
      <c r="O306" s="72">
        <f t="shared" si="302"/>
        <v>0</v>
      </c>
      <c r="P306" s="134">
        <f t="shared" si="303"/>
        <v>0</v>
      </c>
      <c r="Q306" s="78">
        <f t="shared" si="282"/>
        <v>0</v>
      </c>
      <c r="R306" s="79"/>
      <c r="S306" s="80"/>
      <c r="T306" s="81"/>
      <c r="U306" s="70">
        <f t="shared" si="298"/>
        <v>0.6</v>
      </c>
      <c r="V306" s="71">
        <f t="shared" si="299"/>
        <v>0.6</v>
      </c>
      <c r="W306" s="72">
        <f t="shared" si="304"/>
        <v>0</v>
      </c>
      <c r="X306" s="134">
        <f t="shared" si="305"/>
        <v>0</v>
      </c>
      <c r="Y306" s="78">
        <f t="shared" si="283"/>
        <v>0</v>
      </c>
      <c r="Z306" s="79"/>
      <c r="AA306" s="80"/>
      <c r="AB306" s="81"/>
      <c r="AC306" s="70">
        <f t="shared" si="284"/>
        <v>0.6</v>
      </c>
      <c r="AD306" s="71">
        <f t="shared" si="285"/>
        <v>0.6</v>
      </c>
      <c r="AE306" s="72">
        <f t="shared" si="306"/>
        <v>0</v>
      </c>
      <c r="AF306" s="134">
        <f t="shared" si="307"/>
        <v>0</v>
      </c>
      <c r="AG306" s="78">
        <f t="shared" si="286"/>
        <v>0</v>
      </c>
      <c r="AH306" s="79"/>
      <c r="AI306" s="80"/>
      <c r="AJ306" s="81"/>
      <c r="AK306" s="70">
        <f t="shared" si="287"/>
        <v>0.6</v>
      </c>
      <c r="AL306" s="71">
        <f t="shared" si="288"/>
        <v>0.6</v>
      </c>
      <c r="AM306" s="72">
        <f t="shared" si="308"/>
        <v>0</v>
      </c>
      <c r="AN306" s="134">
        <f t="shared" si="309"/>
        <v>0</v>
      </c>
      <c r="AO306" s="78">
        <f t="shared" si="289"/>
        <v>0</v>
      </c>
      <c r="AP306" s="79"/>
      <c r="AQ306" s="80"/>
      <c r="AR306" s="81"/>
      <c r="AS306" s="70">
        <f t="shared" si="290"/>
        <v>0.6</v>
      </c>
      <c r="AT306" s="71">
        <f t="shared" si="291"/>
        <v>0.6</v>
      </c>
      <c r="AU306" s="72">
        <f t="shared" si="310"/>
        <v>0</v>
      </c>
      <c r="AV306" s="134">
        <f t="shared" si="311"/>
        <v>0</v>
      </c>
      <c r="AW306" s="78">
        <f t="shared" si="292"/>
        <v>9.5000000000000001E-2</v>
      </c>
      <c r="AX306" s="79">
        <v>9.5000000000000001E-2</v>
      </c>
      <c r="AY306" s="80"/>
      <c r="AZ306" s="81"/>
      <c r="BA306" s="70">
        <f t="shared" si="293"/>
        <v>0.69499999999999995</v>
      </c>
      <c r="BB306" s="71">
        <f t="shared" si="294"/>
        <v>0.69499999999999995</v>
      </c>
      <c r="BC306" s="72">
        <f t="shared" si="312"/>
        <v>0</v>
      </c>
      <c r="BD306" s="134">
        <f t="shared" si="313"/>
        <v>0</v>
      </c>
      <c r="BE306" s="78">
        <f t="shared" si="295"/>
        <v>0</v>
      </c>
      <c r="BF306" s="79"/>
      <c r="BG306" s="80"/>
      <c r="BH306" s="81"/>
      <c r="BI306" s="70">
        <f t="shared" si="296"/>
        <v>0.69499999999999995</v>
      </c>
      <c r="BJ306" s="71">
        <f t="shared" si="297"/>
        <v>0.69499999999999995</v>
      </c>
      <c r="BK306" s="72">
        <f t="shared" si="263"/>
        <v>0</v>
      </c>
      <c r="BL306" s="134">
        <f t="shared" si="264"/>
        <v>0</v>
      </c>
    </row>
    <row r="307" spans="1:64" ht="12.9" hidden="1" x14ac:dyDescent="0.35">
      <c r="A307" s="286"/>
      <c r="B307" s="238"/>
      <c r="C307" s="27" t="s">
        <v>196</v>
      </c>
      <c r="D307" s="25" t="s">
        <v>50</v>
      </c>
      <c r="E307" s="78">
        <f t="shared" si="280"/>
        <v>0</v>
      </c>
      <c r="F307" s="79"/>
      <c r="G307" s="80"/>
      <c r="H307" s="81"/>
      <c r="I307" s="78">
        <f t="shared" si="281"/>
        <v>0</v>
      </c>
      <c r="J307" s="79"/>
      <c r="K307" s="80"/>
      <c r="L307" s="81"/>
      <c r="M307" s="70">
        <f t="shared" si="300"/>
        <v>0</v>
      </c>
      <c r="N307" s="71">
        <f t="shared" si="301"/>
        <v>0</v>
      </c>
      <c r="O307" s="72">
        <f t="shared" si="302"/>
        <v>0</v>
      </c>
      <c r="P307" s="134">
        <f t="shared" si="303"/>
        <v>0</v>
      </c>
      <c r="Q307" s="78">
        <f t="shared" si="282"/>
        <v>0</v>
      </c>
      <c r="R307" s="79"/>
      <c r="S307" s="80"/>
      <c r="T307" s="81"/>
      <c r="U307" s="70">
        <f t="shared" si="298"/>
        <v>0</v>
      </c>
      <c r="V307" s="71">
        <f t="shared" si="299"/>
        <v>0</v>
      </c>
      <c r="W307" s="72">
        <f t="shared" si="304"/>
        <v>0</v>
      </c>
      <c r="X307" s="134">
        <f t="shared" si="305"/>
        <v>0</v>
      </c>
      <c r="Y307" s="78">
        <f t="shared" si="283"/>
        <v>0</v>
      </c>
      <c r="Z307" s="79"/>
      <c r="AA307" s="80"/>
      <c r="AB307" s="81"/>
      <c r="AC307" s="70">
        <f t="shared" si="284"/>
        <v>0</v>
      </c>
      <c r="AD307" s="71">
        <f t="shared" si="285"/>
        <v>0</v>
      </c>
      <c r="AE307" s="72">
        <f t="shared" si="306"/>
        <v>0</v>
      </c>
      <c r="AF307" s="134">
        <f t="shared" si="307"/>
        <v>0</v>
      </c>
      <c r="AG307" s="78">
        <f t="shared" si="286"/>
        <v>0</v>
      </c>
      <c r="AH307" s="79"/>
      <c r="AI307" s="80"/>
      <c r="AJ307" s="81"/>
      <c r="AK307" s="70">
        <f t="shared" si="287"/>
        <v>0</v>
      </c>
      <c r="AL307" s="71">
        <f t="shared" si="288"/>
        <v>0</v>
      </c>
      <c r="AM307" s="72">
        <f t="shared" si="308"/>
        <v>0</v>
      </c>
      <c r="AN307" s="134">
        <f t="shared" si="309"/>
        <v>0</v>
      </c>
      <c r="AO307" s="78">
        <f t="shared" si="289"/>
        <v>0</v>
      </c>
      <c r="AP307" s="79"/>
      <c r="AQ307" s="80"/>
      <c r="AR307" s="81"/>
      <c r="AS307" s="70">
        <f t="shared" si="290"/>
        <v>0</v>
      </c>
      <c r="AT307" s="71">
        <f t="shared" si="291"/>
        <v>0</v>
      </c>
      <c r="AU307" s="72">
        <f t="shared" si="310"/>
        <v>0</v>
      </c>
      <c r="AV307" s="134">
        <f t="shared" si="311"/>
        <v>0</v>
      </c>
      <c r="AW307" s="78">
        <f t="shared" si="292"/>
        <v>0</v>
      </c>
      <c r="AX307" s="79"/>
      <c r="AY307" s="80"/>
      <c r="AZ307" s="81"/>
      <c r="BA307" s="70">
        <f t="shared" si="293"/>
        <v>0</v>
      </c>
      <c r="BB307" s="71">
        <f t="shared" si="294"/>
        <v>0</v>
      </c>
      <c r="BC307" s="72">
        <f t="shared" si="312"/>
        <v>0</v>
      </c>
      <c r="BD307" s="134">
        <f t="shared" si="313"/>
        <v>0</v>
      </c>
      <c r="BE307" s="78">
        <f t="shared" si="295"/>
        <v>0</v>
      </c>
      <c r="BF307" s="79"/>
      <c r="BG307" s="80"/>
      <c r="BH307" s="81"/>
      <c r="BI307" s="70">
        <f t="shared" si="296"/>
        <v>0</v>
      </c>
      <c r="BJ307" s="71">
        <f t="shared" si="297"/>
        <v>0</v>
      </c>
      <c r="BK307" s="72">
        <f t="shared" si="263"/>
        <v>0</v>
      </c>
      <c r="BL307" s="134">
        <f t="shared" si="264"/>
        <v>0</v>
      </c>
    </row>
    <row r="308" spans="1:64" ht="12.9" x14ac:dyDescent="0.35">
      <c r="A308" s="117" t="s">
        <v>7</v>
      </c>
      <c r="B308" s="116" t="s">
        <v>48</v>
      </c>
      <c r="C308" s="27" t="s">
        <v>295</v>
      </c>
      <c r="D308" s="25" t="s">
        <v>125</v>
      </c>
      <c r="E308" s="78">
        <f t="shared" si="280"/>
        <v>0</v>
      </c>
      <c r="F308" s="79"/>
      <c r="G308" s="80"/>
      <c r="H308" s="81"/>
      <c r="I308" s="78">
        <f t="shared" si="281"/>
        <v>0</v>
      </c>
      <c r="J308" s="79"/>
      <c r="K308" s="80"/>
      <c r="L308" s="81"/>
      <c r="M308" s="70">
        <f t="shared" si="300"/>
        <v>0</v>
      </c>
      <c r="N308" s="71">
        <f t="shared" si="301"/>
        <v>0</v>
      </c>
      <c r="O308" s="72">
        <f t="shared" si="302"/>
        <v>0</v>
      </c>
      <c r="P308" s="134">
        <f t="shared" si="303"/>
        <v>0</v>
      </c>
      <c r="Q308" s="78">
        <f t="shared" si="282"/>
        <v>0</v>
      </c>
      <c r="R308" s="79"/>
      <c r="S308" s="80"/>
      <c r="T308" s="81"/>
      <c r="U308" s="70">
        <f t="shared" si="298"/>
        <v>0</v>
      </c>
      <c r="V308" s="71">
        <f t="shared" si="299"/>
        <v>0</v>
      </c>
      <c r="W308" s="72">
        <f t="shared" si="304"/>
        <v>0</v>
      </c>
      <c r="X308" s="134">
        <f t="shared" si="305"/>
        <v>0</v>
      </c>
      <c r="Y308" s="78">
        <f t="shared" si="283"/>
        <v>0</v>
      </c>
      <c r="Z308" s="79"/>
      <c r="AA308" s="80"/>
      <c r="AB308" s="81"/>
      <c r="AC308" s="70">
        <f t="shared" si="284"/>
        <v>0</v>
      </c>
      <c r="AD308" s="71">
        <f t="shared" si="285"/>
        <v>0</v>
      </c>
      <c r="AE308" s="72">
        <f t="shared" si="306"/>
        <v>0</v>
      </c>
      <c r="AF308" s="134">
        <f t="shared" si="307"/>
        <v>0</v>
      </c>
      <c r="AG308" s="78">
        <f t="shared" si="286"/>
        <v>0</v>
      </c>
      <c r="AH308" s="79"/>
      <c r="AI308" s="80"/>
      <c r="AJ308" s="81"/>
      <c r="AK308" s="70">
        <f t="shared" si="287"/>
        <v>0</v>
      </c>
      <c r="AL308" s="71">
        <f t="shared" si="288"/>
        <v>0</v>
      </c>
      <c r="AM308" s="72">
        <f t="shared" si="308"/>
        <v>0</v>
      </c>
      <c r="AN308" s="134">
        <f t="shared" si="309"/>
        <v>0</v>
      </c>
      <c r="AO308" s="78">
        <f t="shared" si="289"/>
        <v>0</v>
      </c>
      <c r="AP308" s="79"/>
      <c r="AQ308" s="80"/>
      <c r="AR308" s="81"/>
      <c r="AS308" s="70">
        <f t="shared" si="290"/>
        <v>0</v>
      </c>
      <c r="AT308" s="71">
        <f t="shared" si="291"/>
        <v>0</v>
      </c>
      <c r="AU308" s="72">
        <f t="shared" si="310"/>
        <v>0</v>
      </c>
      <c r="AV308" s="134">
        <f t="shared" si="311"/>
        <v>0</v>
      </c>
      <c r="AW308" s="78">
        <f t="shared" si="292"/>
        <v>3</v>
      </c>
      <c r="AX308" s="79">
        <v>3</v>
      </c>
      <c r="AY308" s="80"/>
      <c r="AZ308" s="81"/>
      <c r="BA308" s="70">
        <f t="shared" si="293"/>
        <v>3</v>
      </c>
      <c r="BB308" s="71">
        <f t="shared" si="294"/>
        <v>3</v>
      </c>
      <c r="BC308" s="72">
        <f t="shared" si="312"/>
        <v>0</v>
      </c>
      <c r="BD308" s="134">
        <f t="shared" si="313"/>
        <v>0</v>
      </c>
      <c r="BE308" s="78">
        <f t="shared" si="295"/>
        <v>0</v>
      </c>
      <c r="BF308" s="79"/>
      <c r="BG308" s="80"/>
      <c r="BH308" s="81"/>
      <c r="BI308" s="70">
        <f t="shared" si="296"/>
        <v>3</v>
      </c>
      <c r="BJ308" s="71">
        <f t="shared" si="297"/>
        <v>3</v>
      </c>
      <c r="BK308" s="72">
        <f t="shared" si="263"/>
        <v>0</v>
      </c>
      <c r="BL308" s="134">
        <f t="shared" si="264"/>
        <v>0</v>
      </c>
    </row>
    <row r="309" spans="1:64" s="138" customFormat="1" ht="12.45" x14ac:dyDescent="0.3">
      <c r="A309" s="135"/>
      <c r="B309" s="136" t="s">
        <v>3</v>
      </c>
      <c r="C309" s="42" t="s">
        <v>120</v>
      </c>
      <c r="D309" s="137"/>
      <c r="E309" s="73">
        <f t="shared" si="280"/>
        <v>60</v>
      </c>
      <c r="F309" s="74">
        <f>F311</f>
        <v>60</v>
      </c>
      <c r="G309" s="75">
        <f>G311</f>
        <v>0</v>
      </c>
      <c r="H309" s="133">
        <f>H311</f>
        <v>0</v>
      </c>
      <c r="I309" s="73">
        <f t="shared" si="281"/>
        <v>0</v>
      </c>
      <c r="J309" s="74">
        <f>J311</f>
        <v>0</v>
      </c>
      <c r="K309" s="75">
        <f>K311</f>
        <v>0</v>
      </c>
      <c r="L309" s="133">
        <f>L311</f>
        <v>0</v>
      </c>
      <c r="M309" s="73">
        <f t="shared" si="300"/>
        <v>60</v>
      </c>
      <c r="N309" s="74">
        <f t="shared" si="301"/>
        <v>60</v>
      </c>
      <c r="O309" s="75">
        <f t="shared" si="302"/>
        <v>0</v>
      </c>
      <c r="P309" s="133">
        <f t="shared" si="303"/>
        <v>0</v>
      </c>
      <c r="Q309" s="73">
        <f t="shared" si="282"/>
        <v>27.977</v>
      </c>
      <c r="R309" s="74">
        <f>R311+R312</f>
        <v>27.977</v>
      </c>
      <c r="S309" s="75">
        <f>S311</f>
        <v>0</v>
      </c>
      <c r="T309" s="133">
        <f>T311</f>
        <v>0</v>
      </c>
      <c r="U309" s="73">
        <f t="shared" si="298"/>
        <v>87.977000000000004</v>
      </c>
      <c r="V309" s="74">
        <f t="shared" si="299"/>
        <v>87.977000000000004</v>
      </c>
      <c r="W309" s="75">
        <f t="shared" si="304"/>
        <v>0</v>
      </c>
      <c r="X309" s="133">
        <f t="shared" si="305"/>
        <v>0</v>
      </c>
      <c r="Y309" s="73">
        <f t="shared" si="283"/>
        <v>0</v>
      </c>
      <c r="Z309" s="74">
        <f>Z311+Z312</f>
        <v>0</v>
      </c>
      <c r="AA309" s="75">
        <f>AA311</f>
        <v>0</v>
      </c>
      <c r="AB309" s="133">
        <f>AB311</f>
        <v>0</v>
      </c>
      <c r="AC309" s="73">
        <f t="shared" si="284"/>
        <v>87.977000000000004</v>
      </c>
      <c r="AD309" s="74">
        <f t="shared" si="285"/>
        <v>87.977000000000004</v>
      </c>
      <c r="AE309" s="75">
        <f t="shared" si="306"/>
        <v>0</v>
      </c>
      <c r="AF309" s="133">
        <f t="shared" si="307"/>
        <v>0</v>
      </c>
      <c r="AG309" s="73">
        <f t="shared" si="286"/>
        <v>0</v>
      </c>
      <c r="AH309" s="74">
        <f>AH311+AH312</f>
        <v>0</v>
      </c>
      <c r="AI309" s="75">
        <f>AI311</f>
        <v>0</v>
      </c>
      <c r="AJ309" s="133">
        <f>AJ311</f>
        <v>0</v>
      </c>
      <c r="AK309" s="73">
        <f t="shared" si="287"/>
        <v>87.977000000000004</v>
      </c>
      <c r="AL309" s="74">
        <f t="shared" si="288"/>
        <v>87.977000000000004</v>
      </c>
      <c r="AM309" s="75">
        <f t="shared" si="308"/>
        <v>0</v>
      </c>
      <c r="AN309" s="133">
        <f t="shared" si="309"/>
        <v>0</v>
      </c>
      <c r="AO309" s="73">
        <f t="shared" si="289"/>
        <v>0</v>
      </c>
      <c r="AP309" s="74">
        <f>AP311+AP312</f>
        <v>0</v>
      </c>
      <c r="AQ309" s="75">
        <f>AQ311</f>
        <v>0</v>
      </c>
      <c r="AR309" s="133">
        <f>AR311</f>
        <v>0</v>
      </c>
      <c r="AS309" s="73">
        <f t="shared" si="290"/>
        <v>87.977000000000004</v>
      </c>
      <c r="AT309" s="74">
        <f t="shared" si="291"/>
        <v>87.977000000000004</v>
      </c>
      <c r="AU309" s="75">
        <f t="shared" si="310"/>
        <v>0</v>
      </c>
      <c r="AV309" s="133">
        <f t="shared" si="311"/>
        <v>0</v>
      </c>
      <c r="AW309" s="73">
        <f t="shared" si="292"/>
        <v>0</v>
      </c>
      <c r="AX309" s="74">
        <f>AX311+AX312</f>
        <v>0</v>
      </c>
      <c r="AY309" s="75">
        <f>AY311</f>
        <v>0</v>
      </c>
      <c r="AZ309" s="133">
        <f>AZ311</f>
        <v>0</v>
      </c>
      <c r="BA309" s="73">
        <f t="shared" si="293"/>
        <v>87.977000000000004</v>
      </c>
      <c r="BB309" s="74">
        <f t="shared" si="294"/>
        <v>87.977000000000004</v>
      </c>
      <c r="BC309" s="75">
        <f t="shared" si="312"/>
        <v>0</v>
      </c>
      <c r="BD309" s="133">
        <f t="shared" si="313"/>
        <v>0</v>
      </c>
      <c r="BE309" s="73">
        <f t="shared" si="295"/>
        <v>0</v>
      </c>
      <c r="BF309" s="74">
        <f>BF311+BF312</f>
        <v>0</v>
      </c>
      <c r="BG309" s="75">
        <f>BG311</f>
        <v>0</v>
      </c>
      <c r="BH309" s="133">
        <f>BH311</f>
        <v>0</v>
      </c>
      <c r="BI309" s="73">
        <f t="shared" si="296"/>
        <v>87.977000000000004</v>
      </c>
      <c r="BJ309" s="74">
        <f t="shared" si="297"/>
        <v>87.977000000000004</v>
      </c>
      <c r="BK309" s="75">
        <f t="shared" si="263"/>
        <v>0</v>
      </c>
      <c r="BL309" s="133">
        <f t="shared" si="264"/>
        <v>0</v>
      </c>
    </row>
    <row r="310" spans="1:64" ht="12.9" x14ac:dyDescent="0.35">
      <c r="A310" s="38"/>
      <c r="B310" s="10" t="s">
        <v>2</v>
      </c>
      <c r="C310" s="25"/>
      <c r="D310" s="25"/>
      <c r="E310" s="78">
        <f t="shared" si="280"/>
        <v>0</v>
      </c>
      <c r="F310" s="79">
        <v>0</v>
      </c>
      <c r="G310" s="80">
        <v>0</v>
      </c>
      <c r="H310" s="81">
        <v>0</v>
      </c>
      <c r="I310" s="78">
        <f t="shared" si="281"/>
        <v>0</v>
      </c>
      <c r="J310" s="79">
        <v>0</v>
      </c>
      <c r="K310" s="80">
        <v>0</v>
      </c>
      <c r="L310" s="81">
        <v>0</v>
      </c>
      <c r="M310" s="70">
        <f t="shared" si="300"/>
        <v>0</v>
      </c>
      <c r="N310" s="71">
        <f t="shared" si="301"/>
        <v>0</v>
      </c>
      <c r="O310" s="72">
        <f t="shared" si="302"/>
        <v>0</v>
      </c>
      <c r="P310" s="134">
        <f t="shared" si="303"/>
        <v>0</v>
      </c>
      <c r="Q310" s="78">
        <f t="shared" si="282"/>
        <v>0</v>
      </c>
      <c r="R310" s="79">
        <v>0</v>
      </c>
      <c r="S310" s="80">
        <v>0</v>
      </c>
      <c r="T310" s="81">
        <v>0</v>
      </c>
      <c r="U310" s="70">
        <f t="shared" si="298"/>
        <v>0</v>
      </c>
      <c r="V310" s="71">
        <f t="shared" si="299"/>
        <v>0</v>
      </c>
      <c r="W310" s="72">
        <f t="shared" si="304"/>
        <v>0</v>
      </c>
      <c r="X310" s="134">
        <f t="shared" si="305"/>
        <v>0</v>
      </c>
      <c r="Y310" s="78">
        <f t="shared" si="283"/>
        <v>0</v>
      </c>
      <c r="Z310" s="79">
        <v>0</v>
      </c>
      <c r="AA310" s="80">
        <v>0</v>
      </c>
      <c r="AB310" s="81">
        <v>0</v>
      </c>
      <c r="AC310" s="70">
        <f t="shared" si="284"/>
        <v>0</v>
      </c>
      <c r="AD310" s="71">
        <f t="shared" si="285"/>
        <v>0</v>
      </c>
      <c r="AE310" s="72">
        <f t="shared" si="306"/>
        <v>0</v>
      </c>
      <c r="AF310" s="134">
        <f t="shared" si="307"/>
        <v>0</v>
      </c>
      <c r="AG310" s="78">
        <f t="shared" si="286"/>
        <v>0</v>
      </c>
      <c r="AH310" s="79">
        <v>0</v>
      </c>
      <c r="AI310" s="80">
        <v>0</v>
      </c>
      <c r="AJ310" s="81">
        <v>0</v>
      </c>
      <c r="AK310" s="70">
        <f t="shared" si="287"/>
        <v>0</v>
      </c>
      <c r="AL310" s="71">
        <f t="shared" si="288"/>
        <v>0</v>
      </c>
      <c r="AM310" s="72">
        <f t="shared" si="308"/>
        <v>0</v>
      </c>
      <c r="AN310" s="134">
        <f t="shared" si="309"/>
        <v>0</v>
      </c>
      <c r="AO310" s="78">
        <f t="shared" si="289"/>
        <v>0</v>
      </c>
      <c r="AP310" s="79">
        <v>0</v>
      </c>
      <c r="AQ310" s="80">
        <v>0</v>
      </c>
      <c r="AR310" s="81">
        <v>0</v>
      </c>
      <c r="AS310" s="70">
        <f t="shared" si="290"/>
        <v>0</v>
      </c>
      <c r="AT310" s="71">
        <f t="shared" si="291"/>
        <v>0</v>
      </c>
      <c r="AU310" s="72">
        <f t="shared" si="310"/>
        <v>0</v>
      </c>
      <c r="AV310" s="134">
        <f t="shared" si="311"/>
        <v>0</v>
      </c>
      <c r="AW310" s="78">
        <f t="shared" si="292"/>
        <v>0</v>
      </c>
      <c r="AX310" s="79">
        <v>0</v>
      </c>
      <c r="AY310" s="80">
        <v>0</v>
      </c>
      <c r="AZ310" s="81">
        <v>0</v>
      </c>
      <c r="BA310" s="70">
        <f t="shared" si="293"/>
        <v>0</v>
      </c>
      <c r="BB310" s="71">
        <f t="shared" si="294"/>
        <v>0</v>
      </c>
      <c r="BC310" s="72">
        <f t="shared" si="312"/>
        <v>0</v>
      </c>
      <c r="BD310" s="134">
        <f t="shared" si="313"/>
        <v>0</v>
      </c>
      <c r="BE310" s="78">
        <f t="shared" si="295"/>
        <v>0</v>
      </c>
      <c r="BF310" s="79">
        <v>0</v>
      </c>
      <c r="BG310" s="80">
        <v>0</v>
      </c>
      <c r="BH310" s="81">
        <v>0</v>
      </c>
      <c r="BI310" s="70">
        <f t="shared" si="296"/>
        <v>0</v>
      </c>
      <c r="BJ310" s="71">
        <f t="shared" si="297"/>
        <v>0</v>
      </c>
      <c r="BK310" s="72">
        <f t="shared" si="263"/>
        <v>0</v>
      </c>
      <c r="BL310" s="134">
        <f t="shared" si="264"/>
        <v>0</v>
      </c>
    </row>
    <row r="311" spans="1:64" ht="12.9" x14ac:dyDescent="0.35">
      <c r="A311" s="231" t="s">
        <v>22</v>
      </c>
      <c r="B311" s="233" t="s">
        <v>34</v>
      </c>
      <c r="C311" s="27" t="s">
        <v>97</v>
      </c>
      <c r="D311" s="40" t="s">
        <v>125</v>
      </c>
      <c r="E311" s="127">
        <f t="shared" si="280"/>
        <v>60</v>
      </c>
      <c r="F311" s="128">
        <v>60</v>
      </c>
      <c r="G311" s="129">
        <v>0</v>
      </c>
      <c r="H311" s="82">
        <v>0</v>
      </c>
      <c r="I311" s="127">
        <f t="shared" si="281"/>
        <v>0</v>
      </c>
      <c r="J311" s="128"/>
      <c r="K311" s="129">
        <v>0</v>
      </c>
      <c r="L311" s="82">
        <v>0</v>
      </c>
      <c r="M311" s="70">
        <f t="shared" si="300"/>
        <v>60</v>
      </c>
      <c r="N311" s="71">
        <f t="shared" si="301"/>
        <v>60</v>
      </c>
      <c r="O311" s="72">
        <f t="shared" si="302"/>
        <v>0</v>
      </c>
      <c r="P311" s="134">
        <f t="shared" si="303"/>
        <v>0</v>
      </c>
      <c r="Q311" s="78">
        <f t="shared" si="282"/>
        <v>0</v>
      </c>
      <c r="R311" s="79"/>
      <c r="S311" s="80">
        <v>0</v>
      </c>
      <c r="T311" s="81">
        <v>0</v>
      </c>
      <c r="U311" s="70">
        <f t="shared" si="298"/>
        <v>60</v>
      </c>
      <c r="V311" s="71">
        <f t="shared" si="299"/>
        <v>60</v>
      </c>
      <c r="W311" s="72">
        <f t="shared" si="304"/>
        <v>0</v>
      </c>
      <c r="X311" s="134">
        <f t="shared" si="305"/>
        <v>0</v>
      </c>
      <c r="Y311" s="78">
        <f t="shared" si="283"/>
        <v>0</v>
      </c>
      <c r="Z311" s="79"/>
      <c r="AA311" s="80">
        <v>0</v>
      </c>
      <c r="AB311" s="81">
        <v>0</v>
      </c>
      <c r="AC311" s="70">
        <f t="shared" si="284"/>
        <v>60</v>
      </c>
      <c r="AD311" s="71">
        <f t="shared" si="285"/>
        <v>60</v>
      </c>
      <c r="AE311" s="72">
        <f t="shared" si="306"/>
        <v>0</v>
      </c>
      <c r="AF311" s="134">
        <f t="shared" si="307"/>
        <v>0</v>
      </c>
      <c r="AG311" s="78">
        <f t="shared" si="286"/>
        <v>0</v>
      </c>
      <c r="AH311" s="79"/>
      <c r="AI311" s="80">
        <v>0</v>
      </c>
      <c r="AJ311" s="81">
        <v>0</v>
      </c>
      <c r="AK311" s="70">
        <f t="shared" si="287"/>
        <v>60</v>
      </c>
      <c r="AL311" s="71">
        <f t="shared" si="288"/>
        <v>60</v>
      </c>
      <c r="AM311" s="72">
        <f t="shared" si="308"/>
        <v>0</v>
      </c>
      <c r="AN311" s="134">
        <f t="shared" si="309"/>
        <v>0</v>
      </c>
      <c r="AO311" s="78">
        <f t="shared" si="289"/>
        <v>0</v>
      </c>
      <c r="AP311" s="79"/>
      <c r="AQ311" s="80">
        <v>0</v>
      </c>
      <c r="AR311" s="81">
        <v>0</v>
      </c>
      <c r="AS311" s="70">
        <f t="shared" si="290"/>
        <v>60</v>
      </c>
      <c r="AT311" s="71">
        <f t="shared" si="291"/>
        <v>60</v>
      </c>
      <c r="AU311" s="72">
        <f t="shared" si="310"/>
        <v>0</v>
      </c>
      <c r="AV311" s="134">
        <f t="shared" si="311"/>
        <v>0</v>
      </c>
      <c r="AW311" s="78">
        <f t="shared" si="292"/>
        <v>0</v>
      </c>
      <c r="AX311" s="79"/>
      <c r="AY311" s="80">
        <v>0</v>
      </c>
      <c r="AZ311" s="81">
        <v>0</v>
      </c>
      <c r="BA311" s="70">
        <f t="shared" si="293"/>
        <v>60</v>
      </c>
      <c r="BB311" s="71">
        <f t="shared" si="294"/>
        <v>60</v>
      </c>
      <c r="BC311" s="72">
        <f t="shared" si="312"/>
        <v>0</v>
      </c>
      <c r="BD311" s="134">
        <f t="shared" si="313"/>
        <v>0</v>
      </c>
      <c r="BE311" s="78">
        <f t="shared" si="295"/>
        <v>0</v>
      </c>
      <c r="BF311" s="79"/>
      <c r="BG311" s="80">
        <v>0</v>
      </c>
      <c r="BH311" s="81">
        <v>0</v>
      </c>
      <c r="BI311" s="70">
        <f t="shared" si="296"/>
        <v>60</v>
      </c>
      <c r="BJ311" s="71">
        <f t="shared" si="297"/>
        <v>60</v>
      </c>
      <c r="BK311" s="72">
        <f t="shared" si="263"/>
        <v>0</v>
      </c>
      <c r="BL311" s="134">
        <f t="shared" si="264"/>
        <v>0</v>
      </c>
    </row>
    <row r="312" spans="1:64" ht="13.3" thickBot="1" x14ac:dyDescent="0.4">
      <c r="A312" s="312"/>
      <c r="B312" s="311"/>
      <c r="C312" s="48" t="s">
        <v>98</v>
      </c>
      <c r="D312" s="48" t="s">
        <v>137</v>
      </c>
      <c r="E312" s="153"/>
      <c r="F312" s="154"/>
      <c r="G312" s="155"/>
      <c r="H312" s="156"/>
      <c r="I312" s="153"/>
      <c r="J312" s="154"/>
      <c r="K312" s="155"/>
      <c r="L312" s="156"/>
      <c r="M312" s="157"/>
      <c r="N312" s="158"/>
      <c r="O312" s="159"/>
      <c r="P312" s="160"/>
      <c r="Q312" s="153">
        <f>R312+T312</f>
        <v>27.977</v>
      </c>
      <c r="R312" s="154">
        <v>27.977</v>
      </c>
      <c r="S312" s="155"/>
      <c r="T312" s="156"/>
      <c r="U312" s="70">
        <f t="shared" ref="U312" si="314">SUM(X312,V312)</f>
        <v>27.977</v>
      </c>
      <c r="V312" s="71">
        <f t="shared" ref="V312" si="315">N312+R312</f>
        <v>27.977</v>
      </c>
      <c r="W312" s="159"/>
      <c r="X312" s="160"/>
      <c r="Y312" s="153">
        <f>Z312+AB312</f>
        <v>0</v>
      </c>
      <c r="Z312" s="154"/>
      <c r="AA312" s="155"/>
      <c r="AB312" s="156"/>
      <c r="AC312" s="70">
        <f t="shared" si="284"/>
        <v>27.977</v>
      </c>
      <c r="AD312" s="71">
        <f t="shared" si="285"/>
        <v>27.977</v>
      </c>
      <c r="AE312" s="159"/>
      <c r="AF312" s="160"/>
      <c r="AG312" s="153">
        <f>AH312+AJ312</f>
        <v>0</v>
      </c>
      <c r="AH312" s="154"/>
      <c r="AI312" s="155"/>
      <c r="AJ312" s="156"/>
      <c r="AK312" s="70">
        <f t="shared" si="287"/>
        <v>27.977</v>
      </c>
      <c r="AL312" s="71">
        <f t="shared" si="288"/>
        <v>27.977</v>
      </c>
      <c r="AM312" s="159"/>
      <c r="AN312" s="160"/>
      <c r="AO312" s="153">
        <f>AP312+AR312</f>
        <v>0</v>
      </c>
      <c r="AP312" s="154"/>
      <c r="AQ312" s="155"/>
      <c r="AR312" s="156"/>
      <c r="AS312" s="70">
        <f t="shared" si="290"/>
        <v>27.977</v>
      </c>
      <c r="AT312" s="71">
        <f t="shared" si="291"/>
        <v>27.977</v>
      </c>
      <c r="AU312" s="159"/>
      <c r="AV312" s="160"/>
      <c r="AW312" s="153">
        <f>AX312+AZ312</f>
        <v>0</v>
      </c>
      <c r="AX312" s="154"/>
      <c r="AY312" s="155"/>
      <c r="AZ312" s="156"/>
      <c r="BA312" s="70">
        <f t="shared" si="293"/>
        <v>27.977</v>
      </c>
      <c r="BB312" s="71">
        <f t="shared" si="294"/>
        <v>27.977</v>
      </c>
      <c r="BC312" s="159"/>
      <c r="BD312" s="160"/>
      <c r="BE312" s="153">
        <f>BF312+BH312</f>
        <v>0</v>
      </c>
      <c r="BF312" s="154"/>
      <c r="BG312" s="155"/>
      <c r="BH312" s="156"/>
      <c r="BI312" s="70">
        <f t="shared" si="296"/>
        <v>27.977</v>
      </c>
      <c r="BJ312" s="71">
        <f t="shared" si="297"/>
        <v>27.977</v>
      </c>
      <c r="BK312" s="159"/>
      <c r="BL312" s="160"/>
    </row>
    <row r="313" spans="1:64" ht="12.9" thickBot="1" x14ac:dyDescent="0.35">
      <c r="A313" s="13"/>
      <c r="B313" s="14" t="s">
        <v>140</v>
      </c>
      <c r="C313" s="15" t="s">
        <v>121</v>
      </c>
      <c r="D313" s="15"/>
      <c r="E313" s="83">
        <f>SUM(F313,H313)</f>
        <v>33656.752999999997</v>
      </c>
      <c r="F313" s="84">
        <f>SUM(F309,F295,F279,F265,F254,F241,F227,F217,F190,F181,F170,F158,F146,F135,F121,F108,F94,F83,F70,F58,F19,F16,F206)</f>
        <v>26234.374</v>
      </c>
      <c r="G313" s="85">
        <f t="shared" ref="G313:H313" si="316">SUM(G309,G295,G279,G265,G254,G241,G227,G217,G190,G181,G170,G158,G146,G135,G121,G108,G94,G83,G70,G58,G19,G16,G206)</f>
        <v>16137.982999999998</v>
      </c>
      <c r="H313" s="86">
        <f t="shared" si="316"/>
        <v>7422.3790000000008</v>
      </c>
      <c r="I313" s="83">
        <f>SUM(J313,L313)</f>
        <v>57.748999999999995</v>
      </c>
      <c r="J313" s="84">
        <f>SUM(J309,J295,J279,J265,J254,J241,J227,J217,J190,J181,J170,J158,J146,J135,J121,J108,J94,J83,J70,J58,J19,J16,J206)</f>
        <v>64.759</v>
      </c>
      <c r="K313" s="85">
        <f t="shared" ref="K313:L313" si="317">SUM(K309,K295,K279,K265,K254,K241,K227,K217,K190,K181,K170,K158,K146,K135,K121,K108,K94,K83,K70,K58,K19,K16,K206)</f>
        <v>-40.899999999999991</v>
      </c>
      <c r="L313" s="86">
        <f t="shared" si="317"/>
        <v>-7.0100000000000016</v>
      </c>
      <c r="M313" s="83">
        <f>SUM(N313,P313)</f>
        <v>33714.502</v>
      </c>
      <c r="N313" s="84">
        <f>SUM(N309,N295,N279,N265,N254,N241,N227,N217,N190,N181,N170,N158,N146,N135,N121,N108,N94,N83,N70,N58,N19,N16,N206)</f>
        <v>26299.133000000002</v>
      </c>
      <c r="O313" s="85">
        <f t="shared" ref="O313:P313" si="318">SUM(O309,O295,O279,O265,O254,O241,O227,O217,O190,O181,O170,O158,O146,O135,O121,O108,O94,O83,O70,O58,O19,O16,O206)</f>
        <v>16097.082999999999</v>
      </c>
      <c r="P313" s="86">
        <f t="shared" si="318"/>
        <v>7415.3690000000006</v>
      </c>
      <c r="Q313" s="83">
        <f>SUM(R313,T313)</f>
        <v>1174.4469999999999</v>
      </c>
      <c r="R313" s="84">
        <f>SUM(R309,R295,R279,R265,R254,R241,R227,R217,R190,R181,R170,R158,R146,R135,R121,R108,R94,R83,R70,R58,R19,R16,R206)</f>
        <v>839.39799999999991</v>
      </c>
      <c r="S313" s="85">
        <f t="shared" ref="S313:T313" si="319">SUM(S309,S295,S279,S265,S254,S241,S227,S217,S190,S181,S170,S158,S146,S135,S121,S108,S94,S83,S70,S58,S19,S16,S206)</f>
        <v>54.374999999999993</v>
      </c>
      <c r="T313" s="86">
        <f t="shared" si="319"/>
        <v>335.04899999999998</v>
      </c>
      <c r="U313" s="83">
        <f>SUM(V313,X313)</f>
        <v>34888.949000000001</v>
      </c>
      <c r="V313" s="84">
        <f>SUM(V309,V295,V279,V265,V254,V241,V227,V217,V190,V181,V170,V158,V146,V135,V121,V108,V94,V83,V70,V58,V19,V16,V206)</f>
        <v>27138.531000000003</v>
      </c>
      <c r="W313" s="85">
        <f t="shared" ref="W313:X313" si="320">SUM(W309,W295,W279,W265,W254,W241,W227,W217,W190,W181,W170,W158,W146,W135,W121,W108,W94,W83,W70,W58,W19,W16,W206)</f>
        <v>16151.458000000001</v>
      </c>
      <c r="X313" s="86">
        <f t="shared" si="320"/>
        <v>7750.4180000000006</v>
      </c>
      <c r="Y313" s="83">
        <f>SUM(Z313,AB313)</f>
        <v>187.66299999999998</v>
      </c>
      <c r="Z313" s="84">
        <f>SUM(Z309,Z295,Z279,Z265,Z254,Z241,Z227,Z217,Z190,Z170,Z158,Z146,Z135,Z121,Z108,Z94,Z83,Z70,Z58,Z19,Z16,Z206)</f>
        <v>50.547999999999995</v>
      </c>
      <c r="AA313" s="85">
        <f t="shared" ref="AA313:AB313" si="321">SUM(AA309,AA295,AA279,AA265,AA254,AA241,AA227,AA217,AA190,AA181,AA170,AA158,AA146,AA135,AA121,AA108,AA94,AA83,AA70,AA58,AA19,AA16,AA206)</f>
        <v>-37.164000000000001</v>
      </c>
      <c r="AB313" s="86">
        <f t="shared" si="321"/>
        <v>137.11499999999998</v>
      </c>
      <c r="AC313" s="83">
        <f>SUM(AD313,AF313)</f>
        <v>35076.612000000001</v>
      </c>
      <c r="AD313" s="84">
        <f>SUM(AD309,AD295,AD279,AD265,AD254,AD241,AD227,AD217,AD190,AD170,AD158,AD146,AD135,AD121,AD108,AD94,AD83,AD70,AD58,AD19,AD16,AD206)</f>
        <v>27189.078999999998</v>
      </c>
      <c r="AE313" s="85">
        <f t="shared" ref="AE313:AF313" si="322">SUM(AE309,AE295,AE279,AE265,AE254,AE241,AE227,AE217,AE190,AE181,AE170,AE158,AE146,AE135,AE121,AE108,AE94,AE83,AE70,AE58,AE19,AE16,AE206)</f>
        <v>16114.294000000002</v>
      </c>
      <c r="AF313" s="86">
        <f t="shared" si="322"/>
        <v>7887.5330000000004</v>
      </c>
      <c r="AG313" s="83">
        <f>SUM(AH313,AJ313)</f>
        <v>504.83299999999997</v>
      </c>
      <c r="AH313" s="84">
        <f>SUM(AH309,AH295,AH279,AH265,AH254,AH241,AH227,AH217,AH190,AH170,AH158,AH146,AH135,AH121,AH108,AH94,AH83,AH70,AH58,AH19,AH16,AH206)</f>
        <v>269.57599999999996</v>
      </c>
      <c r="AI313" s="85">
        <f t="shared" ref="AI313:AJ313" si="323">SUM(AI309,AI295,AI279,AI265,AI254,AI241,AI227,AI217,AI190,AI181,AI170,AI158,AI146,AI135,AI121,AI108,AI94,AI83,AI70,AI58,AI19,AI16,AI206)</f>
        <v>156.61899999999997</v>
      </c>
      <c r="AJ313" s="86">
        <f t="shared" si="323"/>
        <v>235.25699999999998</v>
      </c>
      <c r="AK313" s="83">
        <f>SUM(AL313,AN313)</f>
        <v>35581.445</v>
      </c>
      <c r="AL313" s="84">
        <f>SUM(AL309,AL295,AL279,AL265,AL254,AL241,AL227,AL217,AL190,AL170,AL158,AL146,AL135,AL121,AL108,AL94,AL83,AL70,AL58,AL19,AL16,AL206)</f>
        <v>27458.655000000002</v>
      </c>
      <c r="AM313" s="85">
        <f t="shared" ref="AM313:AN313" si="324">SUM(AM309,AM295,AM279,AM265,AM254,AM241,AM227,AM217,AM190,AM181,AM170,AM158,AM146,AM135,AM121,AM108,AM94,AM83,AM70,AM58,AM19,AM16,AM206)</f>
        <v>16270.913</v>
      </c>
      <c r="AN313" s="86">
        <f t="shared" si="324"/>
        <v>8122.79</v>
      </c>
      <c r="AO313" s="83">
        <f>SUM(AP313,AR313)</f>
        <v>199.739</v>
      </c>
      <c r="AP313" s="84">
        <f>SUM(AP309,AP295,AP279,AP265,AP254,AP241,AP227,AP217,AP190,AP170,AP158,AP146,AP135,AP121,AP108,AP94,AP83,AP70,AP58,AP19,AP16,AP206)</f>
        <v>162.43100000000001</v>
      </c>
      <c r="AQ313" s="85">
        <f t="shared" ref="AQ313:AR313" si="325">SUM(AQ309,AQ295,AQ279,AQ265,AQ254,AQ241,AQ227,AQ217,AQ190,AQ181,AQ170,AQ158,AQ146,AQ135,AQ121,AQ108,AQ94,AQ83,AQ70,AQ58,AQ19,AQ16,AQ206)</f>
        <v>12.618999999999994</v>
      </c>
      <c r="AR313" s="86">
        <f t="shared" si="325"/>
        <v>37.308</v>
      </c>
      <c r="AS313" s="83">
        <f>SUM(AT313,AV313)</f>
        <v>35781.184000000001</v>
      </c>
      <c r="AT313" s="84">
        <f>SUM(AT309,AT295,AT279,AT265,AT254,AT241,AT227,AT217,AT190,AT170,AT158,AT146,AT135,AT121,AT108,AT94,AT83,AT70,AT58,AT19,AT16,AT206)</f>
        <v>27621.085999999999</v>
      </c>
      <c r="AU313" s="85">
        <f t="shared" ref="AU313:AV313" si="326">SUM(AU309,AU295,AU279,AU265,AU254,AU241,AU227,AU217,AU190,AU181,AU170,AU158,AU146,AU135,AU121,AU108,AU94,AU83,AU70,AU58,AU19,AU16,AU206)</f>
        <v>16283.532000000001</v>
      </c>
      <c r="AV313" s="86">
        <f t="shared" si="326"/>
        <v>8160.0980000000009</v>
      </c>
      <c r="AW313" s="83">
        <f>SUM(AX313,AZ313)</f>
        <v>1575.4190000000001</v>
      </c>
      <c r="AX313" s="84">
        <f>SUM(AX309,AX295,AX279,AX265,AX254,AX241,AX227,AX217,AX190,AX170,AX158,AX146,AX135,AX121,AX108,AX94,AX83,AX70,AX58,AX19,AX16,AX206)</f>
        <v>467.58499999999998</v>
      </c>
      <c r="AY313" s="85">
        <f t="shared" ref="AY313:AZ313" si="327">SUM(AY309,AY295,AY279,AY265,AY254,AY241,AY227,AY217,AY190,AY181,AY170,AY158,AY146,AY135,AY121,AY108,AY94,AY83,AY70,AY58,AY19,AY16,AY206)</f>
        <v>213.38</v>
      </c>
      <c r="AZ313" s="86">
        <f t="shared" si="327"/>
        <v>1107.8340000000001</v>
      </c>
      <c r="BA313" s="83">
        <f>SUM(BB313,BD313)</f>
        <v>37356.603000000003</v>
      </c>
      <c r="BB313" s="84">
        <f>SUM(BB309,BB295,BB279,BB265,BB254,BB241,BB227,BB217,BB190,BB170,BB158,BB146,BB135,BB121,BB108,BB94,BB83,BB70,BB58,BB19,BB16,BB206)</f>
        <v>28088.670999999998</v>
      </c>
      <c r="BC313" s="85">
        <f t="shared" ref="BC313:BD313" si="328">SUM(BC309,BC295,BC279,BC265,BC254,BC241,BC227,BC217,BC190,BC181,BC170,BC158,BC146,BC135,BC121,BC108,BC94,BC83,BC70,BC58,BC19,BC16,BC206)</f>
        <v>16496.912</v>
      </c>
      <c r="BD313" s="86">
        <f t="shared" si="328"/>
        <v>9267.9320000000007</v>
      </c>
      <c r="BE313" s="83">
        <f>SUM(BF313,BH313)</f>
        <v>504.13599999999997</v>
      </c>
      <c r="BF313" s="84">
        <f>SUM(BF309,BF295,BF279,BF265,BF254,BF241,BF227,BF217,BF190,BF170,BF158,BF146,BF135,BF121,BF108,BF94,BF83,BF70,BF58,BF19,BF16,BF206)</f>
        <v>179.708</v>
      </c>
      <c r="BG313" s="85">
        <f t="shared" ref="BG313:BH313" si="329">SUM(BG309,BG295,BG279,BG265,BG254,BG241,BG227,BG217,BG190,BG181,BG170,BG158,BG146,BG135,BG121,BG108,BG94,BG83,BG70,BG58,BG19,BG16,BG206)</f>
        <v>-96.317000000000007</v>
      </c>
      <c r="BH313" s="86">
        <f t="shared" si="329"/>
        <v>324.428</v>
      </c>
      <c r="BI313" s="83">
        <f>SUM(BJ313,BL313)</f>
        <v>37860.739000000001</v>
      </c>
      <c r="BJ313" s="84">
        <f>SUM(BJ309,BJ295,BJ279,BJ265,BJ254,BJ241,BJ227,BJ217,BJ190,BJ170,BJ158,BJ146,BJ135,BJ121,BJ108,BJ94,BJ83,BJ70,BJ58,BJ19,BJ16,BJ206)</f>
        <v>28268.379000000001</v>
      </c>
      <c r="BK313" s="85">
        <f t="shared" ref="BK313:BL313" si="330">SUM(BK309,BK295,BK279,BK265,BK254,BK241,BK227,BK217,BK190,BK181,BK170,BK158,BK146,BK135,BK121,BK108,BK94,BK83,BK70,BK58,BK19,BK16,BK206)</f>
        <v>16400.595000000001</v>
      </c>
      <c r="BL313" s="86">
        <f t="shared" si="330"/>
        <v>9592.36</v>
      </c>
    </row>
    <row r="314" spans="1:64" ht="12.9" thickBot="1" x14ac:dyDescent="0.35">
      <c r="A314" s="51"/>
      <c r="B314" s="52" t="s">
        <v>139</v>
      </c>
      <c r="C314" s="13" t="s">
        <v>122</v>
      </c>
      <c r="D314" s="57"/>
      <c r="E314" s="83">
        <f t="shared" ref="E314" si="331">SUM(H314,F314)</f>
        <v>356.44200000000001</v>
      </c>
      <c r="F314" s="84"/>
      <c r="G314" s="85"/>
      <c r="H314" s="86">
        <v>356.44200000000001</v>
      </c>
      <c r="I314" s="83">
        <f t="shared" ref="I314" si="332">SUM(L314,J314)</f>
        <v>0</v>
      </c>
      <c r="J314" s="84"/>
      <c r="K314" s="85"/>
      <c r="L314" s="86"/>
      <c r="M314" s="83">
        <f t="shared" ref="M314" si="333">SUM(P314,N314)</f>
        <v>356.44200000000001</v>
      </c>
      <c r="N314" s="84"/>
      <c r="O314" s="85"/>
      <c r="P314" s="86">
        <f>H314+L314</f>
        <v>356.44200000000001</v>
      </c>
      <c r="Q314" s="83">
        <f t="shared" ref="Q314" si="334">SUM(T314,R314)</f>
        <v>0</v>
      </c>
      <c r="R314" s="84"/>
      <c r="S314" s="85"/>
      <c r="T314" s="86"/>
      <c r="U314" s="83">
        <f t="shared" ref="U314" si="335">SUM(X314,V314)</f>
        <v>356.44200000000001</v>
      </c>
      <c r="V314" s="84"/>
      <c r="W314" s="85"/>
      <c r="X314" s="86">
        <f>P314+T314</f>
        <v>356.44200000000001</v>
      </c>
      <c r="Y314" s="83">
        <f t="shared" ref="Y314" si="336">SUM(AB314,Z314)</f>
        <v>0</v>
      </c>
      <c r="Z314" s="84"/>
      <c r="AA314" s="85"/>
      <c r="AB314" s="86"/>
      <c r="AC314" s="83">
        <f t="shared" ref="AC314" si="337">SUM(AF314,AD314)</f>
        <v>356.44200000000001</v>
      </c>
      <c r="AD314" s="84"/>
      <c r="AE314" s="85"/>
      <c r="AF314" s="86">
        <f>X314+AB314</f>
        <v>356.44200000000001</v>
      </c>
      <c r="AG314" s="83">
        <f t="shared" ref="AG314" si="338">SUM(AJ314,AH314)</f>
        <v>0</v>
      </c>
      <c r="AH314" s="84"/>
      <c r="AI314" s="85"/>
      <c r="AJ314" s="86"/>
      <c r="AK314" s="83">
        <f t="shared" ref="AK314" si="339">SUM(AN314,AL314)</f>
        <v>356.44200000000001</v>
      </c>
      <c r="AL314" s="84"/>
      <c r="AM314" s="85"/>
      <c r="AN314" s="86">
        <f>AF314+AJ314</f>
        <v>356.44200000000001</v>
      </c>
      <c r="AO314" s="83">
        <f t="shared" ref="AO314" si="340">SUM(AR314,AP314)</f>
        <v>0</v>
      </c>
      <c r="AP314" s="84"/>
      <c r="AQ314" s="85"/>
      <c r="AR314" s="86"/>
      <c r="AS314" s="83">
        <f t="shared" ref="AS314" si="341">SUM(AV314,AT314)</f>
        <v>356.44200000000001</v>
      </c>
      <c r="AT314" s="84"/>
      <c r="AU314" s="85"/>
      <c r="AV314" s="86">
        <f>AN314+AR314</f>
        <v>356.44200000000001</v>
      </c>
      <c r="AW314" s="83">
        <f t="shared" ref="AW314" si="342">SUM(AZ314,AX314)</f>
        <v>0</v>
      </c>
      <c r="AX314" s="84"/>
      <c r="AY314" s="85"/>
      <c r="AZ314" s="86"/>
      <c r="BA314" s="83">
        <f t="shared" ref="BA314" si="343">SUM(BD314,BB314)</f>
        <v>356.44200000000001</v>
      </c>
      <c r="BB314" s="84"/>
      <c r="BC314" s="85"/>
      <c r="BD314" s="86">
        <f>AV314+AZ314</f>
        <v>356.44200000000001</v>
      </c>
      <c r="BE314" s="83">
        <f t="shared" ref="BE314" si="344">SUM(BH314,BF314)</f>
        <v>0</v>
      </c>
      <c r="BF314" s="84"/>
      <c r="BG314" s="85"/>
      <c r="BH314" s="86"/>
      <c r="BI314" s="83">
        <f t="shared" ref="BI314" si="345">SUM(BL314,BJ314)</f>
        <v>356.44200000000001</v>
      </c>
      <c r="BJ314" s="84"/>
      <c r="BK314" s="85"/>
      <c r="BL314" s="86">
        <f>BD314+BH314</f>
        <v>356.44200000000001</v>
      </c>
    </row>
    <row r="315" spans="1:64" ht="14.6" thickBot="1" x14ac:dyDescent="0.4">
      <c r="A315" s="16"/>
      <c r="B315" s="114" t="s">
        <v>250</v>
      </c>
      <c r="C315" s="151"/>
      <c r="D315" s="58"/>
      <c r="E315" s="83">
        <f t="shared" ref="E315:H315" si="346">E313-E314</f>
        <v>33300.310999999994</v>
      </c>
      <c r="F315" s="84">
        <f t="shared" si="346"/>
        <v>26234.374</v>
      </c>
      <c r="G315" s="85">
        <f t="shared" si="346"/>
        <v>16137.982999999998</v>
      </c>
      <c r="H315" s="86">
        <f t="shared" si="346"/>
        <v>7065.9370000000008</v>
      </c>
      <c r="I315" s="83">
        <f t="shared" ref="I315:L315" si="347">I313-I314</f>
        <v>57.748999999999995</v>
      </c>
      <c r="J315" s="84">
        <f t="shared" si="347"/>
        <v>64.759</v>
      </c>
      <c r="K315" s="85">
        <f t="shared" si="347"/>
        <v>-40.899999999999991</v>
      </c>
      <c r="L315" s="86">
        <f t="shared" si="347"/>
        <v>-7.0100000000000016</v>
      </c>
      <c r="M315" s="83">
        <f t="shared" ref="M315:T315" si="348">M313-M314</f>
        <v>33358.06</v>
      </c>
      <c r="N315" s="84">
        <f t="shared" si="348"/>
        <v>26299.133000000002</v>
      </c>
      <c r="O315" s="85">
        <f t="shared" si="348"/>
        <v>16097.082999999999</v>
      </c>
      <c r="P315" s="86">
        <f t="shared" si="348"/>
        <v>7058.9270000000006</v>
      </c>
      <c r="Q315" s="83">
        <f t="shared" si="348"/>
        <v>1174.4469999999999</v>
      </c>
      <c r="R315" s="84">
        <f t="shared" si="348"/>
        <v>839.39799999999991</v>
      </c>
      <c r="S315" s="85">
        <f t="shared" si="348"/>
        <v>54.374999999999993</v>
      </c>
      <c r="T315" s="86">
        <f t="shared" si="348"/>
        <v>335.04899999999998</v>
      </c>
      <c r="U315" s="83">
        <f t="shared" ref="U315:W315" si="349">U313-U314</f>
        <v>34532.506999999998</v>
      </c>
      <c r="V315" s="84">
        <f>V313-V314</f>
        <v>27138.531000000003</v>
      </c>
      <c r="W315" s="85">
        <f t="shared" si="349"/>
        <v>16151.458000000001</v>
      </c>
      <c r="X315" s="86">
        <f>X313-X314</f>
        <v>7393.9760000000006</v>
      </c>
      <c r="Y315" s="84">
        <f t="shared" ref="Y315:AD315" si="350">Y313-Y314</f>
        <v>187.66299999999998</v>
      </c>
      <c r="Z315" s="84">
        <f t="shared" si="350"/>
        <v>50.547999999999995</v>
      </c>
      <c r="AA315" s="85">
        <f t="shared" si="350"/>
        <v>-37.164000000000001</v>
      </c>
      <c r="AB315" s="86">
        <f t="shared" si="350"/>
        <v>137.11499999999998</v>
      </c>
      <c r="AC315" s="83">
        <f>AC313-AC314</f>
        <v>34720.17</v>
      </c>
      <c r="AD315" s="84">
        <f t="shared" si="350"/>
        <v>27189.078999999998</v>
      </c>
      <c r="AE315" s="85">
        <f t="shared" ref="AE315" si="351">AE313-AE314</f>
        <v>16114.294000000002</v>
      </c>
      <c r="AF315" s="86">
        <f>AF313-AF314</f>
        <v>7531.0910000000003</v>
      </c>
      <c r="AG315" s="84">
        <f t="shared" ref="AG315:AJ315" si="352">AG313-AG314</f>
        <v>504.83299999999997</v>
      </c>
      <c r="AH315" s="84">
        <f t="shared" si="352"/>
        <v>269.57599999999996</v>
      </c>
      <c r="AI315" s="85">
        <f t="shared" si="352"/>
        <v>156.61899999999997</v>
      </c>
      <c r="AJ315" s="86">
        <f t="shared" si="352"/>
        <v>235.25699999999998</v>
      </c>
      <c r="AK315" s="83">
        <f>AK313-AK314</f>
        <v>35225.002999999997</v>
      </c>
      <c r="AL315" s="84">
        <f t="shared" ref="AL315:AM315" si="353">AL313-AL314</f>
        <v>27458.655000000002</v>
      </c>
      <c r="AM315" s="85">
        <f t="shared" si="353"/>
        <v>16270.913</v>
      </c>
      <c r="AN315" s="86">
        <f>AN313-AN314</f>
        <v>7766.348</v>
      </c>
      <c r="AO315" s="84">
        <f t="shared" ref="AO315:AR315" si="354">AO313-AO314</f>
        <v>199.739</v>
      </c>
      <c r="AP315" s="84">
        <f t="shared" si="354"/>
        <v>162.43100000000001</v>
      </c>
      <c r="AQ315" s="85">
        <f t="shared" si="354"/>
        <v>12.618999999999994</v>
      </c>
      <c r="AR315" s="86">
        <f t="shared" si="354"/>
        <v>37.308</v>
      </c>
      <c r="AS315" s="83">
        <f>AS313-AS314</f>
        <v>35424.741999999998</v>
      </c>
      <c r="AT315" s="84">
        <f t="shared" ref="AT315:AU315" si="355">AT313-AT314</f>
        <v>27621.085999999999</v>
      </c>
      <c r="AU315" s="85">
        <f t="shared" si="355"/>
        <v>16283.532000000001</v>
      </c>
      <c r="AV315" s="86">
        <f>AV313-AV314</f>
        <v>7803.6560000000009</v>
      </c>
      <c r="AW315" s="84">
        <f t="shared" ref="AW315:AZ315" si="356">AW313-AW314</f>
        <v>1575.4190000000001</v>
      </c>
      <c r="AX315" s="84">
        <f t="shared" si="356"/>
        <v>467.58499999999998</v>
      </c>
      <c r="AY315" s="85">
        <f t="shared" si="356"/>
        <v>213.38</v>
      </c>
      <c r="AZ315" s="86">
        <f t="shared" si="356"/>
        <v>1107.8340000000001</v>
      </c>
      <c r="BA315" s="83">
        <f>BA313-BA314</f>
        <v>37000.161</v>
      </c>
      <c r="BB315" s="84">
        <f t="shared" ref="BB315:BC315" si="357">BB313-BB314</f>
        <v>28088.670999999998</v>
      </c>
      <c r="BC315" s="85">
        <f t="shared" si="357"/>
        <v>16496.912</v>
      </c>
      <c r="BD315" s="86">
        <f>BD313-BD314</f>
        <v>8911.4900000000016</v>
      </c>
      <c r="BE315" s="84">
        <f t="shared" ref="BE315:BH315" si="358">BE313-BE314</f>
        <v>504.13599999999997</v>
      </c>
      <c r="BF315" s="84">
        <f t="shared" si="358"/>
        <v>179.708</v>
      </c>
      <c r="BG315" s="85">
        <f t="shared" si="358"/>
        <v>-96.317000000000007</v>
      </c>
      <c r="BH315" s="86">
        <f t="shared" si="358"/>
        <v>324.428</v>
      </c>
      <c r="BI315" s="83">
        <f>BI313-BI314</f>
        <v>37504.296999999999</v>
      </c>
      <c r="BJ315" s="84">
        <f t="shared" ref="BJ315:BK315" si="359">BJ313-BJ314</f>
        <v>28268.379000000001</v>
      </c>
      <c r="BK315" s="85">
        <f t="shared" si="359"/>
        <v>16400.595000000001</v>
      </c>
      <c r="BL315" s="86">
        <f>BL313-BL314</f>
        <v>9235.9180000000015</v>
      </c>
    </row>
    <row r="316" spans="1:64" ht="13.3" thickBot="1" x14ac:dyDescent="0.35">
      <c r="A316" s="61"/>
      <c r="B316" s="62" t="s">
        <v>2</v>
      </c>
      <c r="C316" s="150"/>
      <c r="D316" s="63"/>
      <c r="E316" s="87"/>
      <c r="F316" s="88"/>
      <c r="G316" s="89"/>
      <c r="H316" s="90"/>
      <c r="I316" s="87"/>
      <c r="J316" s="88"/>
      <c r="K316" s="89"/>
      <c r="L316" s="90"/>
      <c r="M316" s="87"/>
      <c r="N316" s="88"/>
      <c r="O316" s="89"/>
      <c r="P316" s="90"/>
      <c r="Q316" s="87"/>
      <c r="R316" s="88"/>
      <c r="S316" s="89"/>
      <c r="T316" s="90"/>
      <c r="U316" s="87"/>
      <c r="V316" s="88"/>
      <c r="W316" s="89"/>
      <c r="X316" s="90"/>
      <c r="Y316" s="87"/>
      <c r="Z316" s="88"/>
      <c r="AA316" s="89"/>
      <c r="AB316" s="90"/>
      <c r="AC316" s="87"/>
      <c r="AD316" s="88"/>
      <c r="AE316" s="89"/>
      <c r="AF316" s="90"/>
      <c r="AG316" s="87"/>
      <c r="AH316" s="88"/>
      <c r="AI316" s="89"/>
      <c r="AJ316" s="90"/>
      <c r="AK316" s="87"/>
      <c r="AL316" s="88"/>
      <c r="AM316" s="89"/>
      <c r="AN316" s="90"/>
      <c r="AO316" s="87"/>
      <c r="AP316" s="88"/>
      <c r="AQ316" s="89"/>
      <c r="AR316" s="90"/>
      <c r="AS316" s="87"/>
      <c r="AT316" s="88"/>
      <c r="AU316" s="89"/>
      <c r="AV316" s="90"/>
      <c r="AW316" s="87"/>
      <c r="AX316" s="88"/>
      <c r="AY316" s="89"/>
      <c r="AZ316" s="90"/>
      <c r="BA316" s="87"/>
      <c r="BB316" s="88"/>
      <c r="BC316" s="89"/>
      <c r="BD316" s="90"/>
      <c r="BE316" s="87"/>
      <c r="BF316" s="88"/>
      <c r="BG316" s="89"/>
      <c r="BH316" s="90"/>
      <c r="BI316" s="87"/>
      <c r="BJ316" s="88"/>
      <c r="BK316" s="89"/>
      <c r="BL316" s="90"/>
    </row>
    <row r="317" spans="1:64" ht="12.9" x14ac:dyDescent="0.3">
      <c r="A317" s="21"/>
      <c r="B317" s="60" t="s">
        <v>127</v>
      </c>
      <c r="C317" s="253" t="s">
        <v>125</v>
      </c>
      <c r="D317" s="254"/>
      <c r="E317" s="91">
        <f t="shared" ref="E317:E322" si="360">SUM(H317,F317)</f>
        <v>22930.374999999993</v>
      </c>
      <c r="F317" s="79">
        <f>SUM(F208,F209,F214,F253,F169,F145,F134,F41,F276,F96,F311,F299,F284,F270,F256,F245,F237:F238,F229:F231,F220,F192:F193,F183,F172:F173,F160:F161,F148:F149,F137:F138,F123:F124,F119,F110:F111,F97,F85:F86,F82,F72:F73,F69,F60:F61,F55,F50,F46,F29,F25,F21,F18,F288,F291,F306,F275,F252,F201:F202,F188,F179,F168,F155,F144,F132,F118,F104,F92:F93,F80,F67,F240,F308,F219,F293,F180,F204,F189,F298,F281:F282,F243:F244,F157,F107,F198,F250,F33,F35,F37,F249,F197,F248,F267:F268,F297,F258,F304,F273,F260,F235,F224,F213,F177,F166,F153,F142,F129,F116,F102,F90,F78,F65,F263,F215)</f>
        <v>18220.006999999994</v>
      </c>
      <c r="G317" s="80">
        <f t="shared" ref="G317" si="361">SUM(G208,G209,G214,G253,G169,G145,G134,G41,G276,G96,G311,G299,G284,G270,G256,G245,G237:G238,G229:G231,G220,G192:G193,G183,G172:G173,G160:G161,G148:G149,G137:G138,G123:G124,G119,G110:G111,G97,G85:G86,G82,G72:G73,G69,G60:G61,G55,G50,G46,G29,G25,G21,G18,G288,G291,G306,G275,G252,G201:G202,G188,G179,G168,G155,G144,G132,G118,G104,G92:G93,G80,G67,G240,G308,G219,G293,G180,G204,G189,G298,G281:G282,G243:G244,G157,G107,G198,G250,G33,G35,G37,G249,G197,G248,G267:G268,G297,G258,G304,G273,G260,G235,G224,G213,G177,G166,G153,G142,G129,G116,G102,G90,G78,G65,G263,G215)</f>
        <v>9424.7810000000009</v>
      </c>
      <c r="H317" s="81">
        <f>SUM(H208,H209,H214,H253,H169,H145,H134,H41,H276,H96,H311,H299,H284,H270,H256,H245,H237:H238,H229:H231,H220,H192:H193,H183,H172:H173,H160:H161,H148:H149,H137:H138,H123:H124,H119,H110:H111,H97,H85:H86,H82,H72:H73,H69,H60:H61,H55,H50,H46,H29,H25,H21,H18,H288,H291,H306,H275,H252,H201:H202,H188,H179,H168,H155,H144,H132,H118,H104,H92:H93,H80,H67,H240,H308,H219,H293,H180,H204,H189,H298,H281:H282,H243:H244,H157,H107,H198,H250,H33,H35,H37,H249,H197,H248,H267:H268,H297,H258,H304,H273,H260,H235,H224,H213,H177,H166,H153,H142,H129,H116,H102,H90,H78,H65,H263,H215)-H314</f>
        <v>4710.3680000000004</v>
      </c>
      <c r="I317" s="91">
        <f t="shared" ref="I317:I322" si="362">SUM(L317,J317)</f>
        <v>0</v>
      </c>
      <c r="J317" s="79">
        <f>SUM(J208,J209,J214,J253,J169,J145,J134,J41,J276,J96,J311,J299,J284,J270,J256,J245,J237:J238,J229:J231,J220,J192:J193,J183,J172:J173,J160:J161,J148:J149,J137:J138,J123:J124,J119,J110:J111,J97,J85:J86,J82,J72:J73,J69,J60:J61,J55,J50,J46,J29,J25,J21,J18,J288,J291,J306,J275,J252,J201:J202,J188,J179,J168,J155,J144,J132,J118,J104,J92:J93,J80,J67,J240,J308,J219,J293,J180,J204,J189,J298,J281:J282,J243:J244,J157,J107,J198,J250,J33,J35,J37,J249,J197,J248,J267:J268,J297,J258,J304,J273,J260,J235,J224,J213,J177,J166,J153,J142,J129,J116,J102,J90,J78,J65,J263,J215)</f>
        <v>-4.2590000000000003</v>
      </c>
      <c r="K317" s="80">
        <f t="shared" ref="K317" si="363">SUM(K208,K209,K214,K253,K169,K145,K134,K41,K276,K96,K311,K299,K284,K270,K256,K245,K237:K238,K229:K231,K220,K192:K193,K183,K172:K173,K160:K161,K148:K149,K137:K138,K123:K124,K119,K110:K111,K97,K85:K86,K82,K72:K73,K69,K60:K61,K55,K50,K46,K29,K25,K21,K18,K288,K291,K306,K275,K252,K201:K202,K188,K179,K168,K155,K144,K132,K118,K104,K92:K93,K80,K67,K240,K308,K219,K293,K180,K204,K189,K298,K281:K282,K243:K244,K157,K107,K198,K250,K33,K35,K37,K249,K197,K248,K267:K268,K297,K258,K304,K273,K260,K235,K224,K213,K177,K166,K153,K142,K129,K116,K102,K90,K78,K65,K263,K215)</f>
        <v>0</v>
      </c>
      <c r="L317" s="81">
        <f>SUM(L208,L209,L214,L253,L169,L145,L134,L41,L276,L96,L311,L299,L284,L270,L256,L245,L237:L238,L229:L231,L220,L192:L193,L183,L172:L173,L160:L161,L148:L149,L137:L138,L123:L124,L119,L110:L111,L97,L85:L86,L82,L72:L73,L69,L60:L61,L55,L50,L46,L29,L25,L21,L18,L288,L291,L306,L275,L252,L201:L202,L188,L179,L168,L155,L144,L132,L118,L104,L92:L93,L80,L67,L240,L308,L219,L293,L180,L204,L189,L298,L281:L282,L243:L244,L157,L107,L198,L250,L33,L35,L37,L249,L197,L248,L267:L268,L297,L258,L304,L273,L260,L235,L224,L213,L177,L166,L153,L142,L129,L116,L102,L90,L78,L65,L263,L215)-L314</f>
        <v>4.2590000000000003</v>
      </c>
      <c r="M317" s="91">
        <f t="shared" ref="M317:M322" si="364">SUM(P317,N317)</f>
        <v>22930.374999999993</v>
      </c>
      <c r="N317" s="79">
        <f>SUM(N208,N209,N214,N253,N169,N145,N134,N41,N276,N96,N311,N299,N284,N270,N256,N245,N237:N238,N229:N231,N220,N192:N193,N183,N172:N173,N160:N161,N148:N149,N137:N138,N123:N124,N119,N110:N111,N97,N85:N86,N82,N72:N73,N69,N60:N61,N55,N50,N46,N29,N25,N21,N18,N288,N291,N306,N275,N252,N201:N202,N188,N179,N168,N155,N144,N132,N118,N104,N92:N93,N80,N67,N240,N308,N219,N293,N180,N204,N189,N298,N281:N282,N243:N244,N157,N107,N198,N250,N33,N35,N37,N249,N197,N248,N267:N268,N297,N258,N304,N273,N260,N235,N224,N213,N177,N166,N153,N142,N129,N116,N102,N90,N78,N65,N263,N215)</f>
        <v>18215.747999999992</v>
      </c>
      <c r="O317" s="80">
        <f t="shared" ref="O317" si="365">SUM(O208,O209,O214,O253,O169,O145,O134,O41,O276,O96,O311,O299,O284,O270,O256,O245,O237:O238,O229:O231,O220,O192:O193,O183,O172:O173,O160:O161,O148:O149,O137:O138,O123:O124,O119,O110:O111,O97,O85:O86,O82,O72:O73,O69,O60:O61,O55,O50,O46,O29,O25,O21,O18,O288,O291,O306,O275,O252,O201:O202,O188,O179,O168,O155,O144,O132,O118,O104,O92:O93,O80,O67,O240,O308,O219,O293,O180,O204,O189,O298,O281:O282,O243:O244,O157,O107,O198,O250,O33,O35,O37,O249,O197,O248,O267:O268,O297,O258,O304,O273,O260,O235,O224,O213,O177,O166,O153,O142,O129,O116,O102,O90,O78,O65,O263,O215)</f>
        <v>9424.7810000000009</v>
      </c>
      <c r="P317" s="81">
        <f>SUM(P208,P209,P214,P253,P169,P145,P134,P41,P276,P96,P311,P299,P284,P270,P256,P245,P237:P238,P229:P231,P220,P192:P193,P183,P172:P173,P160:P161,P148:P149,P137:P138,P123:P124,P119,P110:P111,P97,P85:P86,P82,P72:P73,P69,P60:P61,P55,P50,P46,P29,P25,P21,P18,P288,P291,P306,P275,P252,P201:P202,P188,P179,P168,P155,P144,P132,P118,P104,P92:P93,P80,P67,P240,P308,P219,P293,P180,P204,P189,P298,P281:P282,P243:P244,P157,P107,P198,P250,P33,P35,P37,P249,P197,P248,P267:P268,P297,P258,P304,P273,P260,P235,P224,P213,P177,P166,P153,P142,P129,P116,P102,P90,P78,P65,P263,P215)-P314</f>
        <v>4714.6269999999995</v>
      </c>
      <c r="Q317" s="91">
        <f t="shared" ref="Q317:Q322" si="366">SUM(T317,R317)</f>
        <v>0</v>
      </c>
      <c r="R317" s="79">
        <f>SUM(R208,R209,R214,R253,R169,R145,R134,R41,R276,R96,R311,R299,R284,R270,R256,R245,R237:R238,R229:R231,R220,R192:R193,R183,R172:R173,R160:R161,R148:R149,R137:R138,R123:R124,R119,R110:R111,R97,R85:R86,R72:R73,R69,R60:R61,R55,R50,R46,R29,R25,R21,R18,R288,R291,R306,R275,R252,R201:R202,R188,R179,R168,R155,R144,R132,R118,R104,R92:R93,R80,R67,R240,R308,R219,R293,R180,R204,R189,R298,R281:R282,R243:R244,R157,R198,R250,R33,R35,R37,R249,R197,R248,R267:R268,R297,R258,R304,R273,R260,R235,R224,R213,R177,R166,R153,R142,R129,R116,R102,R90,R78,R65,R263,R215)</f>
        <v>8.52</v>
      </c>
      <c r="S317" s="80">
        <f t="shared" ref="S317:T317" si="367">SUM(S208,S209,S214,S253,S169,S145,S134,S41,S276,S96,S311,S299,S284,S270,S256,S245,S237:S238,S229:S231,S220,S192:S193,S183,S172:S173,S160:S161,S148:S149,S137:S138,S123:S124,S119,S110:S111,S97,S85:S86,S72:S73,S69,S60:S61,S55,S50,S46,S29,S25,S21,S18,S288,S291,S306,S275,S252,S201:S202,S188,S179,S168,S155,S144,S132,S118,S104,S92:S93,S80,S67,S240,S308,S219,S293,S180,S204,S189,S298,S281:S282,S243:S244,S157,S198,S250,S33,S35,S37,S249,S197,S248,S267:S268,S297,S258,S304,S273,S260,S235,S224,S213,S177,S166,S153,S142,S129,S116,S102,S90,S78,S65,S263,S215)</f>
        <v>5.8689999999999998</v>
      </c>
      <c r="T317" s="81">
        <f t="shared" si="367"/>
        <v>-8.52</v>
      </c>
      <c r="U317" s="91">
        <f t="shared" ref="U317:U322" si="368">SUM(X317,V317)</f>
        <v>22930.374999999993</v>
      </c>
      <c r="V317" s="79">
        <f>SUM(V208,V209,V214,V253,V169,V145,V134,V41,V276,V96,V311,V299,V284,V270,V256,V245,V237:V238,V229:V231,V220,V192:V193,V183,V172:V173,V160:V161,V148:V149,V137:V138,V123:V124,V119,V110:V111,V97,V85:V86,V72:V73,V69,V60:V61,V55,V50,V46,V29,V25,V21,V18,V288,V291,V306,V275,V252,V201:V202,V188,V179,V168,V155,V144,V132,V118,V104,V92:V93,V80,V67,V240,V308,V219,V293,V180,V204,V189,V298,V281:V282,V243:V244,V157,V198,V250,V33,V35,V37,V249,V197,V248,V267:V268,V297,V258,V304,V273,V260,V235,V224,V213,V177,V166,V153,V142,V129,V116,V102,V90,V78,V65,V263,V215)</f>
        <v>18224.267999999993</v>
      </c>
      <c r="W317" s="80">
        <f t="shared" ref="W317" si="369">SUM(W208,W209,W214,W253,W169,W145,W134,W41,W276,W96,W311,W299,W284,W270,W256,W245,W237:W238,W229:W231,W220,W192:W193,W183,W172:W173,W160:W161,W148:W149,W137:W138,W123:W124,W119,W110:W111,W97,W85:W86,W72:W73,W69,W60:W61,W55,W50,W46,W29,W25,W21,W18,W288,W291,W306,W275,W252,W201:W202,W188,W179,W168,W155,W144,W132,W118,W104,W92:W93,W80,W67,W240,W308,W219,W293,W180,W204,W189,W298,W281:W282,W243:W244,W157,W198,W250,W33,W35,W37,W249,W197,W248,W267:W268,W297,W258,W304,W273,W260,W235,W224,W213,W177,W166,W153,W142,W129,W116,W102,W90,W78,W65,W263,W215)</f>
        <v>9430.6500000000015</v>
      </c>
      <c r="X317" s="81">
        <f>SUM(X208,X209,X214,X253,X169,X145,X134,X41,X276,X96,X311,X299,X284,X270,X256,X245,X237:X238,X229:X231,X220,X192:X193,X183,X172:X173,X160:X161,X148:X149,X137:X138,X123:X124,X119,X110:X111,X97,X85:X86,X72:X73,X69,X60:X61,X55,X50,X46,X29,X25,X21,X18,X288,X291,X306,X275,X252,X201:X202,X188,X179,X168,X155,X144,X132,X118,X104,X92:X93,X80,X67,X240,X308,X219,X293,X180,X204,X189,X298,X281:X282,X243:X244,X157,X198,X250,X33,X35,X37,X249,X197,X248,X267:X268,X297,X258,X304,X273,X260,X235,X224,X213,X177,X166,X153,X142,X129,X116,X102,X90,X78,X65,X263,X215)-X314</f>
        <v>4706.107</v>
      </c>
      <c r="Y317" s="91">
        <f t="shared" ref="Y317:Y322" si="370">SUM(AB317,Z317)</f>
        <v>0</v>
      </c>
      <c r="Z317" s="79">
        <f>SUM(Z208,Z209,Z214,Z253,Z169,Z145,Z134,Z41,Z276,Z96,Z311,Z299,Z284,Z270,Z256,Z245,Z237:Z238,Z229:Z231,Z220,Z192:Z193,Z183,Z172:Z173,Z160:Z161,Z148:Z149,Z137:Z138,Z123:Z124,Z119,Z110:Z111,Z97,Z85:Z86,Z72:Z73,Z69,Z60:Z61,Z55,Z50,Z46,Z29,Z25,Z21,Z18,Z288,Z291,Z306,Z275,Z252,Z201:Z202,Z188,Z179,Z168,Z155,Z144,Z132,Z118,Z104,Z92:Z93,Z80,Z67,Z240,Z308,Z219,Z293,Z180,Z204,Z189,Z281:Z282,Z243:Z244,Z157,Z198,Z250,Z33,Z35,Z37,Z249,Z197,Z248,Z267:Z268,Z297,Z258,Z304,Z273,Z260,Z235,Z224,Z213,Z177,Z166,Z153,Z142,Z129,Z116,Z102,Z90,Z78,Z65,Z263,Z215)</f>
        <v>13.401</v>
      </c>
      <c r="AA317" s="80">
        <f>SUM(AA208,AA209,AA214,AA253,AA169,AA145,AA134,AA41,AA276,AA96,AA311,AA299,AA284,AA270,AA256,AA245,AA237:AA238,AA229:AA231,AA220,AA192:AA193,AA183,AA172:AA173,AA160:AA161,AA148:AA149,AA137:AA138,AA123:AA124,AA119,AA110:AA111,AA97,AA85:AA86,AA72:AA73,AA69,AA60:AA61,AA55,AA50,AA46,AA29,AA25,AA21,AA18,AA288,AA291,AA306,AA275,AA252,AA201:AA202,AA188,AA179,AA168,AA155,AA144,AA132,AA118,AA104,AA92:AA93,AA80,AA67,AA240,AA308,AA219,AA293,AA180,AA204,AA189,AA298,AA281:AA282,AA243:AA244,AA157,AA198,AA250,AA33,AA35,AA37,AA249,AA197,AA248,AA267:AA268,AA297,AA258,AA304,AA273,AA260,AA235,AA224,AA213,AA177,AA166,AA153,AA142,AA129,AA116,AA102,AA90,AA78,AA65,AA263,AA215)</f>
        <v>-26.056999999999999</v>
      </c>
      <c r="AB317" s="81">
        <f>SUM(AB208,AB209,AB214,AB253,AB169,AB145,AB134,AB41,AB276,AB96,AB311,AB299,AB284,AB270,AB256,AB245,AB237:AB238,AB229:AB231,AB220,AB192:AB193,AB183,AB172:AB173,AB160:AB161,AB148:AB149,AB137:AB138,AB123:AB124,AB119,AB110:AB111,AB97,AB85:AB86,AB72:AB73,AB69,AB60:AB61,AB55,AB50,AB46,AB29,AB25,AB21,AB18,AB288,AB291,AB306,AB275,AB252,AB201:AB202,AB188,AB179,AB168,AB155,AB144,AB132,AB118,AB104,AB92:AB93,AB80,AB67,AB240,AB308,AB219,AB293,AB180,AB204,AB189,AB298,AB281:AB282,AB243:AB244,AB157,AB198,AB250,AB33,AB35,AB37,AB249,AB197,AB248,AB267:AB268,AB297,AB258,AB304,AB273,AB260,AB235,AB224,AB213,AB177,AB166,AB153,AB142,AB129,AB116,AB102,AB90,AB78,AB65,AB263,AB215)-AB314</f>
        <v>-13.401</v>
      </c>
      <c r="AC317" s="91">
        <f t="shared" ref="AC317:AC322" si="371">SUM(AF317,AD317)</f>
        <v>22930.374999999989</v>
      </c>
      <c r="AD317" s="79">
        <f>SUM(AD208,AD209,AD214,AD253,AD169,AD145,AD134,AD41,AD276,AD96,AD311,AD299,AD284,AD270,AD256,AD245,AD237:AD238,AD229:AD231,AD220,AD192:AD193,AD183,AD172:AD173,AD160:AD161,AD148:AD149,AD137:AD138,AD123:AD124,AD119,AD110:AD111,AD97,AD85:AD86,AD72:AD73,AD69,AD60:AD61,AD55,AD50,AD46,AD29,AD25,AD21,AD18,AD288,AD291,AD306,AD275,AD252,AD201:AD202,AD188,AD179,AD168,AD155,AD144,AD132,AD118,AD104,AD92:AD93,AD80,AD67,AD240,AD308,AD219,AD293,AD180,AD204,AD189,AD281:AD282,AD243:AD244,AD157,AD198,AD250,AD33,AD35,AD37,AD249,AD197,AD248,AD267:AD268,AD297,AD258,AD304,AD273,AD260,AD235,AD224,AD213,AD177,AD166,AD153,AD142,AD129,AD116,AD102,AD90,AD78,AD65,AD263,AD215)</f>
        <v>18237.668999999991</v>
      </c>
      <c r="AE317" s="80">
        <f t="shared" ref="AE317" si="372">SUM(AE208,AE209,AE214,AE253,AE169,AE145,AE134,AE41,AE276,AE96,AE311,AE299,AE284,AE270,AE256,AE245,AE237:AE238,AE229:AE231,AE220,AE192:AE193,AE183,AE172:AE173,AE160:AE161,AE148:AE149,AE137:AE138,AE123:AE124,AE119,AE110:AE111,AE97,AE85:AE86,AE72:AE73,AE69,AE60:AE61,AE55,AE50,AE46,AE29,AE25,AE21,AE18,AE288,AE291,AE306,AE275,AE252,AE201:AE202,AE188,AE179,AE168,AE155,AE144,AE132,AE118,AE104,AE92:AE93,AE80,AE67,AE240,AE308,AE219,AE293,AE180,AE204,AE189,AE298,AE281:AE282,AE243:AE244,AE157,AE198,AE250,AE33,AE35,AE37,AE249,AE197,AE248,AE267:AE268,AE297,AE258,AE304,AE273,AE260,AE235,AE224,AE213,AE177,AE166,AE153,AE142,AE129,AE116,AE102,AE90,AE78,AE65,AE263,AE215)</f>
        <v>9404.5930000000026</v>
      </c>
      <c r="AF317" s="81">
        <f>SUM(AF208,AF209,AF214,AF253,AF169,AF145,AF134,AF41,AF276,AF96,AF311,AF299,AF284,AF270,AF256,AF245,AF237:AF238,AF229:AF231,AF220,AF192:AF193,AF183,AF172:AF173,AF160:AF161,AF148:AF149,AF137:AF138,AF123:AF124,AF119,AF110:AF111,AF97,AF85:AF86,AF72:AF73,AF69,AF60:AF61,AF55,AF50,AF46,AF29,AF25,AF21,AF18,AF288,AF291,AF306,AF275,AF252,AF201:AF202,AF188,AF179,AF168,AF155,AF144,AF132,AF118,AF104,AF92:AF93,AF80,AF67,AF240,AF308,AF219,AF293,AF180,AF204,AF189,AF298,AF281:AF282,AF243:AF244,AF157,AF198,AF250,AF33,AF35,AF37,AF249,AF197,AF248,AF267:AF268,AF297,AF258,AF304,AF273,AF260,AF235,AF224,AF213,AF177,AF166,AF153,AF142,AF129,AF116,AF102,AF90,AF78,AF65,AF263,AF215)-AF314</f>
        <v>4692.7059999999992</v>
      </c>
      <c r="AG317" s="91">
        <f t="shared" ref="AG317:AG322" si="373">SUM(AJ317,AH317)</f>
        <v>0</v>
      </c>
      <c r="AH317" s="79">
        <f>SUM(AH208,AH209,AH214,AH253,AH169,AH145,AH134,AH41,AH276,AH96,AH311,AH299,AH284,AH270,AH256,AH245,AH237:AH238,AH229:AH231,AH220,AH192:AH193,AH183,AH172:AH173,AH160:AH161,AH148:AH149,AH137:AH138,AH123:AH124,AH119,AH110:AH111,AH97,AH85:AH86,AH72:AH73,AH69,AH60:AH61,AH55,AH50,AH46,AH29,AH25,AH21,AH18,AH288,AH291,AH306,AH275,AH252,AH201:AH202,AH188,AH179,AH168,AH155,AH144,AH132,AH118,AH104,AH92:AH93,AH80,AH67,AH240,AH308,AH219,AH293,AH180,AH204,AH189,AH281:AH282,AH243:AH244,AH157,AH198,AH250,AH33,AH35,AH37,AH249,AH197,AH248,AH267:AH268,AH297,AH258,AH304,AH273,AH260,AH235,AH224,AH213,AH177,AH166,AH153,AH142,AH129,AH116,AH102,AH90,AH78,AH65,AH263,AH215)</f>
        <v>6.2169999999999996</v>
      </c>
      <c r="AI317" s="80">
        <f>SUM(AI208,AI209,AI214,AI253,AI169,AI145,AI134,AI41,AI276,AI96,AI311,AI299,AI284,AI270,AI256,AI245,AI237:AI238,AI229:AI231,AI220,AI192:AI193,AI183,AI172:AI173,AI160:AI161,AI148:AI149,AI137:AI138,AI123:AI124,AI119,AI110:AI111,AI97,AI85:AI86,AI72:AI73,AI69,AI60:AI61,AI55,AI50,AI46,AI29,AI25,AI21,AI18,AI288,AI291,AI306,AI275,AI252,AI201:AI202,AI188,AI179,AI168,AI155,AI144,AI132,AI118,AI104,AI92:AI93,AI80,AI67,AI240,AI308,AI219,AI293,AI180,AI204,AI189,AI298,AI281:AI282,AI243:AI244,AI157,AI198,AI250,AI33,AI35,AI37,AI249,AI197,AI248,AI267:AI268,AI297,AI258,AI304,AI273,AI260,AI235,AI224,AI213,AI177,AI166,AI153,AI142,AI129,AI116,AI102,AI90,AI78,AI65,AI263,AI215)</f>
        <v>-7.952</v>
      </c>
      <c r="AJ317" s="81">
        <f>SUM(AJ208,AJ209,AJ214,AJ253,AJ169,AJ145,AJ134,AJ41,AJ276,AJ96,AJ311,AJ299,AJ284,AJ270,AJ256,AJ245,AJ237:AJ238,AJ229:AJ231,AJ220,AJ192:AJ193,AJ183,AJ172:AJ173,AJ160:AJ161,AJ148:AJ149,AJ137:AJ138,AJ123:AJ124,AJ119,AJ110:AJ111,AJ97,AJ85:AJ86,AJ72:AJ73,AJ69,AJ60:AJ61,AJ55,AJ50,AJ46,AJ29,AJ25,AJ21,AJ18,AJ288,AJ291,AJ306,AJ275,AJ252,AJ201:AJ202,AJ188,AJ179,AJ168,AJ155,AJ144,AJ132,AJ118,AJ104,AJ92:AJ93,AJ80,AJ67,AJ240,AJ308,AJ219,AJ293,AJ180,AJ204,AJ189,AJ298,AJ281:AJ282,AJ243:AJ244,AJ157,AJ198,AJ250,AJ33,AJ35,AJ37,AJ249,AJ197,AJ248,AJ267:AJ268,AJ297,AJ258,AJ304,AJ273,AJ260,AJ235,AJ224,AJ213,AJ177,AJ166,AJ153,AJ142,AJ129,AJ116,AJ102,AJ90,AJ78,AJ65,AJ263,AJ215)-AJ314</f>
        <v>-6.2169999999999996</v>
      </c>
      <c r="AK317" s="91">
        <f t="shared" ref="AK317:AK322" si="374">SUM(AN317,AL317)</f>
        <v>22930.374999999993</v>
      </c>
      <c r="AL317" s="79">
        <f>SUM(AL208,AL209,AL214,AL253,AL169,AL145,AL134,AL41,AL276,AL96,AL311,AL299,AL284,AL270,AL256,AL245,AL237:AL238,AL229:AL231,AL220,AL192:AL193,AL183,AL172:AL173,AL160:AL161,AL148:AL149,AL137:AL138,AL123:AL124,AL119,AL110:AL111,AL97,AL85:AL86,AL72:AL73,AL69,AL60:AL61,AL55,AL50,AL46,AL29,AL25,AL21,AL18,AL288,AL291,AL306,AL275,AL252,AL201:AL202,AL188,AL179,AL168,AL155,AL144,AL132,AL118,AL104,AL92:AL93,AL80,AL67,AL240,AL308,AL219,AL293,AL180,AL204,AL189,AL281:AL282,AL243:AL244,AL157,AL198,AL250,AL33,AL35,AL37,AL249,AL197,AL248,AL267:AL268,AL297,AL258,AL304,AL273,AL260,AL235,AL224,AL213,AL177,AL166,AL153,AL142,AL129,AL116,AL102,AL90,AL78,AL65,AL263,AL215)</f>
        <v>18243.885999999995</v>
      </c>
      <c r="AM317" s="80">
        <f t="shared" ref="AM317" si="375">SUM(AM208,AM209,AM214,AM253,AM169,AM145,AM134,AM41,AM276,AM96,AM311,AM299,AM284,AM270,AM256,AM245,AM237:AM238,AM229:AM231,AM220,AM192:AM193,AM183,AM172:AM173,AM160:AM161,AM148:AM149,AM137:AM138,AM123:AM124,AM119,AM110:AM111,AM97,AM85:AM86,AM72:AM73,AM69,AM60:AM61,AM55,AM50,AM46,AM29,AM25,AM21,AM18,AM288,AM291,AM306,AM275,AM252,AM201:AM202,AM188,AM179,AM168,AM155,AM144,AM132,AM118,AM104,AM92:AM93,AM80,AM67,AM240,AM308,AM219,AM293,AM180,AM204,AM189,AM298,AM281:AM282,AM243:AM244,AM157,AM198,AM250,AM33,AM35,AM37,AM249,AM197,AM248,AM267:AM268,AM297,AM258,AM304,AM273,AM260,AM235,AM224,AM213,AM177,AM166,AM153,AM142,AM129,AM116,AM102,AM90,AM78,AM65,AM263,AM215)</f>
        <v>9396.6410000000014</v>
      </c>
      <c r="AN317" s="81">
        <f>SUM(AN208,AN209,AN214,AN253,AN169,AN145,AN134,AN41,AN276,AN96,AN311,AN299,AN284,AN270,AN256,AN245,AN237:AN238,AN229:AN231,AN220,AN192:AN193,AN183,AN172:AN173,AN160:AN161,AN148:AN149,AN137:AN138,AN123:AN124,AN119,AN110:AN111,AN97,AN85:AN86,AN72:AN73,AN69,AN60:AN61,AN55,AN50,AN46,AN29,AN25,AN21,AN18,AN288,AN291,AN306,AN275,AN252,AN201:AN202,AN188,AN179,AN168,AN155,AN144,AN132,AN118,AN104,AN92:AN93,AN80,AN67,AN240,AN308,AN219,AN293,AN180,AN204,AN189,AN298,AN281:AN282,AN243:AN244,AN157,AN198,AN250,AN33,AN35,AN37,AN249,AN197,AN248,AN267:AN268,AN297,AN258,AN304,AN273,AN260,AN235,AN224,AN213,AN177,AN166,AN153,AN142,AN129,AN116,AN102,AN90,AN78,AN65,AN263,AN215)-AN314</f>
        <v>4686.4889999999987</v>
      </c>
      <c r="AO317" s="91">
        <f t="shared" ref="AO317:AO319" si="376">SUM(AR317,AP317)</f>
        <v>5.9499999999999975</v>
      </c>
      <c r="AP317" s="79">
        <f>SUM(AP208,AP209,AP214,AP253,AP169,AP145,AP134,AP41,AP276,AP96,AP311,AP299,AP284,AP270,AP256,AP245,AP237:AP238,AP229:AP231,AP220,AP192:AP193,AP183,AP172:AP173,AP160:AP161,AP148:AP149,AP137:AP138,AP123:AP124,AP119,AP110:AP111,AP97,AP85:AP86,AP72:AP73,AP69,AP60:AP61,AP55,AP50,AP46,AP29,AP25,AP21,AP18,AP288,AP291,AP306,AP275,AP252,AP201:AP202,AP188,AP179,AP168,AP155,AP144,AP132,AP118,AP104,AP92:AP93,AP80,AP67,AP240,AP308,AP219,AP293,AP180,AP204,AP189,AP281:AP282,AP243:AP244,AP157,AP198,AP250,AP33,AP35,AP37,AP249,AP197,AP248,AP267:AP268,AP297,AP258,AP304,AP273,AP260,AP235,AP224,AP213,AP177,AP166,AP153,AP142,AP129,AP116,AP102,AP90,AP78,AP65,AP263,AP215)</f>
        <v>16.729999999999997</v>
      </c>
      <c r="AQ317" s="80">
        <f>SUM(AQ208,AQ209,AQ214,AQ253,AQ169,AQ145,AQ134,AQ41,AQ276,AQ96,AQ311,AQ299,AQ284,AQ270,AQ256,AQ245,AQ237:AQ238,AQ229:AQ231,AQ220,AQ192:AQ193,AQ183,AQ172:AQ173,AQ160:AQ161,AQ148:AQ149,AQ137:AQ138,AQ123:AQ124,AQ119,AQ110:AQ111,AQ97,AQ85:AQ86,AQ72:AQ73,AQ69,AQ60:AQ61,AQ55,AQ50,AQ46,AQ29,AQ25,AQ21,AQ18,AQ288,AQ291,AQ306,AQ275,AQ252,AQ201:AQ202,AQ188,AQ179,AQ168,AQ155,AQ144,AQ132,AQ118,AQ104,AQ92:AQ93,AQ80,AQ67,AQ240,AQ308,AQ219,AQ293,AQ180,AQ204,AQ189,AQ298,AQ281:AQ282,AQ243:AQ244,AQ157,AQ198,AQ250,AQ33,AQ35,AQ37,AQ249,AQ197,AQ248,AQ267:AQ268,AQ297,AQ258,AQ304,AQ273,AQ260,AQ235,AQ224,AQ213,AQ177,AQ166,AQ153,AQ142,AQ129,AQ116,AQ102,AQ90,AQ78,AQ65,AQ263,AQ215)</f>
        <v>-7.1820000000000004</v>
      </c>
      <c r="AR317" s="81">
        <f>SUM(AR208,AR209,AR214,AR253,AR169,AR145,AR134,AR41,AR276,AR96,AR311,AR299,AR284,AR270,AR256,AR245,AR237:AR238,AR229:AR231,AR220,AR192:AR193,AR183,AR172:AR173,AR160:AR161,AR148:AR149,AR137:AR138,AR123:AR124,AR119,AR110:AR111,AR97,AR85:AR86,AR72:AR73,AR69,AR60:AR61,AR55,AR50,AR46,AR29,AR25,AR21,AR18,AR288,AR291,AR306,AR275,AR252,AR201:AR202,AR188,AR179,AR168,AR155,AR144,AR132,AR118,AR104,AR92:AR93,AR80,AR67,AR240,AR308,AR219,AR293,AR180,AR204,AR189,AR298,AR281:AR282,AR243:AR244,AR157,AR198,AR250,AR33,AR35,AR37,AR249,AR197,AR248,AR267:AR268,AR297,AR258,AR304,AR273,AR260,AR235,AR224,AR213,AR177,AR166,AR153,AR142,AR129,AR116,AR102,AR90,AR78,AR65,AR263,AR215)-AR314</f>
        <v>-10.78</v>
      </c>
      <c r="AS317" s="91">
        <f t="shared" ref="AS317:AS319" si="377">SUM(AV317,AT317)</f>
        <v>22936.324999999993</v>
      </c>
      <c r="AT317" s="79">
        <f>SUM(AT208,AT209,AT214,AT253,AT169,AT145,AT134,AT41,AT276,AT96,AT311,AT299,AT284,AT270,AT256,AT245,AT237:AT238,AT229:AT231,AT220,AT192:AT193,AT183,AT172:AT173,AT160:AT161,AT148:AT149,AT137:AT138,AT123:AT124,AT119,AT110:AT111,AT97,AT85:AT86,AT72:AT73,AT69,AT60:AT61,AT55,AT50,AT46,AT29,AT25,AT21,AT18,AT288,AT291,AT306,AT275,AT252,AT201:AT202,AT188,AT179,AT168,AT155,AT144,AT132,AT118,AT104,AT92:AT93,AT80,AT67,AT240,AT308,AT219,AT293,AT180,AT204,AT189,AT281:AT282,AT243:AT244,AT157,AT198,AT250,AT33,AT35,AT37,AT249,AT197,AT248,AT267:AT268,AT297,AT258,AT304,AT273,AT260,AT235,AT224,AT213,AT177,AT166,AT153,AT142,AT129,AT116,AT102,AT90,AT78,AT65,AT263,AT215)</f>
        <v>18260.615999999995</v>
      </c>
      <c r="AU317" s="80">
        <f t="shared" ref="AU317" si="378">SUM(AU208,AU209,AU214,AU253,AU169,AU145,AU134,AU41,AU276,AU96,AU311,AU299,AU284,AU270,AU256,AU245,AU237:AU238,AU229:AU231,AU220,AU192:AU193,AU183,AU172:AU173,AU160:AU161,AU148:AU149,AU137:AU138,AU123:AU124,AU119,AU110:AU111,AU97,AU85:AU86,AU72:AU73,AU69,AU60:AU61,AU55,AU50,AU46,AU29,AU25,AU21,AU18,AU288,AU291,AU306,AU275,AU252,AU201:AU202,AU188,AU179,AU168,AU155,AU144,AU132,AU118,AU104,AU92:AU93,AU80,AU67,AU240,AU308,AU219,AU293,AU180,AU204,AU189,AU298,AU281:AU282,AU243:AU244,AU157,AU198,AU250,AU33,AU35,AU37,AU249,AU197,AU248,AU267:AU268,AU297,AU258,AU304,AU273,AU260,AU235,AU224,AU213,AU177,AU166,AU153,AU142,AU129,AU116,AU102,AU90,AU78,AU65,AU263,AU215)</f>
        <v>9389.4590000000026</v>
      </c>
      <c r="AV317" s="81">
        <f>SUM(AV208,AV209,AV214,AV253,AV169,AV145,AV134,AV41,AV276,AV96,AV311,AV299,AV284,AV270,AV256,AV245,AV237:AV238,AV229:AV231,AV220,AV192:AV193,AV183,AV172:AV173,AV160:AV161,AV148:AV149,AV137:AV138,AV123:AV124,AV119,AV110:AV111,AV97,AV85:AV86,AV72:AV73,AV69,AV60:AV61,AV55,AV50,AV46,AV29,AV25,AV21,AV18,AV288,AV291,AV306,AV275,AV252,AV201:AV202,AV188,AV179,AV168,AV155,AV144,AV132,AV118,AV104,AV92:AV93,AV80,AV67,AV240,AV308,AV219,AV293,AV180,AV204,AV189,AV298,AV281:AV282,AV243:AV244,AV157,AV198,AV250,AV33,AV35,AV37,AV249,AV197,AV248,AV267:AV268,AV297,AV258,AV304,AV273,AV260,AV235,AV224,AV213,AV177,AV166,AV153,AV142,AV129,AV116,AV102,AV90,AV78,AV65,AV263,AV215)-AV314</f>
        <v>4675.7089999999998</v>
      </c>
      <c r="AW317" s="78">
        <f t="shared" ref="AW317:AW319" si="379">SUM(AZ317,AX317)</f>
        <v>901.75000000000011</v>
      </c>
      <c r="AX317" s="79">
        <f>SUM(AX208,AX209,AX214,AX253,AX169,AX145,AX134,AX41,AX276,AX96,AX311,AX299,AX284,AX270,AX256,AX245,AX237:AX238,AX229:AX231,AX220,AX192:AX193,AX183,AX172:AX173,AX160:AX161,AX148:AX149,AX137:AX138,AX123:AX124,AX119,AX110:AX111,AX97,AX85:AX86,AX72:AX73,AX69,AX60:AX61,AX55,AX50,AX46,AX29,AX25,AX21,AX18,AX288,AX291,AX306,AX275,AX252,AX201:AX202,AX188,AX179,AX168,AX155,AX144,AX132,AX118,AX104,AX92:AX93,AX80,AX67,AX240,AX308,AX219,AX293,AX180,AX204,AX189,AX281:AX282,AX243:AX244,AX157,AX198,AX250,AX33,AX35,AX37,AX249,AX197,AX248,AX267:AX268,AX297,AX258,AX304,AX273,AX260,AX235,AX224,AX213,AX177,AX166,AX153,AX142,AX129,AX116,AX102,AX90,AX78,AX65,AX263,AX215,AX262,AX106,AX81)</f>
        <v>219.02200000000002</v>
      </c>
      <c r="AY317" s="80">
        <f>SUM(AY208,AY209,AY214,AY253,AY169,AY145,AY134,AY41,AY276,AY96,AY311,AY299,AY284,AY270,AY256,AY245,AY237:AY238,AY229:AY231,AY220,AY192:AY193,AY183,AY172:AY173,AY160:AY161,AY148:AY149,AY137:AY138,AY123:AY124,AY119,AY110:AY111,AY97,AY85:AY86,AY72:AY73,AY69,AY60:AY61,AY55,AY50,AY46,AY29,AY25,AY21,AY18,AY288,AY291,AY306,AY275,AY252,AY201:AY202,AY188,AY179,AY168,AY155,AY144,AY132,AY118,AY104,AY92:AY93,AY80,AY67,AY240,AY308,AY219,AY293,AY180,AY204,AY189,AY281:AY282,AY243:AY244,AY157,AY198,AY250,AY33,AY35,AY37,AY249,AY197,AY248,AY267:AY268,AY297,AY258,AY304,AY273,AY260,AY235,AY224,AY213,AY177,AY166,AY153,AY142,AY129,AY116,AY102,AY90,AY78,AY65,AY263,AY215,AY262,AY106,AY81)</f>
        <v>-4.4429999999999996</v>
      </c>
      <c r="AZ317" s="81">
        <f t="shared" ref="AZ317" si="380">SUM(AZ208,AZ209,AZ214,AZ253,AZ169,AZ145,AZ134,AZ41,AZ276,AZ96,AZ311,AZ299,AZ284,AZ270,AZ256,AZ245,AZ237:AZ238,AZ229:AZ231,AZ220,AZ192:AZ193,AZ183,AZ172:AZ173,AZ160:AZ161,AZ148:AZ149,AZ137:AZ138,AZ123:AZ124,AZ119,AZ110:AZ111,AZ97,AZ85:AZ86,AZ72:AZ73,AZ69,AZ60:AZ61,AZ55,AZ50,AZ46,AZ29,AZ25,AZ21,AZ18,AZ288,AZ291,AZ306,AZ275,AZ252,AZ201:AZ202,AZ188,AZ179,AZ168,AZ155,AZ144,AZ132,AZ118,AZ104,AZ92:AZ93,AZ80,AZ67,AZ240,AZ308,AZ219,AZ293,AZ180,AZ204,AZ189,AZ281:AZ282,AZ243:AZ244,AZ157,AZ198,AZ250,AZ33,AZ35,AZ37,AZ249,AZ197,AZ248,AZ267:AZ268,AZ297,AZ258,AZ304,AZ273,AZ260,AZ235,AZ224,AZ213,AZ177,AZ166,AZ153,AZ142,AZ129,AZ116,AZ102,AZ90,AZ78,AZ65,AZ263,AZ215,AZ262,AZ106,AZ81)</f>
        <v>682.72800000000007</v>
      </c>
      <c r="BA317" s="78">
        <f>SUM(BD317,BB317)</f>
        <v>23838.074999999997</v>
      </c>
      <c r="BB317" s="79">
        <f>SUM(BB208,BB209,BB214,BB253,BB169,BB145,BB134,BB41,BB276,BB96,BB311,BB299,BB284,BB270,BB256,BB245,BB237:BB238,BB229:BB231,BB220,BB192:BB193,BB183,BB172:BB173,BB160:BB161,BB148:BB149,BB137:BB138,BB123:BB124,BB119,BB110:BB111,BB97,BB85:BB86,BB72:BB73,BB69,BB60:BB61,BB55,BB50,BB46,BB29,BB25,BB21,BB18,BB288,BB291,BB306,BB275,BB252,BB201:BB202,BB188,BB179,BB168,BB155,BB144,BB132,BB118,BB104,BB92:BB93,BB80,BB67,BB240,BB308,BB219,BB293,BB180,BB204,BB189,BB281:BB282,BB243:BB244,BB157,BB198,BB250,BB33,BB35,BB37,BB249,BB197,BB248,BB267:BB268,BB297,BB258,BB304,BB273,BB260,BB235,BB224,BB213,BB177,BB166,BB153,BB142,BB129,BB116,BB102,BB90,BB78,BB65,BB263,BB215,BB262,BB106,BB81)</f>
        <v>18479.637999999995</v>
      </c>
      <c r="BC317" s="80">
        <f t="shared" ref="BC317" si="381">SUM(BC208,BC209,BC214,BC253,BC169,BC145,BC134,BC41,BC276,BC96,BC311,BC299,BC284,BC270,BC256,BC245,BC237:BC238,BC229:BC231,BC220,BC192:BC193,BC183,BC172:BC173,BC160:BC161,BC148:BC149,BC137:BC138,BC123:BC124,BC119,BC110:BC111,BC97,BC85:BC86,BC72:BC73,BC69,BC60:BC61,BC55,BC50,BC46,BC29,BC25,BC21,BC18,BC288,BC291,BC306,BC275,BC252,BC201:BC202,BC188,BC179,BC168,BC155,BC144,BC132,BC118,BC104,BC92:BC93,BC80,BC67,BC240,BC308,BC219,BC293,BC180,BC204,BC189,BC281:BC282,BC243:BC244,BC157,BC198,BC250,BC33,BC35,BC37,BC249,BC197,BC248,BC267:BC268,BC297,BC258,BC304,BC273,BC260,BC235,BC224,BC213,BC177,BC166,BC153,BC142,BC129,BC116,BC102,BC90,BC78,BC65,BC263,BC215,BC262,BC106,BC81)</f>
        <v>9385.0160000000033</v>
      </c>
      <c r="BD317" s="81">
        <f>SUM(BD208,BD209,BD214,BD253,BD169,BD145,BD134,BD41,BD276,BD96,BD311,BD299,BD284,BD270,BD256,BD245,BD237:BD238,BD229:BD231,BD220,BD192:BD193,BD183,BD172:BD173,BD160:BD161,BD148:BD149,BD137:BD138,BD123:BD124,BD119,BD110:BD111,BD97,BD85:BD86,BD72:BD73,BD69,BD60:BD61,BD55,BD50,BD46,BD29,BD25,BD21,BD18,BD288,BD291,BD306,BD275,BD252,BD201:BD202,BD188,BD179,BD168,BD155,BD144,BD132,BD118,BD104,BD92:BD93,BD80,BD67,BD240,BD308,BD219,BD293,BD180,BD204,BD189,BD281:BD282,BD243:BD244,BD157,BD198,BD250,BD33,BD35,BD37,BD249,BD197,BD248,BD267:BD268,BD297,BD258,BD304,BD273,BD260,BD235,BD224,BD213,BD177,BD166,BD153,BD142,BD129,BD116,BD102,BD90,BD78,BD65,BD263,BD215,BD262,BD106,BD81)-BD314</f>
        <v>5358.4370000000008</v>
      </c>
      <c r="BE317" s="78">
        <f t="shared" ref="BE317:BE319" si="382">SUM(BH317,BF317)</f>
        <v>-1.7740000000000045</v>
      </c>
      <c r="BF317" s="79">
        <f>SUM(BF208,BF209,BF214,BF253,BF169,BF145,BF134,BF41,BF276,BF96,BF311,BF299,BF284,BF270,BF256,BF245,BF237:BF238,BF229:BF231,BF220,BF192:BF193,BF183,BF172:BF173,BF160:BF161,BF148:BF149,BF137:BF138,BF123:BF124,BF119,BF110:BF111,BF97,BF85:BF86,BF72:BF73,BF69,BF60:BF61,BF55,BF50,BF46,BF29,BF25,BF21,BF18,BF288,BF291,BF306,BF275,BF252,BF201:BF202,BF188,BF179,BF168,BF155,BF144,BF132,BF118,BF104,BF92:BF93,BF80,BF67,BF240,BF308,BF219,BF293,BF180,BF204,BF189,BF281:BF282,BF243:BF244,BF157,BF198,BF250,BF33,BF35,BF37,BF249,BF197,BF248,BF267:BF268,BF297,BF258,BF304,BF273,BF260,BF235,BF224,BF213,BF177,BF166,BF153,BF142,BF129,BF116,BF102,BF90,BF78,BF65,BF263,BF215,BF262,BF106,BF81)</f>
        <v>-20.326000000000004</v>
      </c>
      <c r="BG317" s="80">
        <f>SUM(BG208,BG209,BG214,BG253,BG169,BG145,BG134,BG41,BG276,BG96,BG311,BG299,BG284,BG270,BG256,BG245,BG237:BG238,BG229:BG231,BG220,BG192:BG193,BG183,BG172:BG173,BG160:BG161,BG148:BG149,BG137:BG138,BG123:BG124,BG119,BG110:BG111,BG97,BG85:BG86,BG72:BG73,BG69,BG60:BG61,BG55,BG50,BG46,BG29,BG25,BG21,BG18,BG288,BG291,BG306,BG275,BG252,BG201:BG202,BG188,BG179,BG168,BG155,BG144,BG132,BG118,BG104,BG92:BG93,BG80,BG67,BG240,BG308,BG219,BG293,BG180,BG204,BG189,BG281:BG282,BG243:BG244,BG157,BG198,BG250,BG33,BG35,BG37,BG249,BG197,BG248,BG267:BG268,BG297,BG258,BG304,BG273,BG260,BG235,BG224,BG213,BG177,BG166,BG153,BG142,BG129,BG116,BG102,BG90,BG78,BG65,BG263,BG215,BG262,BG106,BG81)</f>
        <v>-19.504000000000001</v>
      </c>
      <c r="BH317" s="81">
        <f t="shared" ref="BH317" si="383">SUM(BH208,BH209,BH214,BH253,BH169,BH145,BH134,BH41,BH276,BH96,BH311,BH299,BH284,BH270,BH256,BH245,BH237:BH238,BH229:BH231,BH220,BH192:BH193,BH183,BH172:BH173,BH160:BH161,BH148:BH149,BH137:BH138,BH123:BH124,BH119,BH110:BH111,BH97,BH85:BH86,BH72:BH73,BH69,BH60:BH61,BH55,BH50,BH46,BH29,BH25,BH21,BH18,BH288,BH291,BH306,BH275,BH252,BH201:BH202,BH188,BH179,BH168,BH155,BH144,BH132,BH118,BH104,BH92:BH93,BH80,BH67,BH240,BH308,BH219,BH293,BH180,BH204,BH189,BH281:BH282,BH243:BH244,BH157,BH198,BH250,BH33,BH35,BH37,BH249,BH197,BH248,BH267:BH268,BH297,BH258,BH304,BH273,BH260,BH235,BH224,BH213,BH177,BH166,BH153,BH142,BH129,BH116,BH102,BH90,BH78,BH65,BH263,BH215,BH262,BH106,BH81)</f>
        <v>18.552</v>
      </c>
      <c r="BI317" s="78">
        <f>SUM(BL317,BJ317)</f>
        <v>23836.300999999992</v>
      </c>
      <c r="BJ317" s="79">
        <f>SUM(BJ208,BJ209,BJ214,BJ253,BJ169,BJ145,BJ134,BJ41,BJ276,BJ96,BJ311,BJ299,BJ284,BJ270,BJ256,BJ245,BJ237:BJ238,BJ229:BJ231,BJ220,BJ192:BJ193,BJ183,BJ172:BJ173,BJ160:BJ161,BJ148:BJ149,BJ137:BJ138,BJ123:BJ124,BJ119,BJ110:BJ111,BJ97,BJ85:BJ86,BJ72:BJ73,BJ69,BJ60:BJ61,BJ55,BJ50,BJ46,BJ29,BJ25,BJ21,BJ18,BJ288,BJ291,BJ306,BJ275,BJ252,BJ201:BJ202,BJ188,BJ179,BJ168,BJ155,BJ144,BJ132,BJ118,BJ104,BJ92:BJ93,BJ80,BJ67,BJ240,BJ308,BJ219,BJ293,BJ180,BJ204,BJ189,BJ281:BJ282,BJ243:BJ244,BJ157,BJ198,BJ250,BJ33,BJ35,BJ37,BJ249,BJ197,BJ248,BJ267:BJ268,BJ297,BJ258,BJ304,BJ273,BJ260,BJ235,BJ224,BJ213,BJ177,BJ166,BJ153,BJ142,BJ129,BJ116,BJ102,BJ90,BJ78,BJ65,BJ263,BJ215,BJ262,BJ106,BJ81)</f>
        <v>18459.311999999994</v>
      </c>
      <c r="BK317" s="80">
        <f t="shared" ref="BK317" si="384">SUM(BK208,BK209,BK214,BK253,BK169,BK145,BK134,BK41,BK276,BK96,BK311,BK299,BK284,BK270,BK256,BK245,BK237:BK238,BK229:BK231,BK220,BK192:BK193,BK183,BK172:BK173,BK160:BK161,BK148:BK149,BK137:BK138,BK123:BK124,BK119,BK110:BK111,BK97,BK85:BK86,BK72:BK73,BK69,BK60:BK61,BK55,BK50,BK46,BK29,BK25,BK21,BK18,BK288,BK291,BK306,BK275,BK252,BK201:BK202,BK188,BK179,BK168,BK155,BK144,BK132,BK118,BK104,BK92:BK93,BK80,BK67,BK240,BK308,BK219,BK293,BK180,BK204,BK189,BK281:BK282,BK243:BK244,BK157,BK198,BK250,BK33,BK35,BK37,BK249,BK197,BK248,BK267:BK268,BK297,BK258,BK304,BK273,BK260,BK235,BK224,BK213,BK177,BK166,BK153,BK142,BK129,BK116,BK102,BK90,BK78,BK65,BK263,BK215,BK262,BK106,BK81)</f>
        <v>9365.5120000000043</v>
      </c>
      <c r="BL317" s="81">
        <f>SUM(BL208,BL209,BL214,BL253,BL169,BL145,BL134,BL41,BL276,BL96,BL311,BL299,BL284,BL270,BL256,BL245,BL237:BL238,BL229:BL231,BL220,BL192:BL193,BL183,BL172:BL173,BL160:BL161,BL148:BL149,BL137:BL138,BL123:BL124,BL119,BL110:BL111,BL97,BL85:BL86,BL72:BL73,BL69,BL60:BL61,BL55,BL50,BL46,BL29,BL25,BL21,BL18,BL288,BL291,BL306,BL275,BL252,BL201:BL202,BL188,BL179,BL168,BL155,BL144,BL132,BL118,BL104,BL92:BL93,BL80,BL67,BL240,BL308,BL219,BL293,BL180,BL204,BL189,BL281:BL282,BL243:BL244,BL157,BL198,BL250,BL33,BL35,BL37,BL249,BL197,BL248,BL267:BL268,BL297,BL258,BL304,BL273,BL260,BL235,BL224,BL213,BL177,BL166,BL153,BL142,BL129,BL116,BL102,BL90,BL78,BL65,BL263,BL215,BL262,BL106,BL81)-BL314</f>
        <v>5376.9889999999996</v>
      </c>
    </row>
    <row r="318" spans="1:64" ht="12.9" x14ac:dyDescent="0.3">
      <c r="A318" s="18"/>
      <c r="B318" s="19" t="s">
        <v>128</v>
      </c>
      <c r="C318" s="255" t="s">
        <v>38</v>
      </c>
      <c r="D318" s="256"/>
      <c r="E318" s="78">
        <f t="shared" si="360"/>
        <v>1642.7780000000002</v>
      </c>
      <c r="F318" s="79">
        <f>SUM(F42,F22,F38,F285,F300,F64,F77,F89,F101,F115,F128,F141,F152,F164,F176,F239,F51,F292)</f>
        <v>1642.7780000000002</v>
      </c>
      <c r="G318" s="80">
        <f>SUM(G42,G22,G38,G285,G300,G64,G77,G89,G101,G115,G128,G141,G152,G164,G176,G239,G51,G292)</f>
        <v>850.76800000000003</v>
      </c>
      <c r="H318" s="81">
        <f>SUM(H42,H22,H38,H285,H300,H64,H77,H89,H101,H115,H128,H141,H152,H164,H176)</f>
        <v>0</v>
      </c>
      <c r="I318" s="78">
        <f t="shared" si="362"/>
        <v>0</v>
      </c>
      <c r="J318" s="79">
        <f>SUM(J42,J22,J38,J285,J300,J64,J77,J89,J101,J115,J128,J141,J152,J164,J176,J239,J51,J292)</f>
        <v>0</v>
      </c>
      <c r="K318" s="80">
        <f>SUM(K42,K22,K38,K285,K300,K64,K77,K89,K101,K115,K128,K141,K152,K164,K176,K239,K51,K292)</f>
        <v>0</v>
      </c>
      <c r="L318" s="81">
        <f>SUM(L42,L22,L38,L285,L300,L64,L77,L89,L101,L115,L128,L141,L152,L164,L176)</f>
        <v>0</v>
      </c>
      <c r="M318" s="78">
        <f t="shared" si="364"/>
        <v>1642.7780000000002</v>
      </c>
      <c r="N318" s="79">
        <f>SUM(N42,N22,N38,N285,N300,N64,N77,N89,N101,N115,N128,N141,N152,N164,N176,N239,N51,N292)</f>
        <v>1642.7780000000002</v>
      </c>
      <c r="O318" s="80">
        <f>SUM(O42,O22,O38,O285,O300,O64,O77,O89,O101,O115,O128,O141,O152,O164,O176,O239,O51,O292)</f>
        <v>850.76800000000003</v>
      </c>
      <c r="P318" s="81">
        <f>SUM(P42,P22,P38,P285,P300,P64,P77,P89,P101,P115,P128,P141,P152,P164,P176)</f>
        <v>0</v>
      </c>
      <c r="Q318" s="78">
        <f t="shared" si="366"/>
        <v>0</v>
      </c>
      <c r="R318" s="79">
        <f>SUM(R42,R22,R38,R285,R300,R64,R77,R89,R101,R115,R128,R141,R152,R164,R176,R239,R51,R292)</f>
        <v>0</v>
      </c>
      <c r="S318" s="80">
        <f>SUM(S42,S22,S38,S285,S300,S64,S77,S89,S101,S115,S128,S141,S152,S164,S176,S239,S51,S292)</f>
        <v>3.5000000000000009</v>
      </c>
      <c r="T318" s="81">
        <f>SUM(T42,T22,T38,T285,T300,T64,T77,T89,T101,T115,T128,T141,T152,T164,T176)</f>
        <v>0</v>
      </c>
      <c r="U318" s="78">
        <f t="shared" si="368"/>
        <v>1642.7780000000002</v>
      </c>
      <c r="V318" s="79">
        <f>SUM(V42,V22,V38,V285,V300,V64,V77,V89,V101,V115,V128,V141,V152,V164,V176,V239,V51,V292)</f>
        <v>1642.7780000000002</v>
      </c>
      <c r="W318" s="80">
        <f>SUM(W42,W22,W38,W285,W300,W64,W77,W89,W101,W115,W128,W141,W152,W164,W176,W239,W51,W292)</f>
        <v>854.26800000000003</v>
      </c>
      <c r="X318" s="81">
        <f>SUM(X42,X22,X38,X285,X300,X64,X77,X89,X101,X115,X128,X141,X152,X164,X176)</f>
        <v>0</v>
      </c>
      <c r="Y318" s="78">
        <f t="shared" si="370"/>
        <v>0</v>
      </c>
      <c r="Z318" s="79">
        <f>SUM(Z42,Z22,Z38,Z285,Z300,Z64,Z77,Z89,Z101,Z115,Z128,Z141,Z152,Z164,Z176,Z239,Z51,Z292)</f>
        <v>0</v>
      </c>
      <c r="AA318" s="80">
        <f>SUM(AA42,AA22,AA38,AA285,AA300,AA64,AA77,AA89,AA101,AA115,AA128,AA141,AA152,AA164,AA176,AA239,AA51,AA292)</f>
        <v>0.29199999999999998</v>
      </c>
      <c r="AB318" s="81">
        <f>SUM(AB42,AB22,AB38,AB285,AB300,AB64,AB77,AB89,AB101,AB115,AB128,AB141,AB152,AB164,AB176)</f>
        <v>0</v>
      </c>
      <c r="AC318" s="78">
        <f t="shared" si="371"/>
        <v>1642.7780000000002</v>
      </c>
      <c r="AD318" s="79">
        <f>SUM(AD42,AD22,AD38,AD285,AD300,AD64,AD77,AD89,AD101,AD115,AD128,AD141,AD152,AD164,AD176,AD239,AD51,AD292)</f>
        <v>1642.7780000000002</v>
      </c>
      <c r="AE318" s="80">
        <f>SUM(AE42,AE22,AE38,AE285,AE300,AE64,AE77,AE89,AE101,AE115,AE128,AE141,AE152,AE164,AE176,AE239,AE51,AE292)</f>
        <v>854.56000000000006</v>
      </c>
      <c r="AF318" s="81">
        <f>SUM(AF42,AF22,AF38,AF285,AF300,AF64,AF77,AF89,AF101,AF115,AF128,AF141,AF152,AF164,AF176)</f>
        <v>0</v>
      </c>
      <c r="AG318" s="78">
        <f t="shared" si="373"/>
        <v>133.80000000000001</v>
      </c>
      <c r="AH318" s="79">
        <f>SUM(AH42,AH22,AH38,AH285,AH300,AH64,AH77,AH89,AH101,AH115,AH128,AH141,AH152,AH164,AH176,AH239,AH51,AH292)</f>
        <v>133.80000000000001</v>
      </c>
      <c r="AI318" s="80">
        <f>SUM(AI42,AI22,AI38,AI285,AI300,AI64,AI77,AI89,AI101,AI115,AI128,AI141,AI152,AI164,AI176,AI239,AI51,AI292)</f>
        <v>106.78</v>
      </c>
      <c r="AJ318" s="81">
        <f>SUM(AJ42,AJ22,AJ38,AJ285,AJ300,AJ64,AJ77,AJ89,AJ101,AJ115,AJ128,AJ141,AJ152,AJ164,AJ176)</f>
        <v>0</v>
      </c>
      <c r="AK318" s="78">
        <f t="shared" si="374"/>
        <v>1776.5780000000002</v>
      </c>
      <c r="AL318" s="79">
        <f>SUM(AL42,AL22,AL38,AL285,AL300,AL64,AL77,AL89,AL101,AL115,AL128,AL141,AL152,AL164,AL176,AL239,AL51,AL292)</f>
        <v>1776.5780000000002</v>
      </c>
      <c r="AM318" s="80">
        <f>SUM(AM42,AM22,AM38,AM285,AM300,AM64,AM77,AM89,AM101,AM115,AM128,AM141,AM152,AM164,AM176,AM239,AM51,AM292)</f>
        <v>961.34000000000015</v>
      </c>
      <c r="AN318" s="81">
        <f>SUM(AN42,AN22,AN38,AN285,AN300,AN64,AN77,AN89,AN101,AN115,AN128,AN141,AN152,AN164,AN176)</f>
        <v>0</v>
      </c>
      <c r="AO318" s="78">
        <f t="shared" si="376"/>
        <v>60.800000000000004</v>
      </c>
      <c r="AP318" s="79">
        <f>SUM(AP42,AP22,AP38,AP285,AP300,AP64,AP77,AP89,AP101,AP115,AP128,AP141,AP152,AP164,AP176,AP239,AP51,AP292)</f>
        <v>60.800000000000004</v>
      </c>
      <c r="AQ318" s="80">
        <f>SUM(AQ42,AQ22,AQ38,AQ285,AQ300,AQ64,AQ77,AQ89,AQ101,AQ115,AQ128,AQ141,AQ152,AQ164,AQ176,AQ239,AQ51,AQ292)</f>
        <v>30.27</v>
      </c>
      <c r="AR318" s="81">
        <f>SUM(AR42,AR22,AR38,AR285,AR300,AR64,AR77,AR89,AR101,AR115,AR128,AR141,AR152,AR164,AR176)</f>
        <v>0</v>
      </c>
      <c r="AS318" s="78">
        <f t="shared" si="377"/>
        <v>1837.3780000000002</v>
      </c>
      <c r="AT318" s="79">
        <f>SUM(AT42,AT22,AT38,AT285,AT300,AT64,AT77,AT89,AT101,AT115,AT128,AT141,AT152,AT164,AT176,AT239,AT51,AT292)</f>
        <v>1837.3780000000002</v>
      </c>
      <c r="AU318" s="80">
        <f>SUM(AU42,AU22,AU38,AU285,AU300,AU64,AU77,AU89,AU101,AU115,AU128,AU141,AU152,AU164,AU176,AU239,AU51,AU292)</f>
        <v>991.61000000000013</v>
      </c>
      <c r="AV318" s="81">
        <f>SUM(AV42,AV22,AV38,AV285,AV300,AV64,AV77,AV89,AV101,AV115,AV128,AV141,AV152,AV164,AV176)</f>
        <v>0</v>
      </c>
      <c r="AW318" s="78">
        <f t="shared" si="379"/>
        <v>-44.800000000000004</v>
      </c>
      <c r="AX318" s="79">
        <f>SUM(AX42,AX22,AX38,AX285,AX300,AX64,AX77,AX89,AX101,AX115,AX128,AX141,AX152,AX164,AX176,AX239,AX51,AX292)</f>
        <v>-44.800000000000004</v>
      </c>
      <c r="AY318" s="80">
        <f>SUM(AY42,AY22,AY38,AY285,AY300,AY64,AY77,AY89,AY101,AY115,AY128,AY141,AY152,AY164,AY176,AY239,AY51,AY292)</f>
        <v>12.33</v>
      </c>
      <c r="AZ318" s="81">
        <f>SUM(AZ42,AZ22,AZ38,AZ285,AZ300,AZ64,AZ77,AZ89,AZ101,AZ115,AZ128,AZ141,AZ152,AZ164,AZ176)</f>
        <v>0</v>
      </c>
      <c r="BA318" s="78">
        <f t="shared" ref="BA318:BA319" si="385">SUM(BD318,BB318)</f>
        <v>1792.5779999999997</v>
      </c>
      <c r="BB318" s="79">
        <f>SUM(BB42,BB22,BB38,BB285,BB300,BB64,BB77,BB89,BB101,BB115,BB128,BB141,BB152,BB164,BB176,BB239,BB51,BB292)</f>
        <v>1792.5779999999997</v>
      </c>
      <c r="BC318" s="80">
        <f>SUM(BC42,BC22,BC38,BC285,BC300,BC64,BC77,BC89,BC101,BC115,BC128,BC141,BC152,BC164,BC176,BC239,BC51,BC292)</f>
        <v>1003.9400000000002</v>
      </c>
      <c r="BD318" s="81">
        <f>SUM(BD42,BD22,BD38,BD285,BD300,BD64,BD77,BD89,BD101,BD115,BD128,BD141,BD152,BD164,BD176)</f>
        <v>0</v>
      </c>
      <c r="BE318" s="78">
        <f t="shared" si="382"/>
        <v>-5.1150000000000002</v>
      </c>
      <c r="BF318" s="79">
        <f>SUM(BF42,BF22,BF38,BF285,BF300,BF64,BF77,BF89,BF101,BF115,BF128,BF141,BF152,BF164,BF176,BF239,BF51,BF292)</f>
        <v>-5.1150000000000002</v>
      </c>
      <c r="BG318" s="80">
        <f>SUM(BG42,BG22,BG38,BG285,BG300,BG64,BG77,BG89,BG101,BG115,BG128,BG141,BG152,BG164,BG176,BG239,BG51,BG292)</f>
        <v>-1.4999999999999998</v>
      </c>
      <c r="BH318" s="81">
        <f>SUM(BH42,BH22,BH38,BH285,BH300,BH64,BH77,BH89,BH101,BH115,BH128,BH141,BH152,BH164,BH176)</f>
        <v>0</v>
      </c>
      <c r="BI318" s="78">
        <f t="shared" ref="BI318:BI319" si="386">SUM(BL318,BJ318)</f>
        <v>1787.4629999999997</v>
      </c>
      <c r="BJ318" s="79">
        <f>SUM(BJ42,BJ22,BJ38,BJ285,BJ300,BJ64,BJ77,BJ89,BJ101,BJ115,BJ128,BJ141,BJ152,BJ164,BJ176,BJ239,BJ51,BJ292)</f>
        <v>1787.4629999999997</v>
      </c>
      <c r="BK318" s="80">
        <f>SUM(BK42,BK22,BK38,BK285,BK300,BK64,BK77,BK89,BK101,BK115,BK128,BK141,BK152,BK164,BK176,BK239,BK51,BK292)</f>
        <v>1002.4400000000002</v>
      </c>
      <c r="BL318" s="81">
        <f>SUM(BL42,BL22,BL38,BL285,BL300,BL64,BL77,BL89,BL101,BL115,BL128,BL141,BL152,BL164,BL176)</f>
        <v>0</v>
      </c>
    </row>
    <row r="319" spans="1:64" ht="12.9" x14ac:dyDescent="0.3">
      <c r="A319" s="18"/>
      <c r="B319" s="19" t="s">
        <v>215</v>
      </c>
      <c r="C319" s="255" t="s">
        <v>49</v>
      </c>
      <c r="D319" s="256"/>
      <c r="E319" s="78">
        <f t="shared" si="360"/>
        <v>5876.9</v>
      </c>
      <c r="F319" s="79">
        <f>SUM(F246,F62,F74,F87,F98,F112,F125,F139,F150,F162,F174,F221,F184,F194,F28,F210,F30)</f>
        <v>5868.8649999999998</v>
      </c>
      <c r="G319" s="80">
        <f t="shared" ref="G319:H319" si="387">SUM(G246,G62,G74,G87,G98,G112,G125,G139,G150,G162,G174,G221,G184,G194,G28,G210,G30)</f>
        <v>5662.0800000000008</v>
      </c>
      <c r="H319" s="81">
        <f t="shared" si="387"/>
        <v>8.0350000000000001</v>
      </c>
      <c r="I319" s="78">
        <f t="shared" si="362"/>
        <v>0</v>
      </c>
      <c r="J319" s="79">
        <f>SUM(J246,J62,J74,J87,J98,J112,J125,J139,J150,J162,J174,J221,J184,J194,J28,J210,J30)</f>
        <v>0</v>
      </c>
      <c r="K319" s="80">
        <f t="shared" ref="K319:L319" si="388">SUM(K246,K62,K74,K87,K98,K112,K125,K139,K150,K162,K174,K221,K184,K194,K28,K210,K30)</f>
        <v>0</v>
      </c>
      <c r="L319" s="81">
        <f t="shared" si="388"/>
        <v>0</v>
      </c>
      <c r="M319" s="78">
        <f t="shared" si="364"/>
        <v>5876.9</v>
      </c>
      <c r="N319" s="79">
        <f>SUM(N246,N62,N74,N87,N98,N112,N125,N139,N150,N162,N174,N221,N184,N194,N28,N210,N30)</f>
        <v>5868.8649999999998</v>
      </c>
      <c r="O319" s="80">
        <f t="shared" ref="O319:P319" si="389">SUM(O246,O62,O74,O87,O98,O112,O125,O139,O150,O162,O174,O221,O184,O194,O28,O210,O30)</f>
        <v>5662.0800000000008</v>
      </c>
      <c r="P319" s="81">
        <f t="shared" si="389"/>
        <v>8.0350000000000001</v>
      </c>
      <c r="Q319" s="78">
        <f t="shared" si="366"/>
        <v>0</v>
      </c>
      <c r="R319" s="79">
        <f>SUM(R246,R62,R74,R87,R98,R112,R125,R139,R150,R162,R174,R221,R184,R194,R28,R210,R30)</f>
        <v>0</v>
      </c>
      <c r="S319" s="80">
        <f t="shared" ref="S319:T319" si="390">SUM(S246,S62,S74,S87,S98,S112,S125,S139,S150,S162,S174,S221,S184,S194,S28,S210,S30)</f>
        <v>-0.05</v>
      </c>
      <c r="T319" s="81">
        <f t="shared" si="390"/>
        <v>0</v>
      </c>
      <c r="U319" s="78">
        <f t="shared" si="368"/>
        <v>5876.9</v>
      </c>
      <c r="V319" s="79">
        <f>SUM(V246,V62,V74,V87,V98,V112,V125,V139,V150,V162,V174,V221,V184,V194,V28,V210,V30)</f>
        <v>5868.8649999999998</v>
      </c>
      <c r="W319" s="80">
        <f t="shared" ref="W319:X319" si="391">SUM(W246,W62,W74,W87,W98,W112,W125,W139,W150,W162,W174,W221,W184,W194,W28,W210,W30)</f>
        <v>5662.0300000000007</v>
      </c>
      <c r="X319" s="81">
        <f t="shared" si="391"/>
        <v>8.0350000000000001</v>
      </c>
      <c r="Y319" s="78">
        <f t="shared" si="370"/>
        <v>0</v>
      </c>
      <c r="Z319" s="79">
        <f>SUM(Z246,Z62,Z74,Z87,Z98,Z112,Z125,Z139,Z150,Z162,Z174,Z221,Z184,Z194,Z28,Z210,Z30)</f>
        <v>0</v>
      </c>
      <c r="AA319" s="80">
        <f t="shared" ref="AA319:AB319" si="392">SUM(AA246,AA62,AA74,AA87,AA98,AA112,AA125,AA139,AA150,AA162,AA174,AA221,AA184,AA194,AA28,AA210,AA30)</f>
        <v>-8.9779999999999998</v>
      </c>
      <c r="AB319" s="81">
        <f t="shared" si="392"/>
        <v>0</v>
      </c>
      <c r="AC319" s="78">
        <f t="shared" si="371"/>
        <v>5876.9000000000005</v>
      </c>
      <c r="AD319" s="79">
        <f>SUM(AD246,AD62,AD74,AD87,AD98,AD112,AD125,AD139,AD150,AD162,AD174,AD221,AD184,AD194,AD28,AD210,AD30)</f>
        <v>5868.8650000000007</v>
      </c>
      <c r="AE319" s="80">
        <f t="shared" ref="AE319:AF319" si="393">SUM(AE246,AE62,AE74,AE87,AE98,AE112,AE125,AE139,AE150,AE162,AE174,AE221,AE184,AE194,AE28,AE210,AE30)</f>
        <v>5653.0520000000006</v>
      </c>
      <c r="AF319" s="81">
        <f t="shared" si="393"/>
        <v>8.0350000000000001</v>
      </c>
      <c r="AG319" s="78">
        <f t="shared" si="373"/>
        <v>0</v>
      </c>
      <c r="AH319" s="79">
        <f>SUM(AH246,AH62,AH74,AH87,AH98,AH112,AH125,AH139,AH150,AH162,AH174,AH221,AH184,AH194,AH28,AH210,AH30)</f>
        <v>0</v>
      </c>
      <c r="AI319" s="80">
        <f t="shared" ref="AI319:AJ319" si="394">SUM(AI246,AI62,AI74,AI87,AI98,AI112,AI125,AI139,AI150,AI162,AI174,AI221,AI184,AI194,AI28,AI210,AI30)</f>
        <v>-0.10000000000000053</v>
      </c>
      <c r="AJ319" s="81">
        <f t="shared" si="394"/>
        <v>0</v>
      </c>
      <c r="AK319" s="78">
        <f t="shared" si="374"/>
        <v>5876.9</v>
      </c>
      <c r="AL319" s="79">
        <f>SUM(AL246,AL62,AL74,AL87,AL98,AL112,AL125,AL139,AL150,AL162,AL174,AL221,AL184,AL194,AL28,AL210,AL30)</f>
        <v>5868.8649999999998</v>
      </c>
      <c r="AM319" s="80">
        <f t="shared" ref="AM319:AN319" si="395">SUM(AM246,AM62,AM74,AM87,AM98,AM112,AM125,AM139,AM150,AM162,AM174,AM221,AM184,AM194,AM28,AM210,AM30)</f>
        <v>5652.9520000000011</v>
      </c>
      <c r="AN319" s="81">
        <f t="shared" si="395"/>
        <v>8.0350000000000001</v>
      </c>
      <c r="AO319" s="78">
        <f t="shared" si="376"/>
        <v>0</v>
      </c>
      <c r="AP319" s="79">
        <f>SUM(AP246,AP62,AP74,AP87,AP98,AP112,AP125,AP139,AP150,AP162,AP174,AP221,AP184,AP194,AP28,AP210,AP30)</f>
        <v>0</v>
      </c>
      <c r="AQ319" s="80">
        <f t="shared" ref="AQ319:AR319" si="396">SUM(AQ246,AQ62,AQ74,AQ87,AQ98,AQ112,AQ125,AQ139,AQ150,AQ162,AQ174,AQ221,AQ184,AQ194,AQ28,AQ210,AQ30)</f>
        <v>-12.931999999999999</v>
      </c>
      <c r="AR319" s="81">
        <f t="shared" si="396"/>
        <v>0</v>
      </c>
      <c r="AS319" s="78">
        <f t="shared" si="377"/>
        <v>5876.9</v>
      </c>
      <c r="AT319" s="79">
        <f>SUM(AT246,AT62,AT74,AT87,AT98,AT112,AT125,AT139,AT150,AT162,AT174,AT221,AT184,AT194,AT28,AT210,AT30)</f>
        <v>5868.8649999999998</v>
      </c>
      <c r="AU319" s="80">
        <f t="shared" ref="AU319:AV319" si="397">SUM(AU246,AU62,AU74,AU87,AU98,AU112,AU125,AU139,AU150,AU162,AU174,AU221,AU184,AU194,AU28,AU210,AU30)</f>
        <v>5640.0200000000023</v>
      </c>
      <c r="AV319" s="81">
        <f t="shared" si="397"/>
        <v>8.0350000000000001</v>
      </c>
      <c r="AW319" s="78">
        <f t="shared" si="379"/>
        <v>77.599999999999994</v>
      </c>
      <c r="AX319" s="79">
        <f>SUM(AX246,AX62,AX74,AX87,AX98,AX112,AX125,AX139,AX150,AX162,AX174,AX221,AX184,AX194,AX28,AX210,AX30)</f>
        <v>77.599999999999994</v>
      </c>
      <c r="AY319" s="80">
        <f t="shared" ref="AY319:AZ319" si="398">SUM(AY246,AY62,AY74,AY87,AY98,AY112,AY125,AY139,AY150,AY162,AY174,AY221,AY184,AY194,AY28,AY210,AY30)</f>
        <v>76.114999999999995</v>
      </c>
      <c r="AZ319" s="81">
        <f t="shared" si="398"/>
        <v>0</v>
      </c>
      <c r="BA319" s="78">
        <f t="shared" si="385"/>
        <v>5954.5</v>
      </c>
      <c r="BB319" s="79">
        <f>SUM(BB246,BB62,BB74,BB87,BB98,BB112,BB125,BB139,BB150,BB162,BB174,BB221,BB184,BB194,BB28,BB210,BB30)</f>
        <v>5946.4650000000001</v>
      </c>
      <c r="BC319" s="80">
        <f t="shared" ref="BC319:BD319" si="399">SUM(BC246,BC62,BC74,BC87,BC98,BC112,BC125,BC139,BC150,BC162,BC174,BC221,BC184,BC194,BC28,BC210,BC30)</f>
        <v>5716.1350000000002</v>
      </c>
      <c r="BD319" s="81">
        <f t="shared" si="399"/>
        <v>8.0350000000000001</v>
      </c>
      <c r="BE319" s="78">
        <f t="shared" si="382"/>
        <v>0</v>
      </c>
      <c r="BF319" s="79">
        <f>SUM(BF246,BF62,BF74,BF87,BF98,BF112,BF125,BF139,BF150,BF162,BF174,BF221,BF184,BF194,BF28,BF210,BF30)</f>
        <v>-64.386999999999986</v>
      </c>
      <c r="BG319" s="80">
        <f t="shared" ref="BG319:BH319" si="400">SUM(BG246,BG62,BG74,BG87,BG98,BG112,BG125,BG139,BG150,BG162,BG174,BG221,BG184,BG194,BG28,BG210,BG30)</f>
        <v>-97.933999999999997</v>
      </c>
      <c r="BH319" s="81">
        <f t="shared" si="400"/>
        <v>64.387</v>
      </c>
      <c r="BI319" s="78">
        <f t="shared" si="386"/>
        <v>5954.5</v>
      </c>
      <c r="BJ319" s="79">
        <f>SUM(BJ246,BJ62,BJ74,BJ87,BJ98,BJ112,BJ125,BJ139,BJ150,BJ162,BJ174,BJ221,BJ184,BJ194,BJ28,BJ210,BJ30)</f>
        <v>5882.0780000000004</v>
      </c>
      <c r="BK319" s="80">
        <f t="shared" ref="BK319:BL319" si="401">SUM(BK246,BK62,BK74,BK87,BK98,BK112,BK125,BK139,BK150,BK162,BK174,BK221,BK184,BK194,BK28,BK210,BK30)</f>
        <v>5618.2010000000009</v>
      </c>
      <c r="BL319" s="81">
        <f t="shared" si="401"/>
        <v>72.421999999999997</v>
      </c>
    </row>
    <row r="320" spans="1:64" ht="13.75" customHeight="1" x14ac:dyDescent="0.3">
      <c r="A320" s="18"/>
      <c r="B320" s="20" t="s">
        <v>185</v>
      </c>
      <c r="C320" s="258" t="s">
        <v>137</v>
      </c>
      <c r="D320" s="259"/>
      <c r="E320" s="78">
        <f t="shared" si="360"/>
        <v>2526.4359999999997</v>
      </c>
      <c r="F320" s="79">
        <f>SUM(F99,F24,F56,F26,F278,F49,F40,F63,F75,F88,F113,F247,F196,F186,F53,F44,F301,F286,F269,F222,F175,F163,F151,F140,F257,F283,F305,F289,F274,F261,F251,F236,F225,F200,F187,F178,F167,F154,F143,F131,F117,F103,F91,F79,F66,F212,F259,F271)</f>
        <v>316.66399999999993</v>
      </c>
      <c r="G320" s="80">
        <f t="shared" ref="G320" si="402">SUM(G99,G24,G56,G26,G278,G49,G40,G63,G75,G88,G113,G247,G196,G186,G53,G44,G301,G286,G269,G222,G175,G163,G151,G140,G257,G283,G305,G289,G274,G261,G251,G236,G225,G200,G187,G178,G167,G154,G143,G131,G117,G103,G91,G79,G66,G212,G259,G271)</f>
        <v>135.86300000000003</v>
      </c>
      <c r="H320" s="81">
        <f>SUM(H99,H24,H56,H26,H278,H49,H40,H63,H75,H88,H113,H247,H196,H186,H53,H44,H301,H286,H269,H222,H175,H163,H151,H140,H257,H283,H305,H289,H274,H261,H251,H236,H225,H200,H187,H178,H167,H154,H143,H131,H117,H103,H91,H79,H66,H212,H259,H271)</f>
        <v>2209.7719999999999</v>
      </c>
      <c r="I320" s="78">
        <f t="shared" si="362"/>
        <v>-49.341999999999999</v>
      </c>
      <c r="J320" s="79">
        <f>SUM(J99,J24,J56,J26,J278,J49,J40,J63,J75,J88,J113,J247,J196,J186,J53,J44,J301,J286,J269,J222,J175,J163,J151,J140,J257,J283,J305,J289,J274,J261,J251,J236,J225,J200,J187,J178,J167,J154,J143,J131,J117,J103,J91,J79,J66,J212,J259,J271)</f>
        <v>-1.4420000000000002</v>
      </c>
      <c r="K320" s="80">
        <f t="shared" ref="K320" si="403">SUM(K99,K24,K56,K26,K278,K49,K40,K63,K75,K88,K113,K247,K196,K186,K53,K44,K301,K286,K269,K222,K175,K163,K151,K140,K257,K283,K305,K289,K274,K261,K251,K236,K225,K200,K187,K178,K167,K154,K143,K131,K117,K103,K91,K79,K66,K212,K259,K271)</f>
        <v>-72.992000000000004</v>
      </c>
      <c r="L320" s="81">
        <f>SUM(L99,L24,L56,L26,L278,L49,L40,L63,L75,L88,L113,L247,L196,L186,L53,L44,L301,L286,L269,L222,L175,L163,L151,L140,L257,L283,L305,L289,L274,L261,L251,L236,L225,L200,L187,L178,L167,L154,L143,L131,L117,L103,L91,L79,L66,L212,L259,L271)</f>
        <v>-47.9</v>
      </c>
      <c r="M320" s="78">
        <f t="shared" si="364"/>
        <v>2477.0940000000001</v>
      </c>
      <c r="N320" s="79">
        <f>SUM(N99,N24,N56,N26,N278,N49,N40,N63,N75,N88,N113,N247,N196,N186,N53,N44,N301,N286,N269,N222,N175,N163,N151,N140,N257,N283,N305,N289,N274,N261,N251,N236,N225,N200,N187,N178,N167,N154,N143,N131,N117,N103,N91,N79,N66,N212,N259,N271)</f>
        <v>315.22199999999998</v>
      </c>
      <c r="O320" s="80">
        <f t="shared" ref="O320" si="404">SUM(O99,O24,O56,O26,O278,O49,O40,O63,O75,O88,O113,O247,O196,O186,O53,O44,O301,O286,O269,O222,O175,O163,O151,O140,O257,O283,O305,O289,O274,O261,O251,O236,O225,O200,O187,O178,O167,O154,O143,O131,O117,O103,O91,O79,O66,O212,O259,O271)</f>
        <v>62.871000000000002</v>
      </c>
      <c r="P320" s="81">
        <f>SUM(P99,P24,P56,P26,P278,P49,P40,P63,P75,P88,P113,P247,P196,P186,P53,P44,P301,P286,P269,P222,P175,P163,P151,P140,P257,P283,P305,P289,P274,P261,P251,P236,P225,P200,P187,P178,P167,P154,P143,P131,P117,P103,P91,P79,P66,P212,P259,P271)</f>
        <v>2161.8719999999998</v>
      </c>
      <c r="Q320" s="78">
        <f t="shared" si="366"/>
        <v>975.6089999999997</v>
      </c>
      <c r="R320" s="79">
        <f>SUM(R99,R24,R56,R26,R278,R49,R40,R63,R75,R88,R113,R247,R196,R186,R53,R44,R301,R286,R269,R222,R175,R163,R151,R140,R257,R283,R305,R289,R274,R261,R251,R236,R225,R200,R187,R178,R167,R154,R143,R131,R117,R103,R91,R79,R66,R212,R259,R271,R294,R264,R226,R216,R107,R82,R31,R312)</f>
        <v>696.27899999999977</v>
      </c>
      <c r="S320" s="80">
        <f t="shared" ref="S320:T320" si="405">SUM(S99,S24,S56,S26,S278,S49,S40,S63,S75,S88,S113,S247,S196,S186,S53,S44,S301,S286,S269,S222,S175,S163,S151,S140,S257,S283,S305,S289,S274,S261,S251,S236,S225,S200,S187,S178,S167,S154,S143,S131,S117,S103,S91,S79,S66,S212,S259,S271,S294,S264,S226,S216,S107,S82,S31)</f>
        <v>44.977000000000004</v>
      </c>
      <c r="T320" s="81">
        <f t="shared" si="405"/>
        <v>279.33</v>
      </c>
      <c r="U320" s="78">
        <f t="shared" si="368"/>
        <v>3452.7029999999995</v>
      </c>
      <c r="V320" s="79">
        <f>SUM(V99,V24,V56,V26,V278,V49,V40,V63,V75,V88,V113,V247,V196,V186,V53,V44,V301,V286,V269,V222,V175,V163,V151,V140,V257,V283,V305,V289,V274,V261,V251,V236,V225,V200,V187,V178,V167,V154,V143,V131,V117,V103,V91,V79,V66,V212,V259,V271,V294,V264,V226,V216,V107,V82,V31,V312)</f>
        <v>1011.501</v>
      </c>
      <c r="W320" s="80">
        <f t="shared" ref="W320:X320" si="406">SUM(W99,W24,W56,W26,W278,W49,W40,W63,W75,W88,W113,W247,W196,W186,W53,W44,W301,W286,W269,W222,W175,W163,W151,W140,W257,W283,W305,W289,W274,W261,W251,W236,W225,W200,W187,W178,W167,W154,W143,W131,W117,W103,W91,W79,W66,W212,W259,W271,W294,W264,W226,W216,W107,W82,W31)</f>
        <v>107.848</v>
      </c>
      <c r="X320" s="81">
        <f t="shared" si="406"/>
        <v>2441.2019999999998</v>
      </c>
      <c r="Y320" s="78">
        <f t="shared" si="370"/>
        <v>153.78</v>
      </c>
      <c r="Z320" s="79">
        <f>SUM(Z127,Z99,Z24,Z56,Z26,Z278,Z49,Z40,Z63,Z75,Z88,Z113,Z247,Z196,Z186,Z53,Z44,Z301,Z286,Z269,Z222,Z175,Z163,Z151,Z140,Z257,Z283,Z305,Z289,Z274,Z261,Z251,Z236,Z225,Z200,Z187,Z178,Z167,Z154,Z143,Z131,Z117,Z103,Z91,Z79,Z66,Z212,Z259,Z271,Z294,Z264,Z226,Z216,Z107,Z82,Z31,Z312,Z181,Z298)</f>
        <v>7.9936057773011271E-15</v>
      </c>
      <c r="AA320" s="80">
        <f t="shared" ref="AA320:AB320" si="407">SUM(AA127,AA99,AA24,AA56,AA26,AA278,AA49,AA40,AA63,AA75,AA88,AA113,AA247,AA196,AA186,AA53,AA44,AA301,AA286,AA269,AA222,AA175,AA163,AA151,AA140,AA257,AA283,AA305,AA289,AA274,AA261,AA251,AA236,AA225,AA200,AA187,AA178,AA167,AA154,AA143,AA131,AA117,AA103,AA91,AA79,AA66,AA212,AA259,AA271,AA294,AA264,AA226,AA216,AA107,AA82,AA31,AA312,AA181)</f>
        <v>-2.4759999999999978</v>
      </c>
      <c r="AB320" s="81">
        <f t="shared" si="407"/>
        <v>153.78</v>
      </c>
      <c r="AC320" s="78">
        <f t="shared" si="371"/>
        <v>3606.4829999999997</v>
      </c>
      <c r="AD320" s="79">
        <f>SUM(AD127,AD99,AD24,AD56,AD26,AD278,AD49,AD40,AD63,AD75,AD88,AD113,AD247,AD196,AD186,AD53,AD44,AD301,AD286,AD269,AD222,AD175,AD163,AD151,AD140,AD257,AD283,AD305,AD289,AD274,AD261,AD251,AD236,AD225,AD200,AD187,AD178,AD167,AD154,AD143,AD131,AD117,AD103,AD91,AD79,AD66,AD212,AD259,AD271,AD294,AD264,AD226,AD216,AD107,AD82,AD31,AD312,AD181,AD298)</f>
        <v>1011.5010000000001</v>
      </c>
      <c r="AE320" s="80">
        <f t="shared" ref="AE320:AF320" si="408">SUM(AE127,AE99,AE24,AE56,AE26,AE278,AE49,AE40,AE63,AE75,AE88,AE113,AE247,AE196,AE186,AE53,AE44,AE301,AE286,AE269,AE222,AE175,AE163,AE151,AE140,AE257,AE283,AE305,AE289,AE274,AE261,AE251,AE236,AE225,AE200,AE187,AE178,AE167,AE154,AE143,AE131,AE117,AE103,AE91,AE79,AE66,AE212,AE259,AE271,AE294,AE264,AE226,AE216,AE107,AE82,AE31,AE312,AE181)</f>
        <v>105.372</v>
      </c>
      <c r="AF320" s="81">
        <f t="shared" si="408"/>
        <v>2594.9819999999995</v>
      </c>
      <c r="AG320" s="78">
        <f>SUM(AJ320,AH320)</f>
        <v>222.07900000000001</v>
      </c>
      <c r="AH320" s="79">
        <f>SUM(AH127,AH99,AH24,AH56,AH26,AH278,AH49,AH40,AH63,AH75,AH88,AH113,AH247,AH196,AH186,AH53,AH44,AH301,AH286,AH269,AH222,AH175,AH163,AH151,AH140,AH257,AH283,AH305,AH289,AH274,AH261,AH251,AH236,AH225,AH200,AH187,AH178,AH167,AH154,AH143,AH131,AH117,AH103,AH91,AH79,AH66,AH212,AH259,AH271,AH294,AH264,AH226,AH216,AH107,AH82,AH31,AH312,AH181,AH298,AH120)</f>
        <v>66.979000000000013</v>
      </c>
      <c r="AI320" s="80">
        <f t="shared" ref="AI320" si="409">SUM(AI127,AI99,AI24,AI56,AI26,AI278,AI49,AI40,AI63,AI75,AI88,AI113,AI247,AI196,AI186,AI53,AI44,AI301,AI286,AI269,AI222,AI175,AI163,AI151,AI140,AI257,AI283,AI305,AI289,AI274,AI261,AI251,AI236,AI225,AI200,AI187,AI178,AI167,AI154,AI143,AI131,AI117,AI103,AI91,AI79,AI66,AI212,AI259,AI271,AI294,AI264,AI226,AI216,AI107,AI82,AI31,AI312,AI181,AI298,AI120)</f>
        <v>32.995000000000005</v>
      </c>
      <c r="AJ320" s="81">
        <f>SUM(AJ127,AJ99,AJ24,AJ56,AJ26,AJ278,AJ49,AJ40,AJ63,AJ75,AJ88,AJ113,AJ247,AJ196,AJ186,AJ53,AJ44,AJ301,AJ286,AJ269,AJ222,AJ175,AJ163,AJ151,AJ140,AJ257,AJ283,AJ305,AJ289,AJ274,AJ261,AJ251,AJ236,AJ225,AJ200,AJ187,AJ178,AJ167,AJ154,AJ143,AJ131,AJ117,AJ103,AJ91,AJ79,AJ66,AJ212,AJ259,AJ271,AJ294,AJ264,AJ226,AJ216,AJ107,AJ82,AJ31,AJ312,AJ181,AJ298,AJ120)</f>
        <v>155.1</v>
      </c>
      <c r="AK320" s="78">
        <f>SUM(AN320,AL320)</f>
        <v>3828.5619999999999</v>
      </c>
      <c r="AL320" s="79">
        <f>SUM(AL127,AL99,AL24,AL56,AL26,AL278,AL49,AL40,AL63,AL75,AL88,AL113,AL247,AL196,AL186,AL53,AL44,AL301,AL286,AL269,AL222,AL175,AL163,AL151,AL140,AL257,AL283,AL305,AL289,AL274,AL261,AL251,AL236,AL225,AL200,AL187,AL178,AL167,AL154,AL143,AL131,AL117,AL103,AL91,AL79,AL66,AL212,AL259,AL271,AL294,AL264,AL226,AL216,AL107,AL82,AL31,AL312,AL181,AL298,AL120)</f>
        <v>1078.4800000000002</v>
      </c>
      <c r="AM320" s="80">
        <f t="shared" ref="AM320" si="410">SUM(AM127,AM99,AM24,AM56,AM26,AM278,AM49,AM40,AM63,AM75,AM88,AM113,AM247,AM196,AM186,AM53,AM44,AM301,AM286,AM269,AM222,AM175,AM163,AM151,AM140,AM257,AM283,AM305,AM289,AM274,AM261,AM251,AM236,AM225,AM200,AM187,AM178,AM167,AM154,AM143,AM131,AM117,AM103,AM91,AM79,AM66,AM212,AM259,AM271,AM294,AM264,AM226,AM216,AM107,AM82,AM31,AM312,AM181,AM298,AM120)</f>
        <v>138.36700000000002</v>
      </c>
      <c r="AN320" s="81">
        <f>SUM(AN127,AN99,AN24,AN56,AN26,AN278,AN49,AN40,AN63,AN75,AN88,AN113,AN247,AN196,AN186,AN53,AN44,AN301,AN286,AN269,AN222,AN175,AN163,AN151,AN140,AN257,AN283,AN305,AN289,AN274,AN261,AN251,AN236,AN225,AN200,AN187,AN178,AN167,AN154,AN143,AN131,AN117,AN103,AN91,AN79,AN66,AN212,AN259,AN271,AN294,AN264,AN226,AN216,AN107,AN82,AN31,AN312,AN181,AN298,AN120)</f>
        <v>2750.0819999999994</v>
      </c>
      <c r="AO320" s="78">
        <f>SUM(AR320,AP320)</f>
        <v>4.1109999999999998</v>
      </c>
      <c r="AP320" s="79">
        <f>SUM(AP127,AP99,AP24,AP56,AP26,AP278,AP49,AP40,AP63,AP75,AP88,AP113,AP247,AP196,AP186,AP53,AP44,AP301,AP286,AP269,AP222,AP175,AP163,AP151,AP140,AP257,AP283,AP305,AP289,AP274,AP261,AP251,AP236,AP225,AP200,AP187,AP178,AP167,AP154,AP143,AP131,AP117,AP103,AP91,AP79,AP66,AP212,AP259,AP271,AP294,AP264,AP226,AP216,AP107,AP82,AP31,AP312,AP181,AP298,AP120)</f>
        <v>7.351</v>
      </c>
      <c r="AQ320" s="80">
        <f t="shared" ref="AQ320" si="411">SUM(AQ127,AQ99,AQ24,AQ56,AQ26,AQ278,AQ49,AQ40,AQ63,AQ75,AQ88,AQ113,AQ247,AQ196,AQ186,AQ53,AQ44,AQ301,AQ286,AQ269,AQ222,AQ175,AQ163,AQ151,AQ140,AQ257,AQ283,AQ305,AQ289,AQ274,AQ261,AQ251,AQ236,AQ225,AQ200,AQ187,AQ178,AQ167,AQ154,AQ143,AQ131,AQ117,AQ103,AQ91,AQ79,AQ66,AQ212,AQ259,AQ271,AQ294,AQ264,AQ226,AQ216,AQ107,AQ82,AQ31,AQ312,AQ181,AQ298,AQ120)</f>
        <v>0</v>
      </c>
      <c r="AR320" s="81">
        <f>SUM(AR127,AR99,AR24,AR56,AR26,AR278,AR49,AR40,AR63,AR75,AR88,AR113,AR247,AR196,AR186,AR53,AR44,AR301,AR286,AR269,AR222,AR175,AR163,AR151,AR140,AR257,AR283,AR305,AR289,AR274,AR261,AR251,AR236,AR225,AR200,AR187,AR178,AR167,AR154,AR143,AR131,AR117,AR103,AR91,AR79,AR66,AR212,AR259,AR271,AR294,AR264,AR226,AR216,AR107,AR82,AR31,AR312,AR181,AR298,AR120)</f>
        <v>-3.24</v>
      </c>
      <c r="AS320" s="78">
        <f>SUM(AV320,AT320)</f>
        <v>3832.6729999999998</v>
      </c>
      <c r="AT320" s="79">
        <f>SUM(AT127,AT99,AT24,AT56,AT26,AT278,AT49,AT40,AT63,AT75,AT88,AT113,AT247,AT196,AT186,AT53,AT44,AT301,AT286,AT269,AT222,AT175,AT163,AT151,AT140,AT257,AT283,AT305,AT289,AT274,AT261,AT251,AT236,AT225,AT200,AT187,AT178,AT167,AT154,AT143,AT131,AT117,AT103,AT91,AT79,AT66,AT212,AT259,AT271,AT294,AT264,AT226,AT216,AT107,AT82,AT31,AT312,AT181,AT298,AT120)</f>
        <v>1085.8310000000001</v>
      </c>
      <c r="AU320" s="80">
        <f t="shared" ref="AU320" si="412">SUM(AU127,AU99,AU24,AU56,AU26,AU278,AU49,AU40,AU63,AU75,AU88,AU113,AU247,AU196,AU186,AU53,AU44,AU301,AU286,AU269,AU222,AU175,AU163,AU151,AU140,AU257,AU283,AU305,AU289,AU274,AU261,AU251,AU236,AU225,AU200,AU187,AU178,AU167,AU154,AU143,AU131,AU117,AU103,AU91,AU79,AU66,AU212,AU259,AU271,AU294,AU264,AU226,AU216,AU107,AU82,AU31,AU312,AU181,AU298,AU120)</f>
        <v>138.36700000000002</v>
      </c>
      <c r="AV320" s="81">
        <f>SUM(AV127,AV99,AV24,AV56,AV26,AV278,AV49,AV40,AV63,AV75,AV88,AV113,AV247,AV196,AV186,AV53,AV44,AV301,AV286,AV269,AV222,AV175,AV163,AV151,AV140,AV257,AV283,AV305,AV289,AV274,AV261,AV251,AV236,AV225,AV200,AV187,AV178,AV167,AV154,AV143,AV131,AV117,AV103,AV91,AV79,AV66,AV212,AV259,AV271,AV294,AV264,AV226,AV216,AV107,AV82,AV31,AV312,AV181,AV298,AV120)</f>
        <v>2746.8419999999996</v>
      </c>
      <c r="AW320" s="78">
        <f>SUM(AW127,AW99,AW24,AW56,AW26,AW278,AW49,AW40,AW63,AW75,AW88,AW113,AW247,AW196,AW186,AW53,AW44,AW301,AW286,AW269,AW222,AW175,AW163,AW151,AW140,AW257,AW283,AW305,AW289,AW274,AW261,AW251,AW236,AW225,AW200,AW187,AW178,AW167,AW154,AW143,AW131,AW117,AW103,AW91,AW79,AW66,AW212,AW259,AW271,AW294,AW264,AW226,AW216,AW107,AW82,AW31,AW312,AW181,AW298,AW120,AW36,AW34)</f>
        <v>316.39399999999983</v>
      </c>
      <c r="AX320" s="79">
        <f>SUM(AX127,AX99,AX24,AX56,AX26,AX278,AX49,AX40,AX63,AX75,AX88,AX113,AX247,AX196,AX186,AX53,AX44,AX301,AX286,AX269,AX222,AX175,AX163,AX151,AX140,AX257,AX283,AX305,AX289,AX274,AX261,AX251,AX236,AX225,AX200,AX187,AX178,AX167,AX154,AX143,AX131,AX117,AX103,AX91,AX79,AX66,AX212,AX259,AX271,AX294,AX264,AX226,AX216,AX107,AX82,AX31,AX312,AX181,AX298,AX120,AX36,AX34)</f>
        <v>109.39400000000005</v>
      </c>
      <c r="AY320" s="80">
        <f t="shared" ref="AY320:AZ320" si="413">SUM(AY127,AY99,AY24,AY56,AY26,AY278,AY49,AY40,AY63,AY75,AY88,AY113,AY247,AY196,AY186,AY53,AY44,AY301,AY286,AY269,AY222,AY175,AY163,AY151,AY140,AY257,AY283,AY305,AY289,AY274,AY261,AY251,AY236,AY225,AY200,AY187,AY178,AY167,AY154,AY143,AY131,AY117,AY103,AY91,AY79,AY66,AY212,AY259,AY271,AY294,AY264,AY226,AY216,AY107,AY82,AY31,AY312,AY181,AY298,AY120,AY36,AY34)</f>
        <v>44.902000000000001</v>
      </c>
      <c r="AZ320" s="81">
        <f t="shared" si="413"/>
        <v>207</v>
      </c>
      <c r="BA320" s="78">
        <f>SUM(BA127,BA99,BA24,BA56,BA26,BA278,BA49,BA40,BA63,BA75,BA88,BA113,BA247,BA196,BA186,BA53,BA44,BA301,BA286,BA269,BA222,BA175,BA163,BA151,BA140,BA257,BA283,BA305,BA289,BA274,BA261,BA251,BA236,BA225,BA200,BA187,BA178,BA167,BA154,BA143,BA131,BA117,BA103,BA91,BA79,BA66,BA212,BA259,BA271,BA294,BA264,BA226,BA216,BA107,BA82,BA31,BA312,BA181,BA298,BA120,BA36,BA34)</f>
        <v>4149.0670000000018</v>
      </c>
      <c r="BB320" s="79">
        <f>SUM(BB127,BB99,BB24,BB56,BB26,BB278,BB49,BB40,BB63,BB75,BB88,BB113,BB247,BB196,BB186,BB53,BB44,BB301,BB286,BB269,BB222,BB175,BB163,BB151,BB140,BB257,BB283,BB305,BB289,BB274,BB261,BB251,BB236,BB225,BB200,BB187,BB178,BB167,BB154,BB143,BB131,BB117,BB103,BB91,BB79,BB66,BB212,BB259,BB271,BB294,BB264,BB226,BB216,BB107,BB82,BB31,BB312,BB181,BB298,BB120,BB36,BB34)</f>
        <v>1195.2250000000006</v>
      </c>
      <c r="BC320" s="80">
        <f t="shared" ref="BC320:BD320" si="414">SUM(BC127,BC99,BC24,BC56,BC26,BC278,BC49,BC40,BC63,BC75,BC88,BC113,BC247,BC196,BC186,BC53,BC44,BC301,BC286,BC269,BC222,BC175,BC163,BC151,BC140,BC257,BC283,BC305,BC289,BC274,BC261,BC251,BC236,BC225,BC200,BC187,BC178,BC167,BC154,BC143,BC131,BC117,BC103,BC91,BC79,BC66,BC212,BC259,BC271,BC294,BC264,BC226,BC216,BC107,BC82,BC31,BC312,BC181,BC298,BC120,BC36,BC34)</f>
        <v>183.26900000000001</v>
      </c>
      <c r="BD320" s="81">
        <f t="shared" si="414"/>
        <v>2953.8419999999996</v>
      </c>
      <c r="BE320" s="78">
        <f>SUM(BE127,BE99,BE24,BE56,BE26,BE278,BE49,BE40,BE63,BE75,BE88,BE113,BE247,BE196,BE186,BE53,BE44,BE301,BE286,BE269,BE222,BE175,BE163,BE151,BE140,BE257,BE283,BE305,BE289,BE274,BE261,BE251,BE236,BE225,BE200,BE187,BE178,BE167,BE154,BE143,BE131,BE117,BE103,BE91,BE79,BE66,BE212,BE259,BE271,BE294,BE264,BE226,BE216,BE107,BE82,BE31,BE312,BE181,BE298,BE120,BE36,BE34)</f>
        <v>207.97599999999997</v>
      </c>
      <c r="BF320" s="79">
        <f>SUM(BF127,BF99,BF24,BF56,BF26,BF278,BF49,BF40,BF63,BF75,BF88,BF113,BF247,BF196,BF186,BF53,BF44,BF301,BF286,BF269,BF222,BF175,BF163,BF151,BF140,BF257,BF283,BF305,BF289,BF274,BF261,BF251,BF236,BF225,BF200,BF187,BF178,BF167,BF154,BF143,BF131,BF117,BF103,BF91,BF79,BF66,BF212,BF259,BF271,BF294,BF264,BF226,BF216,BF107,BF82,BF31,BF312,BF181,BF298,BF120,BF36,BF34)</f>
        <v>189.61599999999999</v>
      </c>
      <c r="BG320" s="80">
        <f>SUM(BG127,BG99,BG24,BG56,BG26,BG278,BG49,BG40,BG63,BG75,BG88,BG113,BG247,BG196,BG186,BG53,BG44,BG301,BG286,BG269,BG222,BG175,BG163,BG151,BG140,BG257,BG283,BG305,BG289,BG274,BG261,BG251,BG236,BG225,BG200,BG187,BG178,BG167,BG154,BG143,BG131,BG117,BG103,BG91,BG79,BG66,BG212,BG259,BG271,BG294,BG264,BG226,BG216,BG107,BG82,BG31,BG312,BG181,BG298,BG120,BG36,BG34)</f>
        <v>1.8029999999999999</v>
      </c>
      <c r="BH320" s="81">
        <f t="shared" ref="BH320" si="415">SUM(BH127,BH99,BH24,BH56,BH26,BH278,BH49,BH40,BH63,BH75,BH88,BH113,BH247,BH196,BH186,BH53,BH44,BH301,BH286,BH269,BH222,BH175,BH163,BH151,BH140,BH257,BH283,BH305,BH289,BH274,BH261,BH251,BH236,BH225,BH200,BH187,BH178,BH167,BH154,BH143,BH131,BH117,BH103,BH91,BH79,BH66,BH212,BH259,BH271,BH294,BH264,BH226,BH216,BH107,BH82,BH31,BH312,BH181,BH298,BH120,BH36,BH34)</f>
        <v>18.36</v>
      </c>
      <c r="BI320" s="78">
        <f>SUM(BI127,BI99,BI24,BI56,BI26,BI278,BI49,BI40,BI63,BI75,BI88,BI113,BI247,BI196,BI186,BI53,BI44,BI301,BI286,BI269,BI222,BI175,BI163,BI151,BI140,BI257,BI283,BI305,BI289,BI274,BI261,BI251,BI236,BI225,BI200,BI187,BI178,BI167,BI154,BI143,BI131,BI117,BI103,BI91,BI79,BI66,BI212,BI259,BI271,BI294,BI264,BI226,BI216,BI107,BI82,BI31,BI312,BI181,BI298,BI120,BI36,BI34)</f>
        <v>4357.0430000000006</v>
      </c>
      <c r="BJ320" s="79">
        <f>SUM(BJ127,BJ99,BJ24,BJ56,BJ26,BJ278,BJ49,BJ40,BJ63,BJ75,BJ88,BJ113,BJ247,BJ196,BJ186,BJ53,BJ44,BJ301,BJ286,BJ269,BJ222,BJ175,BJ163,BJ151,BJ140,BJ257,BJ283,BJ305,BJ289,BJ274,BJ261,BJ251,BJ236,BJ225,BJ200,BJ187,BJ178,BJ167,BJ154,BJ143,BJ131,BJ117,BJ103,BJ91,BJ79,BJ66,BJ212,BJ259,BJ271,BJ294,BJ264,BJ226,BJ216,BJ107,BJ82,BJ31,BJ312,BJ181,BJ298,BJ120,BJ36,BJ34)</f>
        <v>1384.8409999999994</v>
      </c>
      <c r="BK320" s="80">
        <f t="shared" ref="BK320:BL320" si="416">SUM(BK127,BK99,BK24,BK56,BK26,BK278,BK49,BK40,BK63,BK75,BK88,BK113,BK247,BK196,BK186,BK53,BK44,BK301,BK286,BK269,BK222,BK175,BK163,BK151,BK140,BK257,BK283,BK305,BK289,BK274,BK261,BK251,BK236,BK225,BK200,BK187,BK178,BK167,BK154,BK143,BK131,BK117,BK103,BK91,BK79,BK66,BK212,BK259,BK271,BK294,BK264,BK226,BK216,BK107,BK82,BK31,BK312,BK181,BK298,BK120,BK36,BK34)</f>
        <v>185.072</v>
      </c>
      <c r="BL320" s="81">
        <f t="shared" si="416"/>
        <v>2972.2019999999998</v>
      </c>
    </row>
    <row r="321" spans="1:64" ht="12.9" x14ac:dyDescent="0.3">
      <c r="A321" s="18"/>
      <c r="B321" s="19" t="s">
        <v>193</v>
      </c>
      <c r="C321" s="255" t="s">
        <v>50</v>
      </c>
      <c r="D321" s="256"/>
      <c r="E321" s="78">
        <f t="shared" si="360"/>
        <v>90.037999999999997</v>
      </c>
      <c r="F321" s="79">
        <f>SUM(F43,F47,F105,F133,F156,F307,F303,F290,F199,F130,F223,F68,F165)</f>
        <v>67.540999999999997</v>
      </c>
      <c r="G321" s="80">
        <f>SUM(G43,G47,G105,G133,G156,G307)</f>
        <v>0</v>
      </c>
      <c r="H321" s="81">
        <f>SUM(H43,H47,H105,H133,H156,H307)</f>
        <v>22.497</v>
      </c>
      <c r="I321" s="78">
        <f t="shared" si="362"/>
        <v>0</v>
      </c>
      <c r="J321" s="79">
        <f>SUM(J43,J47,J105,J133,J156,J307,J303,J290,J199,J130,J223,J68,J165)</f>
        <v>0</v>
      </c>
      <c r="K321" s="80">
        <f>SUM(K43,K47,K105,K133,K156,K307)</f>
        <v>0</v>
      </c>
      <c r="L321" s="81">
        <f>SUM(L43,L47,L105,L133,L156,L307)</f>
        <v>0</v>
      </c>
      <c r="M321" s="78">
        <f t="shared" si="364"/>
        <v>90.037999999999997</v>
      </c>
      <c r="N321" s="79">
        <f>SUM(N43,N47,N105,N133,N156,N307,N303,N290,N199,N130,N223,N68,N165)</f>
        <v>67.540999999999997</v>
      </c>
      <c r="O321" s="80">
        <f>SUM(O43,O47,O105,O133,O156,O307)</f>
        <v>0</v>
      </c>
      <c r="P321" s="81">
        <f>SUM(P43,P47,P105,P133,P156,P307)</f>
        <v>22.497</v>
      </c>
      <c r="Q321" s="78">
        <f t="shared" si="366"/>
        <v>0</v>
      </c>
      <c r="R321" s="79">
        <f>SUM(R43,R47,R105,R133,R156,R307,R303,R290,R199,R130,R223,R68,R165)</f>
        <v>0</v>
      </c>
      <c r="S321" s="80">
        <f>SUM(S43,S47,S105,S133,S156,S307)</f>
        <v>0</v>
      </c>
      <c r="T321" s="81">
        <f>SUM(T43,T47,T105,T133,T156,T307)</f>
        <v>0</v>
      </c>
      <c r="U321" s="78">
        <f t="shared" si="368"/>
        <v>90.037999999999997</v>
      </c>
      <c r="V321" s="79">
        <f>SUM(V43,V47,V105,V133,V156,V307,V303,V290,V199,V130,V223,V68,V165)</f>
        <v>67.540999999999997</v>
      </c>
      <c r="W321" s="80">
        <f>SUM(W43,W47,W105,W133,W156,W307)</f>
        <v>0</v>
      </c>
      <c r="X321" s="81">
        <f>SUM(X43,X47,X105,X133,X156,X307)</f>
        <v>22.497</v>
      </c>
      <c r="Y321" s="78">
        <f t="shared" si="370"/>
        <v>0</v>
      </c>
      <c r="Z321" s="79">
        <f>SUM(Z43,Z47,Z105,Z133,Z156,Z307,Z303,Z290,Z199,Z130,Z223,Z68,Z165)</f>
        <v>6</v>
      </c>
      <c r="AA321" s="80">
        <f>SUM(AA43,AA47,AA105,AA133,AA156,AA307)</f>
        <v>0</v>
      </c>
      <c r="AB321" s="81">
        <f>SUM(AB43,AB47,AB105,AB133,AB156,AB307)</f>
        <v>-6</v>
      </c>
      <c r="AC321" s="78">
        <f t="shared" si="371"/>
        <v>90.038000000000011</v>
      </c>
      <c r="AD321" s="79">
        <f>SUM(AD43,AD47,AD105,AD133,AD156,AD307,AD303,AD290,AD199,AD130,AD223,AD68,AD165)</f>
        <v>73.541000000000011</v>
      </c>
      <c r="AE321" s="80">
        <f>SUM(AE43,AE47,AE105,AE133,AE156,AE307)</f>
        <v>0</v>
      </c>
      <c r="AF321" s="81">
        <f>SUM(AF43,AF47,AF105,AF133,AF156,AF307)</f>
        <v>16.497</v>
      </c>
      <c r="AG321" s="78">
        <f t="shared" si="373"/>
        <v>0</v>
      </c>
      <c r="AH321" s="79">
        <f>SUM(AH43,AH47,AH105,AH133,AH156,AH307,AH303,AH290,AH199,AH130,AH223,AH68,AH165)</f>
        <v>0</v>
      </c>
      <c r="AI321" s="80">
        <f>SUM(AI43,AI47,AI105,AI133,AI156,AI307)</f>
        <v>0</v>
      </c>
      <c r="AJ321" s="81">
        <f>SUM(AJ43,AJ47,AJ105,AJ133,AJ156,AJ307)</f>
        <v>0</v>
      </c>
      <c r="AK321" s="78">
        <f t="shared" si="374"/>
        <v>90.038000000000011</v>
      </c>
      <c r="AL321" s="79">
        <f>SUM(AL43,AL47,AL105,AL133,AL156,AL307,AL303,AL290,AL199,AL130,AL223,AL68,AL165)</f>
        <v>73.541000000000011</v>
      </c>
      <c r="AM321" s="80">
        <f>SUM(AM43,AM47,AM105,AM133,AM156,AM307)</f>
        <v>0</v>
      </c>
      <c r="AN321" s="81">
        <f>SUM(AN43,AN47,AN105,AN133,AN156,AN307)</f>
        <v>16.497</v>
      </c>
      <c r="AO321" s="78">
        <f t="shared" ref="AO321:AO322" si="417">SUM(AR321,AP321)</f>
        <v>0</v>
      </c>
      <c r="AP321" s="79">
        <f>SUM(AP43,AP47,AP105,AP133,AP156,AP307,AP303,AP290,AP199,AP130,AP223,AP68,AP165)</f>
        <v>0</v>
      </c>
      <c r="AQ321" s="80">
        <f>SUM(AQ43,AQ47,AQ105,AQ133,AQ156,AQ307)</f>
        <v>0</v>
      </c>
      <c r="AR321" s="81">
        <f>SUM(AR43,AR47,AR105,AR133,AR156,AR307)</f>
        <v>0</v>
      </c>
      <c r="AS321" s="78">
        <f t="shared" ref="AS321:AS322" si="418">SUM(AV321,AT321)</f>
        <v>90.038000000000011</v>
      </c>
      <c r="AT321" s="79">
        <f>SUM(AT43,AT47,AT105,AT133,AT156,AT307,AT303,AT290,AT199,AT130,AT223,AT68,AT165)</f>
        <v>73.541000000000011</v>
      </c>
      <c r="AU321" s="80">
        <f>SUM(AU43,AU47,AU105,AU133,AU156,AU307)</f>
        <v>0</v>
      </c>
      <c r="AV321" s="81">
        <f>SUM(AV43,AV47,AV105,AV133,AV156,AV307)</f>
        <v>16.497</v>
      </c>
      <c r="AW321" s="78">
        <f t="shared" ref="AW321:AW322" si="419">SUM(AZ321,AX321)</f>
        <v>0</v>
      </c>
      <c r="AX321" s="79">
        <f>SUM(AX43,AX47,AX105,AX133,AX156,AX307,AX303,AX290,AX199,AX130,AX223,AX68,AX165)</f>
        <v>0</v>
      </c>
      <c r="AY321" s="80">
        <f>SUM(AY43,AY47,AY105,AY133,AY156,AY307)</f>
        <v>0</v>
      </c>
      <c r="AZ321" s="81">
        <f>SUM(AZ43,AZ47,AZ105,AZ133,AZ156,AZ307)</f>
        <v>0</v>
      </c>
      <c r="BA321" s="78">
        <f t="shared" ref="BA321:BA322" si="420">SUM(BD321,BB321)</f>
        <v>90.038000000000011</v>
      </c>
      <c r="BB321" s="79">
        <f>SUM(BB43,BB47,BB105,BB133,BB156,BB307,BB303,BB290,BB199,BB130,BB223,BB68,BB165)</f>
        <v>73.541000000000011</v>
      </c>
      <c r="BC321" s="80">
        <f>SUM(BC43,BC47,BC105,BC133,BC156,BC307)</f>
        <v>0</v>
      </c>
      <c r="BD321" s="81">
        <f>SUM(BD43,BD47,BD105,BD133,BD156,BD307)</f>
        <v>16.497</v>
      </c>
      <c r="BE321" s="78">
        <f t="shared" ref="BE321" si="421">SUM(BH321,BF321)</f>
        <v>0</v>
      </c>
      <c r="BF321" s="79">
        <f>SUM(BF43,BF47,BF105,BF133,BF156,BF307,BF303,BF290,BF199,BF130,BF223,BF68,BF165)</f>
        <v>0</v>
      </c>
      <c r="BG321" s="80">
        <f>SUM(BG43,BG47,BG105,BG133,BG156,BG307)</f>
        <v>0</v>
      </c>
      <c r="BH321" s="81">
        <f>SUM(BH43,BH47,BH105,BH133,BH156,BH307)</f>
        <v>0</v>
      </c>
      <c r="BI321" s="78">
        <f t="shared" ref="BI321" si="422">SUM(BL321,BJ321)</f>
        <v>90.038000000000011</v>
      </c>
      <c r="BJ321" s="79">
        <f>SUM(BJ43,BJ47,BJ105,BJ133,BJ156,BJ307,BJ303,BJ290,BJ199,BJ130,BJ223,BJ68,BJ165)</f>
        <v>73.541000000000011</v>
      </c>
      <c r="BK321" s="80">
        <f>SUM(BK43,BK47,BK105,BK133,BK156,BK307)</f>
        <v>0</v>
      </c>
      <c r="BL321" s="81">
        <f>SUM(BL43,BL47,BL105,BL133,BL156,BL307)</f>
        <v>16.497</v>
      </c>
    </row>
    <row r="322" spans="1:64" ht="13.3" thickBot="1" x14ac:dyDescent="0.35">
      <c r="A322" s="64"/>
      <c r="B322" s="65" t="s">
        <v>186</v>
      </c>
      <c r="C322" s="247" t="s">
        <v>187</v>
      </c>
      <c r="D322" s="248"/>
      <c r="E322" s="127">
        <f t="shared" si="360"/>
        <v>233.78400000000002</v>
      </c>
      <c r="F322" s="128">
        <f>SUM(F100,F27,F114,F185,F195,F294,F277,F52,F48,F39,F287,F57,F23,F45,F203,F205,F32,F302,F76,F211,F126)</f>
        <v>118.51900000000001</v>
      </c>
      <c r="G322" s="129">
        <f>SUM(G100,G27,G114,G185,G195,G294,G277,G52,G48,G39,G287,G57,G23,G45,G203,G205,G32,G302,G76,G211,G126)</f>
        <v>64.491</v>
      </c>
      <c r="H322" s="82">
        <f>SUM(H100,H27,H114,H185,H195,H294,H277,H52,H48,H39,H287,H57,H23,H45,H203,H205,H32,H302,H76,H211,H126)</f>
        <v>115.26500000000001</v>
      </c>
      <c r="I322" s="127">
        <f t="shared" si="362"/>
        <v>107.09099999999999</v>
      </c>
      <c r="J322" s="128">
        <f>SUM(J100,J27,J114,J185,J195,J294,J277,J52,J48,J39,J287,J57,J23,J45,J203,J205,J32,J302,J76,J211,J126)</f>
        <v>70.459999999999994</v>
      </c>
      <c r="K322" s="129">
        <f>SUM(K100,K27,K114,K185,K195,K294,K277,K52,K48,K39,K287,K57,K23,K45,K203,K205,K32,K302,K76,K211,K126)</f>
        <v>32.091999999999999</v>
      </c>
      <c r="L322" s="82">
        <f>SUM(L100,L27,L114,L185,L195,L294,L277,L52,L48,L39,L287,L57,L23,L45,L203,L205,L32,L302,L76,L211,L126)</f>
        <v>36.631</v>
      </c>
      <c r="M322" s="127">
        <f t="shared" si="364"/>
        <v>340.87499999999994</v>
      </c>
      <c r="N322" s="128">
        <f>SUM(N100,N27,N114,N185,N195,N294,N277,N52,N48,N39,N287,N57,N23,N45,N203,N205,N32,N302,N76,N211,N126)</f>
        <v>188.97899999999996</v>
      </c>
      <c r="O322" s="129">
        <f>SUM(O100,O27,O114,O185,O195,O294,O277,O52,O48,O39,O287,O57,O23,O45,O203,O205,O32,O302,O76,O211,O126)</f>
        <v>96.582999999999998</v>
      </c>
      <c r="P322" s="82">
        <f>SUM(P100,P27,P114,P185,P195,P294,P277,P52,P48,P39,P287,P57,P23,P45,P203,P205,P32,P302,P76,P211,P126)</f>
        <v>151.89599999999999</v>
      </c>
      <c r="Q322" s="127">
        <f t="shared" si="366"/>
        <v>198.83800000000002</v>
      </c>
      <c r="R322" s="128">
        <f>SUM(R100,R27,R114,R185,R195,R277,R52,R48,R39,R287,R57,R23,R45,R203,R205,R32,R302,R76,R126)</f>
        <v>134.59900000000002</v>
      </c>
      <c r="S322" s="129">
        <f>SUM(S100,S27,S114,S185,S195,S294,S277,S52,S48,S39,S287,S57,S23,S45,S203,S205,S32,S302,S76,S211,S126)</f>
        <v>7.9000000000000001E-2</v>
      </c>
      <c r="T322" s="82">
        <f>SUM(T100,T27,T114,T185,T195,T294,T277,T52,T48,T39,T287,T57,T23,T45,T203,T205,T32,T302,T76,T211,T126)</f>
        <v>64.239000000000004</v>
      </c>
      <c r="U322" s="127">
        <f t="shared" si="368"/>
        <v>539.71299999999997</v>
      </c>
      <c r="V322" s="128">
        <f>SUM(V100,V27,V114,V185,V195,V277,V52,V48,V39,V287,V57,V23,V45,V203,V205,V32,V302,V76,V211,V126)</f>
        <v>323.57799999999997</v>
      </c>
      <c r="W322" s="129">
        <f>SUM(W100,W27,W114,W185,W195,W294,W277,W52,W48,W39,W287,W57,W23,W45,W203,W205,W32,W302,W76,W211,W126)</f>
        <v>96.661999999999992</v>
      </c>
      <c r="X322" s="82">
        <f>SUM(X100,X27,X114,X185,X195,X294,X277,X52,X48,X39,X287,X57,X23,X45,X203,X205,X32,X302,X76,X211,X126)</f>
        <v>216.13499999999999</v>
      </c>
      <c r="Y322" s="127">
        <f t="shared" si="370"/>
        <v>33.883000000000003</v>
      </c>
      <c r="Z322" s="128">
        <f>SUM(Z100,Z27,Z114,Z185,Z195,Z277,Z52,Z48,Z39,Z287,Z57,Z23,Z45,Z203,Z205,Z32,Z302,Z76,Z126)</f>
        <v>31.147000000000002</v>
      </c>
      <c r="AA322" s="129">
        <f>SUM(AA100,AA27,AA114,AA185,AA195,AA294,AA277,AA52,AA48,AA39,AA287,AA57,AA23,AA45,AA203,AA205,AA32,AA302,AA76,AA211,AA126)</f>
        <v>5.5E-2</v>
      </c>
      <c r="AB322" s="82">
        <f>SUM(AB100,AB27,AB114,AB185,AB195,AB294,AB277,AB52,AB48,AB39,AB287,AB57,AB23,AB45,AB203,AB205,AB32,AB302,AB76,AB211,AB126)</f>
        <v>2.7359999999999989</v>
      </c>
      <c r="AC322" s="127">
        <f t="shared" si="371"/>
        <v>573.596</v>
      </c>
      <c r="AD322" s="128">
        <f>SUM(AD100,AD27,AD114,AD185,AD195,AD277,AD52,AD48,AD39,AD287,AD57,AD23,AD45,AD203,AD205,AD32,AD302,AD76,AD211,AD126)</f>
        <v>354.72500000000002</v>
      </c>
      <c r="AE322" s="129">
        <f>SUM(AE100,AE27,AE114,AE185,AE195,AE294,AE277,AE52,AE48,AE39,AE287,AE57,AE23,AE45,AE203,AE205,AE32,AE302,AE76,AE211,AE126)</f>
        <v>96.716999999999999</v>
      </c>
      <c r="AF322" s="82">
        <f>SUM(AF100,AF27,AF114,AF185,AF195,AF294,AF277,AF52,AF48,AF39,AF287,AF57,AF23,AF45,AF203,AF205,AF32,AF302,AF76,AF211,AF126)</f>
        <v>218.87099999999998</v>
      </c>
      <c r="AG322" s="127">
        <f t="shared" si="373"/>
        <v>148.95400000000001</v>
      </c>
      <c r="AH322" s="128">
        <f>SUM(AH100,AH27,AH114,AH185,AH195,AH277,AH52,AH48,AH39,AH287,AH57,AH23,AH45,AH203,AH205,AH32,AH302,AH76,AH126)</f>
        <v>62.580000000000005</v>
      </c>
      <c r="AI322" s="129">
        <f>SUM(AI100,AI27,AI114,AI185,AI195,AI294,AI277,AI52,AI48,AI39,AI287,AI57,AI23,AI45,AI203,AI205,AI32,AI302,AI76,AI211,AI126)</f>
        <v>24.896000000000001</v>
      </c>
      <c r="AJ322" s="82">
        <f>SUM(AJ100,AJ27,AJ114,AJ185,AJ195,AJ294,AJ277,AJ52,AJ48,AJ39,AJ287,AJ57,AJ23,AJ45,AJ203,AJ205,AJ32,AJ302,AJ76,AJ211,AJ126)</f>
        <v>86.373999999999995</v>
      </c>
      <c r="AK322" s="127">
        <f t="shared" si="374"/>
        <v>722.55000000000007</v>
      </c>
      <c r="AL322" s="128">
        <f>SUM(AL100,AL27,AL114,AL185,AL195,AL277,AL52,AL48,AL39,AL287,AL57,AL23,AL45,AL203,AL205,AL32,AL302,AL76,AL211,AL126)</f>
        <v>417.30500000000006</v>
      </c>
      <c r="AM322" s="129">
        <f>SUM(AM100,AM27,AM114,AM185,AM195,AM294,AM277,AM52,AM48,AM39,AM287,AM57,AM23,AM45,AM203,AM205,AM32,AM302,AM76,AM211,AM126)</f>
        <v>121.61300000000003</v>
      </c>
      <c r="AN322" s="82">
        <f>SUM(AN100,AN27,AN114,AN185,AN195,AN294,AN277,AN52,AN48,AN39,AN287,AN57,AN23,AN45,AN203,AN205,AN32,AN302,AN76,AN211,AN126)</f>
        <v>305.245</v>
      </c>
      <c r="AO322" s="127">
        <f t="shared" si="417"/>
        <v>128.87800000000001</v>
      </c>
      <c r="AP322" s="128">
        <f>SUM(AP100,AP27,AP114,AP185,AP195,AP277,AP52,AP48,AP39,AP287,AP57,AP23,AP45,AP203,AP205,AP32,AP302,AP76,AP126)</f>
        <v>77.550000000000011</v>
      </c>
      <c r="AQ322" s="129">
        <f>SUM(AQ100,AQ27,AQ114,AQ185,AQ195,AQ294,AQ277,AQ52,AQ48,AQ39,AQ287,AQ57,AQ23,AQ45,AQ203,AQ205,AQ32,AQ302,AQ76,AQ211,AQ126)</f>
        <v>2.4629999999999992</v>
      </c>
      <c r="AR322" s="82">
        <f>SUM(AR100,AR27,AR114,AR185,AR195,AR294,AR277,AR52,AR48,AR39,AR287,AR57,AR23,AR45,AR203,AR205,AR32,AR302,AR76,AR211,AR126)</f>
        <v>51.328000000000003</v>
      </c>
      <c r="AS322" s="127">
        <f t="shared" si="418"/>
        <v>851.42800000000011</v>
      </c>
      <c r="AT322" s="128">
        <f>SUM(AT100,AT27,AT114,AT185,AT195,AT277,AT52,AT48,AT39,AT287,AT57,AT23,AT45,AT203,AT205,AT32,AT302,AT76,AT211,AT126)</f>
        <v>494.85500000000008</v>
      </c>
      <c r="AU322" s="129">
        <f>SUM(AU100,AU27,AU114,AU185,AU195,AU294,AU277,AU52,AU48,AU39,AU287,AU57,AU23,AU45,AU203,AU205,AU32,AU302,AU76,AU211,AU126)</f>
        <v>124.07600000000001</v>
      </c>
      <c r="AV322" s="82">
        <f>SUM(AV100,AV27,AV114,AV185,AV195,AV294,AV277,AV52,AV48,AV39,AV287,AV57,AV23,AV45,AV203,AV205,AV32,AV302,AV76,AV211,AV126)</f>
        <v>356.57299999999998</v>
      </c>
      <c r="AW322" s="127">
        <f t="shared" si="419"/>
        <v>324.47500000000002</v>
      </c>
      <c r="AX322" s="128">
        <f>SUM(AX100,AX27,AX114,AX185,AX195,AX277,AX52,AX48,AX39,AX287,AX57,AX23,AX45,AX203,AX205,AX32,AX302,AX76,AX126)</f>
        <v>106.369</v>
      </c>
      <c r="AY322" s="129">
        <f>SUM(AY100,AY27,AY114,AY185,AY195,AY294,AY277,AY52,AY48,AY39,AY287,AY57,AY23,AY45,AY203,AY205,AY32,AY302,AY76,AY211,AY126)</f>
        <v>84.475999999999999</v>
      </c>
      <c r="AZ322" s="82">
        <f>SUM(AZ100,AZ27,AZ114,AZ185,AZ195,AZ294,AZ277,AZ52,AZ48,AZ39,AZ287,AZ57,AZ23,AZ45,AZ203,AZ205,AZ32,AZ302,AZ76,AZ211,AZ126)</f>
        <v>218.10599999999999</v>
      </c>
      <c r="BA322" s="127">
        <f t="shared" si="420"/>
        <v>1175.9029999999998</v>
      </c>
      <c r="BB322" s="128">
        <f>SUM(BB100,BB27,BB114,BB185,BB195,BB277,BB52,BB48,BB39,BB287,BB57,BB23,BB45,BB203,BB205,BB32,BB302,BB76,BB211,BB126)</f>
        <v>601.22399999999993</v>
      </c>
      <c r="BC322" s="129">
        <f>SUM(BC100,BC27,BC114,BC185,BC195,BC294,BC277,BC52,BC48,BC39,BC287,BC57,BC23,BC45,BC203,BC205,BC32,BC302,BC76,BC211,BC126)</f>
        <v>208.55199999999999</v>
      </c>
      <c r="BD322" s="82">
        <f>SUM(BD100,BD27,BD114,BD185,BD195,BD294,BD277,BD52,BD48,BD39,BD287,BD57,BD23,BD45,BD203,BD205,BD32,BD302,BD76,BD211,BD126)</f>
        <v>574.67899999999997</v>
      </c>
      <c r="BE322" s="127">
        <f>SUM(BH322,BF322)</f>
        <v>303.04899999999998</v>
      </c>
      <c r="BF322" s="128">
        <f>SUM(BF100,BF27,BF114,BF185,BF195,BF277,BF52,BF48,BF39,BF287,BF57,BF23,BF45,BF203,BF205,BF32,BF302,BF76,BF126,BF272)</f>
        <v>79.919999999999987</v>
      </c>
      <c r="BG322" s="129">
        <f>SUM(BG100,BG27,BG114,BG185,BG195,BG294,BG277,BG52,BG48,BG39,BG287,BG57,BG23,BG45,BG203,BG205,BG32,BG302,BG76,BG211,BG126,BG272)</f>
        <v>20.817999999999998</v>
      </c>
      <c r="BH322" s="82">
        <f>SUM(BH100,BH27,BH114,BH185,BH195,BH294,BH277,BH52,BH48,BH39,BH287,BH57,BH23,BH45,BH203,BH205,BH32,BH302,BH76,BH211,BH126,BH272)</f>
        <v>223.12899999999999</v>
      </c>
      <c r="BI322" s="127">
        <f>SUM(BL322,BJ322)</f>
        <v>1478.9519999999998</v>
      </c>
      <c r="BJ322" s="128">
        <f>SUM(BJ100,BJ27,BJ114,BJ185,BJ195,BJ277,BJ52,BJ48,BJ39,BJ287,BJ57,BJ23,BJ45,BJ203,BJ205,BJ32,BJ302,BJ76,BJ126,BJ272,BJ211)</f>
        <v>681.14399999999989</v>
      </c>
      <c r="BK322" s="129">
        <f>SUM(BK100,BK27,BK114,BK185,BK195,BK277,BK52,BK48,BK39,BK287,BK57,BK23,BK45,BK203,BK205,BK32,BK302,BK76,BK126,BK272,BK211)</f>
        <v>229.36999999999998</v>
      </c>
      <c r="BL322" s="82">
        <f>SUM(BL100,BL27,BL114,BL185,BL195,BL294,BL277,BL52,BL48,BL39,BL287,BL57,BL23,BL45,BL203,BL205,BL32,BL302,BL76,BL211,BL126,BL272)</f>
        <v>797.80799999999988</v>
      </c>
    </row>
    <row r="323" spans="1:64" ht="12.9" x14ac:dyDescent="0.35">
      <c r="A323" s="17"/>
      <c r="B323" s="67" t="s">
        <v>2</v>
      </c>
      <c r="C323" s="152"/>
      <c r="D323" s="69"/>
      <c r="E323" s="95"/>
      <c r="F323" s="96"/>
      <c r="G323" s="97"/>
      <c r="H323" s="98"/>
      <c r="I323" s="95"/>
      <c r="J323" s="96"/>
      <c r="K323" s="97"/>
      <c r="L323" s="98"/>
      <c r="M323" s="95"/>
      <c r="N323" s="96"/>
      <c r="O323" s="97"/>
      <c r="P323" s="98"/>
      <c r="Q323" s="95"/>
      <c r="R323" s="96"/>
      <c r="S323" s="97"/>
      <c r="T323" s="98"/>
      <c r="U323" s="95"/>
      <c r="V323" s="96"/>
      <c r="W323" s="97"/>
      <c r="X323" s="98"/>
      <c r="Y323" s="95"/>
      <c r="Z323" s="96"/>
      <c r="AA323" s="97"/>
      <c r="AB323" s="98"/>
      <c r="AC323" s="95"/>
      <c r="AD323" s="96"/>
      <c r="AE323" s="97"/>
      <c r="AF323" s="98"/>
      <c r="AG323" s="95"/>
      <c r="AH323" s="96"/>
      <c r="AI323" s="97"/>
      <c r="AJ323" s="98"/>
      <c r="AK323" s="95"/>
      <c r="AL323" s="96"/>
      <c r="AM323" s="97"/>
      <c r="AN323" s="98"/>
      <c r="AO323" s="95"/>
      <c r="AP323" s="96"/>
      <c r="AQ323" s="97"/>
      <c r="AR323" s="98"/>
      <c r="AS323" s="95"/>
      <c r="AT323" s="96"/>
      <c r="AU323" s="97"/>
      <c r="AV323" s="98"/>
      <c r="AW323" s="95"/>
      <c r="AX323" s="96"/>
      <c r="AY323" s="97"/>
      <c r="AZ323" s="98"/>
      <c r="BA323" s="95"/>
      <c r="BB323" s="96"/>
      <c r="BC323" s="97"/>
      <c r="BD323" s="98"/>
      <c r="BE323" s="95"/>
      <c r="BF323" s="96"/>
      <c r="BG323" s="97"/>
      <c r="BH323" s="98"/>
      <c r="BI323" s="95"/>
      <c r="BJ323" s="96"/>
      <c r="BK323" s="97"/>
      <c r="BL323" s="98"/>
    </row>
    <row r="324" spans="1:64" ht="12.9" x14ac:dyDescent="0.35">
      <c r="A324" s="26"/>
      <c r="B324" s="53" t="s">
        <v>34</v>
      </c>
      <c r="C324" s="249">
        <v>1</v>
      </c>
      <c r="D324" s="250"/>
      <c r="E324" s="78">
        <f>SUM(H324,F324)</f>
        <v>3343.2400000000011</v>
      </c>
      <c r="F324" s="79">
        <f>SUM(F311,F229,F96,F18,F21:F24,F219,F297,F281,F267,F256,F243,F192,F172,F160,F148,F137,F123,F110,F85,F72,F60,F208)</f>
        <v>3081.7400000000011</v>
      </c>
      <c r="G324" s="80">
        <f>SUM(G311,G229,G96,G18,G21:G24,G219)</f>
        <v>2107.3330000000001</v>
      </c>
      <c r="H324" s="81">
        <f>SUM(H311,H229,H96,H18,H21:H24,H219)-H314</f>
        <v>261.5</v>
      </c>
      <c r="I324" s="78">
        <f>SUM(L324,J324)</f>
        <v>0</v>
      </c>
      <c r="J324" s="79">
        <f>SUM(J311,J229,J96,J18,J21:J24,J219,J297,J281,J267,J256,J243,J192,J172,J160,J148,J137,J123,J110,J85,J72,J60,J208)</f>
        <v>0</v>
      </c>
      <c r="K324" s="80">
        <f>SUM(K311,K229,K96,K18,K21:K24,K219)</f>
        <v>0</v>
      </c>
      <c r="L324" s="81">
        <f>SUM(L311,L229,L96,L18,L21:L24,L219)-L314</f>
        <v>0</v>
      </c>
      <c r="M324" s="78">
        <f>SUM(P324,N324)</f>
        <v>3343.2400000000011</v>
      </c>
      <c r="N324" s="79">
        <f>SUM(N311,N229,N96,N18,N21:N24,N219,N297,N281,N267,N256,N243,N192,N172,N160,N148,N137,N123,N110,N85,N72,N60,N208)</f>
        <v>3081.7400000000011</v>
      </c>
      <c r="O324" s="80">
        <f>SUM(O311,O229,O96,O18,O21:O24,O219)</f>
        <v>2107.3330000000001</v>
      </c>
      <c r="P324" s="81">
        <f>SUM(P311,P229,P96,P18,P21:P24,P219)-P314</f>
        <v>261.5</v>
      </c>
      <c r="Q324" s="78">
        <f>SUM(T324,R324)</f>
        <v>82.977000000000004</v>
      </c>
      <c r="R324" s="79">
        <f>SUM(R311,R229,R96,R18,R21:R24,R219,R297,R281,R267,R256,R243,R192,R172,R160,R148,R137,R123,R110,R85,R72,R60,R208,R312)</f>
        <v>41.347000000000001</v>
      </c>
      <c r="S324" s="80">
        <f>SUM(S311,S229,S96,S18,S21:S24,S219)</f>
        <v>3.5</v>
      </c>
      <c r="T324" s="81">
        <f>SUM(T311,T229,T96,T18,T21:T24,T219)-T314</f>
        <v>41.63</v>
      </c>
      <c r="U324" s="78">
        <f>SUM(X324,V324)</f>
        <v>3426.217000000001</v>
      </c>
      <c r="V324" s="79">
        <f>SUM(V311,V229,V96,V18,V21:V24,V219,V297,V281,V267,V256,V243,V192,V172,V160,V148,V137,V123,V110,V85,V72,V60,V208,V312)</f>
        <v>3123.0870000000009</v>
      </c>
      <c r="W324" s="80">
        <f>SUM(W311,W229,W96,W18,W21:W24,W219)</f>
        <v>2110.8330000000001</v>
      </c>
      <c r="X324" s="81">
        <f>SUM(X311,X229,X96,X18,X21:X24,X219)-X314</f>
        <v>303.13</v>
      </c>
      <c r="Y324" s="78">
        <f>SUM(AB324,Z324)</f>
        <v>5.3170000000000002</v>
      </c>
      <c r="Z324" s="79">
        <f>SUM(Z311,Z229,Z96,Z18,Z21:Z24,Z219,Z297,Z281,Z267,Z256,Z243,Z192,Z172,Z160,Z148,Z137,Z123,Z110,Z85,Z72,Z60,Z208,Z312)</f>
        <v>8.8170000000000002</v>
      </c>
      <c r="AA324" s="80">
        <f>SUM(AA311,AA229,AA96,AA18,AA21:AA24,AA219)</f>
        <v>-12.420999999999999</v>
      </c>
      <c r="AB324" s="81">
        <f>SUM(AB311,AB229,AB96,AB18,AB21:AB24,AB219)-AB314</f>
        <v>-3.5</v>
      </c>
      <c r="AC324" s="78">
        <f>SUM(AF324,AD324)</f>
        <v>3431.534000000001</v>
      </c>
      <c r="AD324" s="79">
        <f>SUM(AD311,AD229,AD96,AD18,AD21:AD24,AD219,AD297,AD281,AD267,AD256,AD243,AD192,AD172,AD160,AD148,AD137,AD123,AD110,AD85,AD72,AD60,AD208,AD312)</f>
        <v>3131.9040000000009</v>
      </c>
      <c r="AE324" s="80">
        <f>SUM(AE311,AE229,AE96,AE18,AE21:AE24,AE219)</f>
        <v>2098.4120000000003</v>
      </c>
      <c r="AF324" s="81">
        <f>SUM(AF311,AF229,AF96,AF18,AF21:AF24,AF219)-AF314</f>
        <v>299.63</v>
      </c>
      <c r="AG324" s="78">
        <f>SUM(AJ324,AH324)</f>
        <v>5.319</v>
      </c>
      <c r="AH324" s="79">
        <f>SUM(AH311,AH229,AH96,AH18,AH21:AH24,AH219,AH297,AH281,AH267,AH256,AH243,AH192,AH172,AH160,AH148,AH137,AH123,AH110,AH85,AH72,AH60,AH208,AH312)</f>
        <v>5.319</v>
      </c>
      <c r="AI324" s="80">
        <f>SUM(AI311,AI229,AI96,AI18,AI21:AI24,AI219)</f>
        <v>3.55</v>
      </c>
      <c r="AJ324" s="81">
        <f>SUM(AJ311,AJ229,AJ96,AJ18,AJ21:AJ24,AJ219)-AJ314</f>
        <v>0</v>
      </c>
      <c r="AK324" s="78">
        <f>SUM(AN324,AL324)</f>
        <v>3436.853000000001</v>
      </c>
      <c r="AL324" s="79">
        <f>SUM(AL311,AL229,AL96,AL18,AL21:AL24,AL219,AL297,AL281,AL267,AL256,AL243,AL192,AL172,AL160,AL148,AL137,AL123,AL110,AL85,AL72,AL60,AL208,AL312)</f>
        <v>3137.2230000000009</v>
      </c>
      <c r="AM324" s="80">
        <f>SUM(AM311,AM229,AM96,AM18,AM21:AM24,AM219)</f>
        <v>2101.962</v>
      </c>
      <c r="AN324" s="81">
        <f>SUM(AN311,AN229,AN96,AN18,AN21:AN24,AN219)-AN314</f>
        <v>299.63</v>
      </c>
      <c r="AO324" s="78">
        <f>SUM(AR324,AP324)</f>
        <v>2.8200000000000003</v>
      </c>
      <c r="AP324" s="79">
        <f>SUM(AP311,AP229,AP96,AP18,AP21:AP24,AP219,AP297,AP281,AP267,AP256,AP243,AP192,AP172,AP160,AP148,AP137,AP123,AP110,AP85,AP72,AP60,AP208,AP312)</f>
        <v>2.8200000000000003</v>
      </c>
      <c r="AQ324" s="80">
        <f>SUM(AQ311,AQ229,AQ96,AQ18,AQ21:AQ24,AQ219)</f>
        <v>2.6049999999999995</v>
      </c>
      <c r="AR324" s="81">
        <f>SUM(AR311,AR229,AR96,AR18,AR21:AR24,AR219)-AR314</f>
        <v>0</v>
      </c>
      <c r="AS324" s="78">
        <f>SUM(AV324,AT324)</f>
        <v>3439.6730000000016</v>
      </c>
      <c r="AT324" s="79">
        <f>SUM(AT311,AT229,AT96,AT18,AT21:AT24,AT219,AT297,AT281,AT267,AT256,AT243,AT192,AT172,AT160,AT148,AT137,AT123,AT110,AT85,AT72,AT60,AT208,AT312)</f>
        <v>3140.0430000000015</v>
      </c>
      <c r="AU324" s="80">
        <f>SUM(AU311,AU229,AU96,AU18,AU21:AU24,AU219)</f>
        <v>2104.567</v>
      </c>
      <c r="AV324" s="81">
        <f>SUM(AV311,AV229,AV96,AV18,AV21:AV24,AV219)-AV314</f>
        <v>299.63</v>
      </c>
      <c r="AW324" s="78">
        <f t="shared" ref="AW324:AW329" si="423">SUM(AZ324,AX324)</f>
        <v>10.42</v>
      </c>
      <c r="AX324" s="79">
        <f>SUM(AX311,AX229,AX96,AX18,AX21:AX24,AX219,AX297,AX281,AX267,AX256,AX243,AX192,AX172,AX160,AX148,AX137,AX123,AX110,AX85,AX72,AX60,AX208,AX312)</f>
        <v>10.42</v>
      </c>
      <c r="AY324" s="80">
        <f>SUM(AY311,AY229,AY96,AY18,AY21:AY24,AY219)</f>
        <v>-0.26999999999999996</v>
      </c>
      <c r="AZ324" s="81">
        <f>SUM(AZ311,AZ229,AZ96,AZ18,AZ21:AZ24,AZ219)-AZ314</f>
        <v>0</v>
      </c>
      <c r="BA324" s="78">
        <f>SUM(BD324,BB324)</f>
        <v>3450.0930000000012</v>
      </c>
      <c r="BB324" s="79">
        <f>SUM(BB311,BB229,BB96,BB18,BB21:BB24,BB219,BB297,BB281,BB267,BB256,BB243,BB192,BB172,BB160,BB148,BB137,BB123,BB110,BB85,BB72,BB60,BB208,BB312)</f>
        <v>3150.4630000000011</v>
      </c>
      <c r="BC324" s="80">
        <f>SUM(BC311,BC229,BC96,BC18,BC21:BC24,BC219)</f>
        <v>2104.297</v>
      </c>
      <c r="BD324" s="81">
        <f>SUM(BD311,BD229,BD96,BD18,BD21:BD24,BD219)-BD314</f>
        <v>299.63</v>
      </c>
      <c r="BE324" s="78">
        <f t="shared" ref="BE324:BE326" si="424">SUM(BH324,BF324)</f>
        <v>2.76</v>
      </c>
      <c r="BF324" s="79">
        <f>SUM(BF311,BF229,BF96,BF18,BF21:BF24,BF219,BF297,BF281,BF267,BF256,BF243,BF192,BF172,BF160,BF148,BF137,BF123,BF110,BF85,BF72,BF60,BF208,BF312)</f>
        <v>4.9059999999999997</v>
      </c>
      <c r="BG324" s="80">
        <f>SUM(BG311,BG229,BG96,BG18,BG21:BG24,BG219)</f>
        <v>1.385</v>
      </c>
      <c r="BH324" s="81">
        <f>SUM(BH311,BH229,BH96,BH18,BH21:BH24,BH219)-BH314</f>
        <v>-2.1459999999999999</v>
      </c>
      <c r="BI324" s="78">
        <f>SUM(BL324,BJ324)</f>
        <v>3452.853000000001</v>
      </c>
      <c r="BJ324" s="79">
        <f>SUM(BJ311,BJ229,BJ96,BJ18,BJ21:BJ24,BJ219,BJ297,BJ281,BJ267,BJ256,BJ243,BJ192,BJ172,BJ160,BJ148,BJ137,BJ123,BJ110,BJ85,BJ72,BJ60,BJ208,BJ312)</f>
        <v>3155.3690000000011</v>
      </c>
      <c r="BK324" s="80">
        <f>SUM(BK311,BK229,BK96,BK18,BK21:BK24,BK219)</f>
        <v>2105.6820000000002</v>
      </c>
      <c r="BL324" s="81">
        <f>SUM(BL311,BL229,BL96,BL18,BL21:BL24,BL219)-BL314</f>
        <v>297.48400000000004</v>
      </c>
    </row>
    <row r="325" spans="1:64" ht="12.9" x14ac:dyDescent="0.35">
      <c r="A325" s="18"/>
      <c r="B325" s="54" t="s">
        <v>41</v>
      </c>
      <c r="C325" s="249">
        <v>2</v>
      </c>
      <c r="D325" s="250"/>
      <c r="E325" s="78">
        <f>SUM(H325,F325)</f>
        <v>11857.621999999998</v>
      </c>
      <c r="F325" s="79">
        <f>SUM(F230,F220:F221,F193:F196,F183:F186,F173:F174,F161:F162,F149:F151,F138:F140,F124:F126,F111:F114,F97:F100,F86:F88,F73:F76,F61:F63,F25:F28,F298,F282,F244,F269,F222,F175,F163,F268,F283,F257,F209,F212,F210:F211)</f>
        <v>11804.172999999997</v>
      </c>
      <c r="G325" s="80">
        <f>SUM(G230,G220:G221,G193:G196,G183:G186,G173:G174,G161:G162,G149:G151,G138:G140,G124:G126,G111:G114,G97:G100,G86:G88,G73:G76,G61:G63,G25:G28,G298,G282,G244,G269,G222,G175,G163,G268,G283,G257,G209,G212,G210:G211)</f>
        <v>10037.268000000002</v>
      </c>
      <c r="H325" s="81">
        <f>SUM(H230,H220:H221,H193:H196,H183:H186,H173:H174,H161:H162,H149:H151,H138:H140,H124:H126,H111:H114,H97:H100,H86:H88,H73:H76,H61:H63,H25:H28,H298,H282,H244,H269,H222,H175,H163,H268,H283,H257,H209,H212,H210:H211)</f>
        <v>53.449000000000005</v>
      </c>
      <c r="I325" s="78">
        <f>SUM(L325,J325)</f>
        <v>0</v>
      </c>
      <c r="J325" s="79">
        <f>SUM(J230,J220:J221,J193:J196,J183:J186,J173:J174,J161:J162,J149:J151,J138:J140,J124:J126,J111:J114,J97:J100,J86:J88,J73:J76,J61:J63,J25:J28,J298,J282,J244,J269,J222,J175,J163,J268,J283,J257,J209,J212,J210:J211)</f>
        <v>-4.7000000000000028</v>
      </c>
      <c r="K325" s="80">
        <f>SUM(K230,K220:K221,K193:K196,K183:K186,K173:K174,K161:K162,K149:K151,K138:K140,K124:K126,K111:K114,K97:K100,K86:K88,K73:K76,K61:K63,K25:K28,K298,K282,K244,K269,K222,K175,K163,K268,K283,K257,K209,K212,K210:K211)</f>
        <v>-72.992000000000004</v>
      </c>
      <c r="L325" s="81">
        <f>SUM(L230,L220:L221,L193:L196,L183:L186,L173:L174,L161:L162,L149:L151,L138:L140,L124:L126,L111:L114,L97:L100,L86:L88,L73:L76,L61:L63,L25:L28,L298,L282,L244,L269,L222,L175,L163,L268,L283,L257,L209,L212,L210:L211)</f>
        <v>4.7</v>
      </c>
      <c r="M325" s="78">
        <f>SUM(P325,N325)</f>
        <v>11857.621999999996</v>
      </c>
      <c r="N325" s="79">
        <f>SUM(N230,N220:N221,N193:N196,N183:N186,N173:N174,N161:N162,N149:N151,N138:N140,N124:N126,N111:N114,N97:N100,N86:N88,N73:N76,N61:N63,N25:N28,N298,N282,N244,N269,N222,N175,N163,N268,N283,N257,N209,N212,N210:N211)</f>
        <v>11799.472999999996</v>
      </c>
      <c r="O325" s="80">
        <f>SUM(O230,O220:O221,O193:O196,O183:O186,O173:O174,O161:O162,O149:O151,O138:O140,O124:O126,O111:O114,O97:O100,O86:O88,O73:O76,O61:O63,O25:O28,O298,O282,O244,O269,O222,O175,O163,O268,O283,O257,O209,O212,O210:O211)</f>
        <v>9964.2760000000017</v>
      </c>
      <c r="P325" s="81">
        <f>SUM(P230,P220:P221,P193:P196,P183:P186,P173:P174,P161:P162,P149:P151,P138:P140,P124:P126,P111:P114,P97:P100,P86:P88,P73:P76,P61:P63,P25:P28,P298,P282,P244,P269,P222,P175,P163,P268,P283,P257,P209,P212,P210:P211)</f>
        <v>58.149000000000008</v>
      </c>
      <c r="Q325" s="78">
        <f>SUM(T325,R325)</f>
        <v>103.822</v>
      </c>
      <c r="R325" s="79">
        <f>SUM(R230,R220:R221,R193:R196,R183:R186,R173:R174,R161:R162,R149:R151,R138:R140,R124:R126,R111:R114,R97:R100,R86:R88,R73:R76,R61:R63,R25:R28,R298,R282,R244,R269,R222,R175,R163,R268,R283,R257,R209,R212,R210:R211)</f>
        <v>103.822</v>
      </c>
      <c r="S325" s="80">
        <f>SUM(S230,S220:S221,S193:S196,S183:S186,S173:S174,S161:S162,S149:S151,S138:S140,S124:S126,S111:S114,S97:S100,S86:S88,S73:S76,S61:S63,S25:S28,S298,S282,S244,S269,S222,S175,S163,S268,S283,S257,S209,S212,S210:S211)</f>
        <v>38.247999999999998</v>
      </c>
      <c r="T325" s="81">
        <f>SUM(T230,T220:T221,T193:T196,T183:T186,T173:T174,T161:T162,T149:T151,T138:T140,T124:T126,T111:T114,T97:T100,T86:T88,T73:T76,T61:T63,T25:T28,T298,T282,T244,T269,T222,T175,T163,T268,T283,T257,T209,T212,T210:T211)</f>
        <v>0</v>
      </c>
      <c r="U325" s="78">
        <f>SUM(X325,V325)</f>
        <v>11961.443999999996</v>
      </c>
      <c r="V325" s="79">
        <f>SUM(V230,V220:V221,V193:V196,V183:V186,V173:V174,V161:V162,V149:V151,V138:V140,V124:V126,V111:V114,V97:V100,V86:V88,V73:V76,V61:V63,V25:V28,V298,V282,V244,V269,V222,V175,V163,V268,V283,V257,V209,V212,V210:V211)</f>
        <v>11903.294999999996</v>
      </c>
      <c r="W325" s="80">
        <f>SUM(W230,W220:W221,W193:W196,W183:W186,W173:W174,W161:W162,W149:W151,W138:W140,W124:W126,W111:W114,W97:W100,W86:W88,W73:W76,W61:W63,W25:W28,W298,W282,W244,W269,W222,W175,W163,W268,W283,W257,W209,W212,W210:W211)</f>
        <v>10002.524000000001</v>
      </c>
      <c r="X325" s="81">
        <f>SUM(X230,X220:X221,X193:X196,X183:X186,X173:X174,X161:X162,X149:X151,X138:X140,X124:X126,X111:X114,X97:X100,X86:X88,X73:X76,X61:X63,X25:X28,X298,X282,X244,X269,X222,X175,X163,X268,X283,X257,X209,X212,X210:X211)</f>
        <v>58.149000000000008</v>
      </c>
      <c r="Y325" s="78">
        <f>SUM(AB325,Z325)</f>
        <v>3.5559999999999965</v>
      </c>
      <c r="Z325" s="79">
        <f>SUM(Z230,Z220:Z221,Z193:Z196,Z183:Z186,Z173:Z174,Z161:Z162,Z149:Z151,Z138:Z140,Z124:Z127,Z111:Z114,Z97:Z100,Z86:Z88,Z73:Z76,Z61:Z63,Z25:Z28,Z298,Z282,Z244,Z269,Z222,Z175,Z163,Z268,Z283,Z257,Z209,Z212,Z210:Z211)</f>
        <v>5.5999999999996497E-2</v>
      </c>
      <c r="AA325" s="80">
        <f t="shared" ref="AA325:AB325" si="425">SUM(AA230,AA220:AA221,AA193:AA196,AA183:AA186,AA173:AA174,AA161:AA162,AA149:AA151,AA138:AA140,AA124:AA127,AA111:AA114,AA97:AA100,AA86:AA88,AA73:AA76,AA61:AA63,AA25:AA28,AA298,AA282,AA244,AA269,AA222,AA175,AA163,AA268,AA283,AA257,AA209,AA212,AA210:AA211)</f>
        <v>-22.24</v>
      </c>
      <c r="AB325" s="81">
        <f t="shared" si="425"/>
        <v>3.5</v>
      </c>
      <c r="AC325" s="78">
        <f>SUM(AF325,AD325)</f>
        <v>11965.000000000002</v>
      </c>
      <c r="AD325" s="79">
        <f>SUM(AD230,AD220:AD221,AD193:AD196,AD183:AD186,AD173:AD174,AD161:AD162,AD149:AD151,AD138:AD140,AD124:AD127,AD111:AD114,AD97:AD100,AD86:AD88,AD73:AD76,AD61:AD63,AD25:AD28,AD298,AD282,AD244,AD269,AD222,AD175,AD163,AD268,AD283,AD257,AD209,AD212,AD210:AD211)</f>
        <v>11903.351000000002</v>
      </c>
      <c r="AE325" s="80">
        <f t="shared" ref="AE325:AF325" si="426">SUM(AE230,AE220:AE221,AE193:AE196,AE183:AE186,AE173:AE174,AE161:AE162,AE149:AE151,AE138:AE140,AE124:AE127,AE111:AE114,AE97:AE100,AE86:AE88,AE73:AE76,AE61:AE63,AE25:AE28,AE298,AE282,AE244,AE269,AE222,AE175,AE163,AE268,AE283,AE257,AE209,AE212,AE210:AE211)</f>
        <v>9980.2840000000033</v>
      </c>
      <c r="AF325" s="81">
        <f t="shared" si="426"/>
        <v>61.649000000000008</v>
      </c>
      <c r="AG325" s="78">
        <f>SUM(AJ325,AH325)</f>
        <v>13.561000000000003</v>
      </c>
      <c r="AH325" s="79">
        <f>SUM(AH230,AH220:AH221,AH193:AH196,AH183:AH186,AH173:AH174,AH161:AH162,AH149:AH151,AH138:AH140,AH124:AH127,AH111:AH114,AH97:AH100,AH86:AH88,AH73:AH76,AH61:AH63,AH25:AH28,AH298,AH282,AH244,AH269,AH222,AH175,AH163,AH268,AH283,AH257,AH209,AH212,AH210:AH211)</f>
        <v>10.361000000000002</v>
      </c>
      <c r="AI325" s="80">
        <f t="shared" ref="AI325:AJ325" si="427">SUM(AI230,AI220:AI221,AI193:AI196,AI183:AI186,AI173:AI174,AI161:AI162,AI149:AI151,AI138:AI140,AI124:AI127,AI111:AI114,AI97:AI100,AI86:AI88,AI73:AI76,AI61:AI63,AI25:AI28,AI298,AI282,AI244,AI269,AI222,AI175,AI163,AI268,AI283,AI257,AI209,AI212,AI210:AI211)</f>
        <v>-7.9179999999999993</v>
      </c>
      <c r="AJ325" s="81">
        <f t="shared" si="427"/>
        <v>3.2</v>
      </c>
      <c r="AK325" s="78">
        <f>SUM(AN325,AL325)</f>
        <v>11978.561</v>
      </c>
      <c r="AL325" s="79">
        <f>SUM(AL230,AL220:AL221,AL193:AL196,AL183:AL186,AL173:AL174,AL161:AL162,AL149:AL151,AL138:AL140,AL124:AL127,AL111:AL114,AL97:AL100,AL86:AL88,AL73:AL76,AL61:AL63,AL25:AL28,AL298,AL282,AL244,AL269,AL222,AL175,AL163,AL268,AL283,AL257,AL209,AL212,AL210:AL211)</f>
        <v>11913.712</v>
      </c>
      <c r="AM325" s="80">
        <f t="shared" ref="AM325:AN325" si="428">SUM(AM230,AM220:AM221,AM193:AM196,AM183:AM186,AM173:AM174,AM161:AM162,AM149:AM151,AM138:AM140,AM124:AM127,AM111:AM114,AM97:AM100,AM86:AM88,AM73:AM76,AM61:AM63,AM25:AM28,AM298,AM282,AM244,AM269,AM222,AM175,AM163,AM268,AM283,AM257,AM209,AM212,AM210:AM211)</f>
        <v>9972.3660000000018</v>
      </c>
      <c r="AN325" s="81">
        <f t="shared" si="428"/>
        <v>64.849000000000004</v>
      </c>
      <c r="AO325" s="78">
        <f>SUM(AR325,AP325)</f>
        <v>8.6029999999999998</v>
      </c>
      <c r="AP325" s="79">
        <f>SUM(AP230,AP220:AP221,AP193:AP196,AP183:AP186,AP173:AP174,AP161:AP162,AP149:AP151,AP138:AP140,AP124:AP127,AP111:AP114,AP97:AP100,AP86:AP88,AP73:AP76,AP61:AP63,AP25:AP28,AP298,AP282,AP244,AP269,AP222,AP175,AP163,AP268,AP283,AP257,AP209,AP212,AP210:AP211)</f>
        <v>2.9329999999999989</v>
      </c>
      <c r="AQ325" s="80">
        <f t="shared" ref="AQ325:AR325" si="429">SUM(AQ230,AQ220:AQ221,AQ193:AQ196,AQ183:AQ186,AQ173:AQ174,AQ161:AQ162,AQ149:AQ151,AQ138:AQ140,AQ124:AQ127,AQ111:AQ114,AQ97:AQ100,AQ86:AQ88,AQ73:AQ76,AQ61:AQ63,AQ25:AQ28,AQ298,AQ282,AQ244,AQ269,AQ222,AQ175,AQ163,AQ268,AQ283,AQ257,AQ209,AQ212,AQ210:AQ211)</f>
        <v>-28.268999999999998</v>
      </c>
      <c r="AR325" s="81">
        <f t="shared" si="429"/>
        <v>5.6700000000000008</v>
      </c>
      <c r="AS325" s="78">
        <f>SUM(AV325,AT325)</f>
        <v>11987.163999999999</v>
      </c>
      <c r="AT325" s="79">
        <f>SUM(AT230,AT220:AT221,AT193:AT196,AT183:AT186,AT173:AT174,AT161:AT162,AT149:AT151,AT138:AT140,AT124:AT127,AT111:AT114,AT97:AT100,AT86:AT88,AT73:AT76,AT61:AT63,AT25:AT28,AT298,AT282,AT244,AT269,AT222,AT175,AT163,AT268,AT283,AT257,AT209,AT212,AT210:AT211)</f>
        <v>11916.644999999999</v>
      </c>
      <c r="AU325" s="80">
        <f t="shared" ref="AU325:AV325" si="430">SUM(AU230,AU220:AU221,AU193:AU196,AU183:AU186,AU173:AU174,AU161:AU162,AU149:AU151,AU138:AU140,AU124:AU127,AU111:AU114,AU97:AU100,AU86:AU88,AU73:AU76,AU61:AU63,AU25:AU28,AU298,AU282,AU244,AU269,AU222,AU175,AU163,AU268,AU283,AU257,AU209,AU212,AU210:AU211)</f>
        <v>9944.0969999999998</v>
      </c>
      <c r="AV325" s="81">
        <f t="shared" si="430"/>
        <v>70.519000000000005</v>
      </c>
      <c r="AW325" s="78">
        <f t="shared" si="423"/>
        <v>163.68399999999994</v>
      </c>
      <c r="AX325" s="79">
        <f>SUM(AX230,AX220:AX221,AX193:AX196,AX183:AX186,AX173:AX174,AX161:AX162,AX149:AX151,AX138:AX140,AX124:AX127,AX111:AX114,AX97:AX100,AX86:AX88,AX73:AX76,AX61:AX63,AX25:AX28,AX298,AX282,AX244,AX269,AX222,AX175,AX163,AX268,AX283,AX257,AX209,AX212,AX210:AX211)</f>
        <v>166.48399999999995</v>
      </c>
      <c r="AY325" s="80">
        <f t="shared" ref="AY325:AZ325" si="431">SUM(AY230,AY220:AY221,AY193:AY196,AY183:AY186,AY173:AY174,AY161:AY162,AY149:AY151,AY138:AY140,AY124:AY127,AY111:AY114,AY97:AY100,AY86:AY88,AY73:AY76,AY61:AY63,AY25:AY28,AY298,AY282,AY244,AY269,AY222,AY175,AY163,AY268,AY283,AY257,AY209,AY212,AY210:AY211)</f>
        <v>173.63000000000005</v>
      </c>
      <c r="AZ325" s="81">
        <f t="shared" si="431"/>
        <v>-2.8</v>
      </c>
      <c r="BA325" s="78">
        <f>SUM(BD325,BB325)</f>
        <v>12150.848000000004</v>
      </c>
      <c r="BB325" s="79">
        <f>SUM(BB230,BB220:BB221,BB193:BB196,BB183:BB186,BB173:BB174,BB161:BB162,BB149:BB151,BB138:BB140,BB124:BB127,BB111:BB114,BB97:BB100,BB86:BB88,BB73:BB76,BB61:BB63,BB25:BB28,BB298,BB282,BB244,BB269,BB222,BB175,BB163,BB268,BB283,BB257,BB209,BB212,BB210:BB211)</f>
        <v>12083.129000000004</v>
      </c>
      <c r="BC325" s="80">
        <f t="shared" ref="BC325:BD325" si="432">SUM(BC230,BC220:BC221,BC193:BC196,BC183:BC186,BC173:BC174,BC161:BC162,BC149:BC151,BC138:BC140,BC124:BC127,BC111:BC114,BC97:BC100,BC86:BC88,BC73:BC76,BC61:BC63,BC25:BC28,BC298,BC282,BC244,BC269,BC222,BC175,BC163,BC268,BC283,BC257,BC209,BC212,BC210:BC211)</f>
        <v>10117.727000000003</v>
      </c>
      <c r="BD325" s="81">
        <f t="shared" si="432"/>
        <v>67.718999999999994</v>
      </c>
      <c r="BE325" s="78">
        <f t="shared" si="424"/>
        <v>0.89799999999999613</v>
      </c>
      <c r="BF325" s="79">
        <f>SUM(BF230,BF220:BF221,BF193:BF196,BF183:BF186,BF173:BF174,BF161:BF162,BF149:BF151,BF138:BF140,BF124:BF127,BF111:BF114,BF97:BF100,BF86:BF88,BF73:BF76,BF61:BF63,BF25:BF28,BF298,BF282,BF244,BF269,BF222,BF175,BF163,BF268,BF283,BF257,BF209,BF212,BF210:BF211)</f>
        <v>-87.572999999999993</v>
      </c>
      <c r="BG325" s="80">
        <f t="shared" ref="BG325:BH325" si="433">SUM(BG230,BG220:BG221,BG193:BG196,BG183:BG186,BG173:BG174,BG161:BG162,BG149:BG151,BG138:BG140,BG124:BG127,BG111:BG114,BG97:BG100,BG86:BG88,BG73:BG76,BG61:BG63,BG25:BG28,BG298,BG282,BG244,BG269,BG222,BG175,BG163,BG268,BG283,BG257,BG209,BG212,BG210:BG211)</f>
        <v>-97.495000000000019</v>
      </c>
      <c r="BH325" s="81">
        <f t="shared" si="433"/>
        <v>88.470999999999989</v>
      </c>
      <c r="BI325" s="78">
        <f>SUM(BL325,BJ325)</f>
        <v>12151.746000000005</v>
      </c>
      <c r="BJ325" s="79">
        <f>SUM(BJ230,BJ220:BJ221,BJ193:BJ196,BJ183:BJ186,BJ173:BJ174,BJ161:BJ162,BJ149:BJ151,BJ138:BJ140,BJ124:BJ127,BJ111:BJ114,BJ97:BJ100,BJ86:BJ88,BJ73:BJ76,BJ61:BJ63,BJ25:BJ28,BJ298,BJ282,BJ244,BJ269,BJ222,BJ175,BJ163,BJ268,BJ283,BJ257,BJ209,BJ212,BJ210:BJ211)</f>
        <v>11995.556000000004</v>
      </c>
      <c r="BK325" s="80">
        <f t="shared" ref="BK325:BL325" si="434">SUM(BK230,BK220:BK221,BK193:BK196,BK183:BK186,BK173:BK174,BK161:BK162,BK149:BK151,BK138:BK140,BK124:BK127,BK111:BK114,BK97:BK100,BK86:BK88,BK73:BK76,BK61:BK63,BK25:BK28,BK298,BK282,BK244,BK269,BK222,BK175,BK163,BK268,BK283,BK257,BK209,BK212,BK210:BK211)</f>
        <v>10020.232000000002</v>
      </c>
      <c r="BL325" s="81">
        <f t="shared" si="434"/>
        <v>156.18999999999997</v>
      </c>
    </row>
    <row r="326" spans="1:64" ht="12.9" x14ac:dyDescent="0.35">
      <c r="A326" s="18"/>
      <c r="B326" s="54" t="s">
        <v>131</v>
      </c>
      <c r="C326" s="249">
        <v>3</v>
      </c>
      <c r="D326" s="250"/>
      <c r="E326" s="78">
        <f>SUM(H326,F326)</f>
        <v>1229.5639999999999</v>
      </c>
      <c r="F326" s="79">
        <f>SUM(F29,F231,F245,F246,F247,F32,F30)</f>
        <v>1040.223</v>
      </c>
      <c r="G326" s="80">
        <f>SUM(G29,G231,G245,G246,G247,G32,G30)</f>
        <v>33.274000000000001</v>
      </c>
      <c r="H326" s="81">
        <f>SUM(H29,H231,H245,H246,H247,H32,H30)</f>
        <v>189.34100000000001</v>
      </c>
      <c r="I326" s="78">
        <f>SUM(L326,J326)</f>
        <v>0</v>
      </c>
      <c r="J326" s="79">
        <f>SUM(J29,J231,J245,J246,J247,J32,J30)</f>
        <v>0</v>
      </c>
      <c r="K326" s="80">
        <f>SUM(K29,K231,K245,K246,K247,K32,K30)</f>
        <v>0</v>
      </c>
      <c r="L326" s="81">
        <f>SUM(L29,L231,L245,L246,L247,L32,L30)</f>
        <v>0</v>
      </c>
      <c r="M326" s="78">
        <f>SUM(P326,N326)</f>
        <v>1229.5639999999999</v>
      </c>
      <c r="N326" s="79">
        <f>SUM(N29,N231,N245,N246,N247,N32,N30)</f>
        <v>1040.223</v>
      </c>
      <c r="O326" s="80">
        <f>SUM(O29,O231,O245,O246,O247,O32,O30)</f>
        <v>33.274000000000001</v>
      </c>
      <c r="P326" s="81">
        <f>SUM(P29,P231,P245,P246,P247,P32,P30)</f>
        <v>189.34100000000001</v>
      </c>
      <c r="Q326" s="78">
        <f>SUM(T326,R326)</f>
        <v>108.8</v>
      </c>
      <c r="R326" s="79">
        <f>SUM(R29,R231,R245,R246,R247,R32,R30,R31)</f>
        <v>13.8</v>
      </c>
      <c r="S326" s="80">
        <f>SUM(S29,S231,S245,S246,S247,S32,S30,S31)</f>
        <v>0</v>
      </c>
      <c r="T326" s="81">
        <f>SUM(T29,T231,T245,T246,T247,T32,T30,T31)</f>
        <v>95</v>
      </c>
      <c r="U326" s="78">
        <f>SUM(X326,V326)</f>
        <v>1338.364</v>
      </c>
      <c r="V326" s="79">
        <f>SUM(V29,V231,V245,V246,V247,V32,V30,V31)</f>
        <v>1054.0229999999999</v>
      </c>
      <c r="W326" s="80">
        <f>SUM(W29,W231,W245,W246,W247,W32,W30,W31)</f>
        <v>33.274000000000001</v>
      </c>
      <c r="X326" s="81">
        <f>SUM(X29,X231,X245,X246,X247,X32,X30,X31)</f>
        <v>284.34100000000001</v>
      </c>
      <c r="Y326" s="78">
        <f>SUM(AB326,Z326)</f>
        <v>0</v>
      </c>
      <c r="Z326" s="79">
        <f>SUM(Z29,Z231,Z245,Z246,Z247,Z32,Z30,Z31)</f>
        <v>-0.4</v>
      </c>
      <c r="AA326" s="80">
        <f>SUM(AA29,AA231,AA245,AA246,AA247,AA32,AA30,AA31)</f>
        <v>0</v>
      </c>
      <c r="AB326" s="81">
        <f>SUM(AB29,AB231,AB245,AB246,AB247,AB32,AB30,AB31)</f>
        <v>0.4</v>
      </c>
      <c r="AC326" s="78">
        <f>SUM(AF326,AD326)</f>
        <v>1338.364</v>
      </c>
      <c r="AD326" s="79">
        <f>SUM(AD29,AD231,AD245,AD246,AD247,AD32,AD30,AD31)</f>
        <v>1053.623</v>
      </c>
      <c r="AE326" s="80">
        <f>SUM(AE29,AE231,AE245,AE246,AE247,AE32,AE30,AE31)</f>
        <v>33.274000000000001</v>
      </c>
      <c r="AF326" s="81">
        <f>SUM(AF29,AF231,AF245,AF246,AF247,AF32,AF30,AF31)</f>
        <v>284.74099999999999</v>
      </c>
      <c r="AG326" s="78">
        <f>SUM(AJ326,AH326)</f>
        <v>0</v>
      </c>
      <c r="AH326" s="79">
        <f>SUM(AH29,AH231,AH245,AH246,AH247,AH32,AH30,AH31)</f>
        <v>0</v>
      </c>
      <c r="AI326" s="80">
        <f>SUM(AI29,AI231,AI245,AI246,AI247,AI32,AI30,AI31)</f>
        <v>0</v>
      </c>
      <c r="AJ326" s="81">
        <f>SUM(AJ29,AJ231,AJ245,AJ246,AJ247,AJ32,AJ30,AJ31)</f>
        <v>0</v>
      </c>
      <c r="AK326" s="78">
        <f>SUM(AN326,AL326)</f>
        <v>1338.364</v>
      </c>
      <c r="AL326" s="79">
        <f>SUM(AL29,AL231,AL245,AL246,AL247,AL32,AL30,AL31)</f>
        <v>1053.623</v>
      </c>
      <c r="AM326" s="80">
        <f>SUM(AM29,AM231,AM245,AM246,AM247,AM32,AM30,AM31)</f>
        <v>33.274000000000001</v>
      </c>
      <c r="AN326" s="81">
        <f>SUM(AN29,AN231,AN245,AN246,AN247,AN32,AN30,AN31)</f>
        <v>284.74099999999999</v>
      </c>
      <c r="AO326" s="78">
        <f>SUM(AR326,AP326)</f>
        <v>0</v>
      </c>
      <c r="AP326" s="79">
        <f>SUM(AP29,AP231,AP245,AP246,AP247,AP32,AP30,AP31)</f>
        <v>2.5</v>
      </c>
      <c r="AQ326" s="80">
        <f>SUM(AQ29,AQ231,AQ245,AQ246,AQ247,AQ32,AQ30,AQ31)</f>
        <v>0</v>
      </c>
      <c r="AR326" s="81">
        <f>SUM(AR29,AR231,AR245,AR246,AR247,AR32,AR30,AR31)</f>
        <v>-2.5</v>
      </c>
      <c r="AS326" s="78">
        <f>SUM(AV326,AT326)</f>
        <v>1338.364</v>
      </c>
      <c r="AT326" s="79">
        <f>SUM(AT29,AT231,AT245,AT246,AT247,AT32,AT30,AT31)</f>
        <v>1056.123</v>
      </c>
      <c r="AU326" s="80">
        <f>SUM(AU29,AU231,AU245,AU246,AU247,AU32,AU30,AU31)</f>
        <v>33.274000000000001</v>
      </c>
      <c r="AV326" s="81">
        <f>SUM(AV29,AV231,AV245,AV246,AV247,AV32,AV30,AV31)</f>
        <v>282.24099999999999</v>
      </c>
      <c r="AW326" s="78">
        <f t="shared" si="423"/>
        <v>10.290000000000001</v>
      </c>
      <c r="AX326" s="79">
        <f>SUM(AX29,AX231,AX245,AX246,AX247,AX32,AX30,AX31)</f>
        <v>10.290000000000001</v>
      </c>
      <c r="AY326" s="80">
        <f>SUM(AY29,AY231,AY245,AY246,AY247,AY32,AY30,AY31)</f>
        <v>-0.5</v>
      </c>
      <c r="AZ326" s="81">
        <f>SUM(AZ29,AZ231,AZ245,AZ246,AZ247,AZ32,AZ30,AZ31)</f>
        <v>0</v>
      </c>
      <c r="BA326" s="78">
        <f>SUM(BD326,BB326)</f>
        <v>1348.654</v>
      </c>
      <c r="BB326" s="79">
        <f>SUM(BB29,BB231,BB245,BB246,BB247,BB32,BB30,BB31)</f>
        <v>1066.413</v>
      </c>
      <c r="BC326" s="80">
        <f>SUM(BC29,BC231,BC245,BC246,BC247,BC32,BC30,BC31)</f>
        <v>32.774000000000001</v>
      </c>
      <c r="BD326" s="81">
        <f>SUM(BD29,BD231,BD245,BD246,BD247,BD32,BD30,BD31)</f>
        <v>282.24099999999999</v>
      </c>
      <c r="BE326" s="78">
        <f t="shared" si="424"/>
        <v>0</v>
      </c>
      <c r="BF326" s="79">
        <f>SUM(BF29,BF231,BF245,BF246,BF247,BF32,BF30,BF31)</f>
        <v>14</v>
      </c>
      <c r="BG326" s="80">
        <f>SUM(BG29,BG231,BG245,BG246,BG247,BG32,BG30,BG31)</f>
        <v>0</v>
      </c>
      <c r="BH326" s="81">
        <f>SUM(BH29,BH231,BH245,BH246,BH247,BH32,BH30,BH31)</f>
        <v>-14</v>
      </c>
      <c r="BI326" s="78">
        <f>SUM(BL326,BJ326)</f>
        <v>1348.654</v>
      </c>
      <c r="BJ326" s="79">
        <f>SUM(BJ29,BJ231,BJ245,BJ246,BJ247,BJ32,BJ30,BJ31)</f>
        <v>1080.413</v>
      </c>
      <c r="BK326" s="80">
        <f>SUM(BK29,BK231,BK245,BK246,BK247,BK32,BK30,BK31)</f>
        <v>32.774000000000001</v>
      </c>
      <c r="BL326" s="81">
        <f>SUM(BL29,BL231,BL245,BL246,BL247,BL32,BL30,BL31)</f>
        <v>268.24099999999999</v>
      </c>
    </row>
    <row r="327" spans="1:64" ht="25.75" x14ac:dyDescent="0.35">
      <c r="A327" s="18"/>
      <c r="B327" s="55" t="s">
        <v>43</v>
      </c>
      <c r="C327" s="251">
        <v>4</v>
      </c>
      <c r="D327" s="252"/>
      <c r="E327" s="78">
        <f>SUM(H327,F327)</f>
        <v>1270.845</v>
      </c>
      <c r="F327" s="79">
        <f>SUM(F232,F270:F271,F258:F259,F33,F248)</f>
        <v>1240.8440000000001</v>
      </c>
      <c r="G327" s="80">
        <f>SUM(G232,G270:G271,G258:G259,G33,G248)</f>
        <v>963.69</v>
      </c>
      <c r="H327" s="81">
        <f>SUM(H232,H270:H271,H258:H259,H33,H248)</f>
        <v>30.000999999999998</v>
      </c>
      <c r="I327" s="78">
        <f>SUM(L327,J327)</f>
        <v>0</v>
      </c>
      <c r="J327" s="79">
        <f>SUM(J232,J270:J271,J258:J259,J33,J248)</f>
        <v>0</v>
      </c>
      <c r="K327" s="80">
        <f>SUM(K232,K270:K271,K258:K259,K33,K248)</f>
        <v>0</v>
      </c>
      <c r="L327" s="81">
        <f>SUM(L232,L270:L271,L258:L259,L33,L248)</f>
        <v>0</v>
      </c>
      <c r="M327" s="78">
        <f>SUM(P327,N327)</f>
        <v>1270.845</v>
      </c>
      <c r="N327" s="79">
        <f>SUM(N232,N270:N271,N258:N259,N33,N248)</f>
        <v>1240.8440000000001</v>
      </c>
      <c r="O327" s="80">
        <f>SUM(O232,O270:O271,O258:O259,O33,O248)</f>
        <v>963.69</v>
      </c>
      <c r="P327" s="81">
        <f>SUM(P232,P270:P271,P258:P259,P33,P248)</f>
        <v>30.000999999999998</v>
      </c>
      <c r="Q327" s="78">
        <f>SUM(T327,R327)</f>
        <v>1.9999999999999991</v>
      </c>
      <c r="R327" s="79">
        <f>SUM(R232,R270:R271,R258:R259,R33,R248)</f>
        <v>1.9999999999999991</v>
      </c>
      <c r="S327" s="80">
        <f>SUM(S232,S270:S271,S258:S259,S33,S248)</f>
        <v>7.8859999999999983</v>
      </c>
      <c r="T327" s="81">
        <f>SUM(T232,T270:T271,T258:T259,T33,T248)</f>
        <v>0</v>
      </c>
      <c r="U327" s="78">
        <f>SUM(X327,V327)</f>
        <v>1272.8449999999998</v>
      </c>
      <c r="V327" s="79">
        <f>SUM(V232,V270:V271,V258:V259,V33,V248)</f>
        <v>1242.8439999999998</v>
      </c>
      <c r="W327" s="80">
        <f>SUM(W232,W270:W271,W258:W259,W33,W248)</f>
        <v>971.57600000000002</v>
      </c>
      <c r="X327" s="81">
        <f>SUM(X232,X270:X271,X258:X259,X33,X248)</f>
        <v>30.000999999999998</v>
      </c>
      <c r="Y327" s="78">
        <f>SUM(AB327,Z327)</f>
        <v>-0.5</v>
      </c>
      <c r="Z327" s="79">
        <f>SUM(Z232,Z270:Z271,Z258:Z259,Z33,Z248)</f>
        <v>-0.5</v>
      </c>
      <c r="AA327" s="80">
        <f>SUM(AA232,AA270:AA271,AA258:AA259,AA33,AA248)</f>
        <v>0</v>
      </c>
      <c r="AB327" s="81">
        <f>SUM(AB232,AB270:AB271,AB258:AB259,AB33,AB248)</f>
        <v>0</v>
      </c>
      <c r="AC327" s="78">
        <f>SUM(AF327,AD327)</f>
        <v>1272.3449999999998</v>
      </c>
      <c r="AD327" s="79">
        <f>SUM(AD232,AD270:AD271,AD258:AD259,AD33,AD248)</f>
        <v>1242.3439999999998</v>
      </c>
      <c r="AE327" s="80">
        <f>SUM(AE232,AE270:AE271,AE258:AE259,AE33,AE248)</f>
        <v>971.57600000000002</v>
      </c>
      <c r="AF327" s="81">
        <f>SUM(AF232,AF270:AF271,AF258:AF259,AF33,AF248)</f>
        <v>30.000999999999998</v>
      </c>
      <c r="AG327" s="78">
        <f>SUM(AJ327,AH327)</f>
        <v>0</v>
      </c>
      <c r="AH327" s="79">
        <f>SUM(AH232,AH270:AH271,AH258:AH259,AH33,AH248)</f>
        <v>0</v>
      </c>
      <c r="AI327" s="80">
        <f>SUM(AI232,AI270:AI271,AI258:AI259,AI33,AI248)</f>
        <v>0</v>
      </c>
      <c r="AJ327" s="81">
        <f>SUM(AJ232,AJ270:AJ271,AJ258:AJ259,AJ33,AJ248)</f>
        <v>0</v>
      </c>
      <c r="AK327" s="78">
        <f>SUM(AN327,AL327)</f>
        <v>1272.345</v>
      </c>
      <c r="AL327" s="79">
        <f>SUM(AL232,AL270:AL271,AL258:AL259,AL33,AL248)</f>
        <v>1242.3440000000001</v>
      </c>
      <c r="AM327" s="80">
        <f>SUM(AM232,AM270:AM271,AM258:AM259,AM33,AM248)</f>
        <v>971.57600000000002</v>
      </c>
      <c r="AN327" s="81">
        <f>SUM(AN232,AN270:AN271,AN258:AN259,AN33,AN248)</f>
        <v>30.000999999999998</v>
      </c>
      <c r="AO327" s="78">
        <f>SUM(AR327,AP327)</f>
        <v>0</v>
      </c>
      <c r="AP327" s="79">
        <f>SUM(AP232,AP270:AP271,AP258:AP259,AP33,AP248)</f>
        <v>-2.6120000000000001</v>
      </c>
      <c r="AQ327" s="80">
        <f>SUM(AQ232,AQ270:AQ271,AQ258:AQ259,AQ33,AQ248)</f>
        <v>0</v>
      </c>
      <c r="AR327" s="81">
        <f>SUM(AR232,AR270:AR271,AR258:AR259,AR33,AR248)</f>
        <v>2.6120000000000001</v>
      </c>
      <c r="AS327" s="78">
        <f>SUM(AV327,AT327)</f>
        <v>1272.345</v>
      </c>
      <c r="AT327" s="79">
        <f>SUM(AT232,AT270:AT271,AT258:AT259,AT33,AT248)</f>
        <v>1239.732</v>
      </c>
      <c r="AU327" s="80">
        <f>SUM(AU232,AU270:AU271,AU258:AU259,AU33,AU248)</f>
        <v>971.57600000000002</v>
      </c>
      <c r="AV327" s="81">
        <f>SUM(AV232,AV270:AV271,AV258:AV259,AV33,AV248)</f>
        <v>32.613</v>
      </c>
      <c r="AW327" s="78">
        <f>SUM(AW232,AW270:AW271,AW258:AW259,AW33,AW248,AW34)</f>
        <v>0.51000000000000023</v>
      </c>
      <c r="AX327" s="79">
        <f>SUM(AX232,AX270:AX271,AX258:AX259,AX33,AX248,AX34)</f>
        <v>0.39100000000000046</v>
      </c>
      <c r="AY327" s="80">
        <f t="shared" ref="AY327:AZ327" si="435">SUM(AY232,AY270:AY271,AY258:AY259,AY33,AY248,AY34)</f>
        <v>-11.359</v>
      </c>
      <c r="AZ327" s="81">
        <f t="shared" si="435"/>
        <v>0.11899999999999999</v>
      </c>
      <c r="BA327" s="78">
        <f>SUM(BA232,BA270:BA271,BA258:BA259,BA33,BA248,BA34)</f>
        <v>1272.8549999999998</v>
      </c>
      <c r="BB327" s="79">
        <f>SUM(BB232,BB270:BB271,BB258:BB259,BB33,BB248,BB34)</f>
        <v>1240.1229999999998</v>
      </c>
      <c r="BC327" s="80">
        <f t="shared" ref="BC327:BD327" si="436">SUM(BC232,BC270:BC271,BC258:BC259,BC33,BC248,BC34)</f>
        <v>960.21699999999998</v>
      </c>
      <c r="BD327" s="81">
        <f t="shared" si="436"/>
        <v>32.731999999999999</v>
      </c>
      <c r="BE327" s="78">
        <f t="shared" ref="BE327:BL327" si="437">SUM(BE232,BE270:BE272,BE258:BE259,BE33,BE248,BE34)</f>
        <v>-8.0060000000000002</v>
      </c>
      <c r="BF327" s="79">
        <f t="shared" si="437"/>
        <v>-8.0060000000000002</v>
      </c>
      <c r="BG327" s="80">
        <f t="shared" si="437"/>
        <v>-13.44</v>
      </c>
      <c r="BH327" s="81">
        <f t="shared" si="437"/>
        <v>0</v>
      </c>
      <c r="BI327" s="78">
        <f t="shared" si="437"/>
        <v>1264.8489999999999</v>
      </c>
      <c r="BJ327" s="79">
        <f t="shared" si="437"/>
        <v>1232.1169999999997</v>
      </c>
      <c r="BK327" s="80">
        <f t="shared" si="437"/>
        <v>946.77700000000004</v>
      </c>
      <c r="BL327" s="81">
        <f t="shared" si="437"/>
        <v>32.731999999999999</v>
      </c>
    </row>
    <row r="328" spans="1:64" ht="12.9" x14ac:dyDescent="0.35">
      <c r="A328" s="18"/>
      <c r="B328" s="54" t="s">
        <v>124</v>
      </c>
      <c r="C328" s="249">
        <v>5</v>
      </c>
      <c r="D328" s="250"/>
      <c r="E328" s="78">
        <f t="shared" ref="E328" si="438">SUM(H328,F328)</f>
        <v>194.90899999999999</v>
      </c>
      <c r="F328" s="79">
        <f>SUM(F35,F233,F249,F197)</f>
        <v>146.90899999999999</v>
      </c>
      <c r="G328" s="80">
        <f>SUM(G35,G233)</f>
        <v>0</v>
      </c>
      <c r="H328" s="81">
        <f>SUM(H35,H233)</f>
        <v>48</v>
      </c>
      <c r="I328" s="78">
        <f t="shared" ref="I328" si="439">SUM(L328,J328)</f>
        <v>0</v>
      </c>
      <c r="J328" s="79">
        <f>SUM(J35,J233,J249,J197)</f>
        <v>0</v>
      </c>
      <c r="K328" s="80">
        <f>SUM(K35,K233)</f>
        <v>0</v>
      </c>
      <c r="L328" s="81">
        <f>SUM(L35,L233)</f>
        <v>0</v>
      </c>
      <c r="M328" s="78">
        <f t="shared" ref="M328" si="440">SUM(P328,N328)</f>
        <v>194.90899999999999</v>
      </c>
      <c r="N328" s="79">
        <f>SUM(N35,N233,N249,N197)</f>
        <v>146.90899999999999</v>
      </c>
      <c r="O328" s="80">
        <f>SUM(O35,O233)</f>
        <v>0</v>
      </c>
      <c r="P328" s="81">
        <f>SUM(P35,P233)</f>
        <v>48</v>
      </c>
      <c r="Q328" s="78">
        <f t="shared" ref="Q328" si="441">SUM(T328,R328)</f>
        <v>0</v>
      </c>
      <c r="R328" s="79">
        <f>SUM(R35,R233,R249,R197)</f>
        <v>0</v>
      </c>
      <c r="S328" s="80">
        <f>SUM(S35,S233)</f>
        <v>0</v>
      </c>
      <c r="T328" s="81">
        <f>SUM(T35,T233)</f>
        <v>0</v>
      </c>
      <c r="U328" s="78">
        <f t="shared" ref="U328" si="442">SUM(X328,V328)</f>
        <v>194.90899999999999</v>
      </c>
      <c r="V328" s="79">
        <f>SUM(V35,V233,V249,V197)</f>
        <v>146.90899999999999</v>
      </c>
      <c r="W328" s="80">
        <f>SUM(W35,W233)</f>
        <v>0</v>
      </c>
      <c r="X328" s="81">
        <f>SUM(X35,X233)</f>
        <v>48</v>
      </c>
      <c r="Y328" s="78">
        <f t="shared" ref="Y328" si="443">SUM(AB328,Z328)</f>
        <v>0</v>
      </c>
      <c r="Z328" s="79">
        <f>SUM(Z35,Z233,Z249,Z197)</f>
        <v>0</v>
      </c>
      <c r="AA328" s="80">
        <f>SUM(AA35,AA233)</f>
        <v>0</v>
      </c>
      <c r="AB328" s="81">
        <f>SUM(AB35,AB233)</f>
        <v>0</v>
      </c>
      <c r="AC328" s="78">
        <f t="shared" ref="AC328" si="444">SUM(AF328,AD328)</f>
        <v>194.90899999999999</v>
      </c>
      <c r="AD328" s="79">
        <f>SUM(AD35,AD233,AD249,AD197)</f>
        <v>146.90899999999999</v>
      </c>
      <c r="AE328" s="80">
        <f>SUM(AE35,AE233)</f>
        <v>0</v>
      </c>
      <c r="AF328" s="81">
        <f>SUM(AF35,AF233)</f>
        <v>48</v>
      </c>
      <c r="AG328" s="78">
        <f t="shared" ref="AG328" si="445">SUM(AJ328,AH328)</f>
        <v>0</v>
      </c>
      <c r="AH328" s="79">
        <f>SUM(AH35,AH233,AH249,AH197)</f>
        <v>0</v>
      </c>
      <c r="AI328" s="80">
        <f>SUM(AI35,AI233)</f>
        <v>0</v>
      </c>
      <c r="AJ328" s="81">
        <f>SUM(AJ35,AJ233)</f>
        <v>0</v>
      </c>
      <c r="AK328" s="78">
        <f t="shared" ref="AK328" si="446">SUM(AN328,AL328)</f>
        <v>194.90899999999999</v>
      </c>
      <c r="AL328" s="79">
        <f>SUM(AL35,AL233,AL249,AL197)</f>
        <v>146.90899999999999</v>
      </c>
      <c r="AM328" s="80">
        <f>SUM(AM35,AM233)</f>
        <v>0</v>
      </c>
      <c r="AN328" s="81">
        <f>SUM(AN35,AN233)</f>
        <v>48</v>
      </c>
      <c r="AO328" s="78">
        <f t="shared" ref="AO328" si="447">SUM(AR328,AP328)</f>
        <v>0</v>
      </c>
      <c r="AP328" s="79">
        <f>SUM(AP35,AP233,AP249,AP197)</f>
        <v>0</v>
      </c>
      <c r="AQ328" s="80">
        <f>SUM(AQ35,AQ233)</f>
        <v>0</v>
      </c>
      <c r="AR328" s="81">
        <f>SUM(AR35,AR233)</f>
        <v>0</v>
      </c>
      <c r="AS328" s="78">
        <f t="shared" ref="AS328" si="448">SUM(AV328,AT328)</f>
        <v>194.90899999999999</v>
      </c>
      <c r="AT328" s="79">
        <f>SUM(AT35,AT233,AT249,AT197)</f>
        <v>146.90899999999999</v>
      </c>
      <c r="AU328" s="80">
        <f>SUM(AU35,AU233)</f>
        <v>0</v>
      </c>
      <c r="AV328" s="81">
        <f>SUM(AV35,AV233)</f>
        <v>48</v>
      </c>
      <c r="AW328" s="78">
        <f t="shared" si="423"/>
        <v>14.755000000000001</v>
      </c>
      <c r="AX328" s="79">
        <f>SUM(AX35,AX233,AX249,AX197,AX36)</f>
        <v>14.755000000000001</v>
      </c>
      <c r="AY328" s="80">
        <f>SUM(AY35,AY233)</f>
        <v>0</v>
      </c>
      <c r="AZ328" s="81">
        <f>SUM(AZ35,AZ233)</f>
        <v>0</v>
      </c>
      <c r="BA328" s="78">
        <f t="shared" ref="BA328" si="449">SUM(BD328,BB328)</f>
        <v>209.66399999999999</v>
      </c>
      <c r="BB328" s="79">
        <f>SUM(BB35,BB233,BB249,BB197,BB36)</f>
        <v>161.66399999999999</v>
      </c>
      <c r="BC328" s="80">
        <f>SUM(BC35,BC233)</f>
        <v>0</v>
      </c>
      <c r="BD328" s="81">
        <f>SUM(BD35,BD233)</f>
        <v>48</v>
      </c>
      <c r="BE328" s="78">
        <f t="shared" ref="BE328:BE330" si="450">SUM(BH328,BF328)</f>
        <v>0</v>
      </c>
      <c r="BF328" s="79">
        <f>SUM(BF35,BF233,BF249,BF197,BF36)</f>
        <v>0</v>
      </c>
      <c r="BG328" s="80">
        <f>SUM(BG35,BG233)</f>
        <v>0</v>
      </c>
      <c r="BH328" s="81">
        <f>SUM(BH35,BH233)</f>
        <v>0</v>
      </c>
      <c r="BI328" s="78">
        <f t="shared" ref="BI328" si="451">SUM(BL328,BJ328)</f>
        <v>209.66399999999999</v>
      </c>
      <c r="BJ328" s="79">
        <f>SUM(BJ35,BJ233,BJ249,BJ197,BJ36)</f>
        <v>161.66399999999999</v>
      </c>
      <c r="BK328" s="80">
        <f>SUM(BK35,BK233,BK249,BK197,BK36)</f>
        <v>0.28999999999999998</v>
      </c>
      <c r="BL328" s="81">
        <f>SUM(BL35,BL233)</f>
        <v>48</v>
      </c>
    </row>
    <row r="329" spans="1:64" ht="12.9" x14ac:dyDescent="0.35">
      <c r="A329" s="18"/>
      <c r="B329" s="54" t="s">
        <v>44</v>
      </c>
      <c r="C329" s="249">
        <v>6</v>
      </c>
      <c r="D329" s="250"/>
      <c r="E329" s="78">
        <f>SUM(H329,F329)</f>
        <v>4386.4099999999989</v>
      </c>
      <c r="F329" s="79">
        <f>SUM(F300,F299,F284:F285,F234,F37:F40,F64,F77,F89,F101,F115,F128,F141,F152,F164,F176,F287,F198,F250,F302,F301,F286)</f>
        <v>3694.0249999999992</v>
      </c>
      <c r="G329" s="80">
        <f>SUM(G300,G299,G284:G285,G234,G37:G40,G64,G77,G89,G101,G115,G128,G141,G152,G164,G176,G287,G198,G250,G302,G301,G286)</f>
        <v>1651.1710000000003</v>
      </c>
      <c r="H329" s="81">
        <f>SUM(H300,H299,H284:H285,H234,H37:H40,H64,H77,H89,H101,H115,H128,H141,H152,H164,H176,H287,H198,H250,H302,H301,H286)</f>
        <v>692.38499999999999</v>
      </c>
      <c r="I329" s="78">
        <f>SUM(L329,J329)</f>
        <v>28.058999999999997</v>
      </c>
      <c r="J329" s="79">
        <f>SUM(J300,J299,J284:J285,J234,J37:J40,J64,J77,J89,J101,J115,J128,J141,J152,J164,J176,J287,J198,J250,J302,J301,J286)</f>
        <v>28.058999999999997</v>
      </c>
      <c r="K329" s="80">
        <f>SUM(K300,K299,K284:K285,K234,K37:K40,K64,K77,K89,K101,K115,K128,K141,K152,K164,K176,K287,K198,K250,K302,K301,K286)</f>
        <v>27.064</v>
      </c>
      <c r="L329" s="81">
        <f>SUM(L300,L299,L284:L285,L234,L37:L40,L64,L77,L89,L101,L115,L128,L141,L152,L164,L176,L287,L198,L250,L302,L301,L286)</f>
        <v>0</v>
      </c>
      <c r="M329" s="78">
        <f>SUM(P329,N329)</f>
        <v>4414.4689999999991</v>
      </c>
      <c r="N329" s="79">
        <f>SUM(N300,N299,N284:N285,N234,N37:N40,N64,N77,N89,N101,N115,N128,N141,N152,N164,N176,N287,N198,N250,N302,N301,N286)</f>
        <v>3722.0839999999994</v>
      </c>
      <c r="O329" s="80">
        <f>SUM(O300,O299,O284:O285,O234,O37:O40,O64,O77,O89,O101,O115,O128,O141,O152,O164,O176,O287,O198,O250,O302,O301,O286)</f>
        <v>1678.2350000000001</v>
      </c>
      <c r="P329" s="81">
        <f>SUM(P300,P299,P284:P285,P234,P37:P40,P64,P77,P89,P101,P115,P128,P141,P152,P164,P176,P287,P198,P250,P302,P301,P286)</f>
        <v>692.38499999999999</v>
      </c>
      <c r="Q329" s="78">
        <f>SUM(T329,R329)</f>
        <v>36.472000000000008</v>
      </c>
      <c r="R329" s="79">
        <f>SUM(R300,R299,R284:R285,R234,R37:R40,R64,R77,R89,R101,R115,R128,R141,R152,R164,R176,R287,R198,R250,R302,R301,R286)</f>
        <v>44.992000000000004</v>
      </c>
      <c r="S329" s="80">
        <f>SUM(S300,S299,S284:S285,S234,S37:S40,S64,S77,S89,S101,S115,S128,S141,S152,S164,S176,S287,S198,S250,S302,S301,S286)</f>
        <v>4.7409999999999997</v>
      </c>
      <c r="T329" s="81">
        <f>SUM(T300,T299,T284:T285,T234,T37:T40,T64,T77,T89,T101,T115,T128,T141,T152,T164,T176,T287,T198,T250,T302,T301,T286)</f>
        <v>-8.52</v>
      </c>
      <c r="U329" s="78">
        <f>SUM(X329,V329)</f>
        <v>4450.9409999999998</v>
      </c>
      <c r="V329" s="79">
        <f>SUM(V300,V299,V284:V285,V234,V37:V40,V64,V77,V89,V101,V115,V128,V141,V152,V164,V176,V287,V198,V250,V302,V301,V286)</f>
        <v>3767.076</v>
      </c>
      <c r="W329" s="80">
        <f>SUM(W300,W299,W284:W285,W234,W37:W40,W64,W77,W89,W101,W115,W128,W141,W152,W164,W176,W287,W198,W250,W302,W301,W286)</f>
        <v>1682.9760000000001</v>
      </c>
      <c r="X329" s="81">
        <f>SUM(X300,X299,X284:X285,X234,X37:X40,X64,X77,X89,X101,X115,X128,X141,X152,X164,X176,X287,X198,X250,X302,X301,X286)</f>
        <v>683.86500000000001</v>
      </c>
      <c r="Y329" s="78">
        <f>SUM(AB329,Z329)</f>
        <v>0</v>
      </c>
      <c r="Z329" s="79">
        <f>SUM(Z300,Z299,Z284:Z285,Z234,Z37:Z40,Z64,Z77,Z89,Z101,Z115,Z128,Z141,Z152,Z164,Z176,Z287,Z198,Z250,Z302,Z301,Z286)</f>
        <v>0</v>
      </c>
      <c r="AA329" s="80">
        <f>SUM(AA300,AA299,AA284:AA285,AA234,AA37:AA40,AA64,AA77,AA89,AA101,AA115,AA128,AA141,AA152,AA164,AA176,AA287,AA198,AA250,AA302,AA301,AA286)</f>
        <v>-4.0000000000000001E-3</v>
      </c>
      <c r="AB329" s="81">
        <f>SUM(AB300,AB299,AB284:AB285,AB234,AB37:AB40,AB64,AB77,AB89,AB101,AB115,AB128,AB141,AB152,AB164,AB176,AB287,AB198,AB250,AB302,AB301,AB286)</f>
        <v>0</v>
      </c>
      <c r="AC329" s="78">
        <f>SUM(AF329,AD329)</f>
        <v>4450.9409999999998</v>
      </c>
      <c r="AD329" s="79">
        <f>SUM(AD300,AD299,AD284:AD285,AD234,AD37:AD40,AD64,AD77,AD89,AD101,AD115,AD128,AD141,AD152,AD164,AD176,AD287,AD198,AD250,AD302,AD301,AD286)</f>
        <v>3767.076</v>
      </c>
      <c r="AE329" s="80">
        <f>SUM(AE300,AE299,AE284:AE285,AE234,AE37:AE40,AE64,AE77,AE89,AE101,AE115,AE128,AE141,AE152,AE164,AE176,AE287,AE198,AE250,AE302,AE301,AE286)</f>
        <v>1682.972</v>
      </c>
      <c r="AF329" s="81">
        <f>SUM(AF300,AF299,AF284:AF285,AF234,AF37:AF40,AF64,AF77,AF89,AF101,AF115,AF128,AF141,AF152,AF164,AF176,AF287,AF198,AF250,AF302,AF301,AF286)</f>
        <v>683.86500000000001</v>
      </c>
      <c r="AG329" s="78">
        <f>SUM(AJ329,AH329)</f>
        <v>222.17500000000001</v>
      </c>
      <c r="AH329" s="79">
        <f>SUM(AH300,AH299,AH284:AH285,AH234,AH37:AH40,AH64,AH77,AH89,AH101,AH115,AH128,AH141,AH152,AH164,AH176,AH287,AH198,AH250,AH302,AH301,AH286)</f>
        <v>222.17500000000001</v>
      </c>
      <c r="AI329" s="80">
        <f>SUM(AI300,AI299,AI284:AI285,AI234,AI37:AI40,AI64,AI77,AI89,AI101,AI115,AI128,AI141,AI152,AI164,AI176,AI287,AI198,AI250,AI302,AI301,AI286)</f>
        <v>160.98699999999999</v>
      </c>
      <c r="AJ329" s="81">
        <f>SUM(AJ300,AJ299,AJ284:AJ285,AJ234,AJ37:AJ40,AJ64,AJ77,AJ89,AJ101,AJ115,AJ128,AJ141,AJ152,AJ164,AJ176,AJ287,AJ198,AJ250,AJ302,AJ301,AJ286)</f>
        <v>0</v>
      </c>
      <c r="AK329" s="78">
        <f>SUM(AN329,AL329)</f>
        <v>4673.116</v>
      </c>
      <c r="AL329" s="79">
        <f>SUM(AL300,AL299,AL284:AL285,AL234,AL37:AL40,AL64,AL77,AL89,AL101,AL115,AL128,AL141,AL152,AL164,AL176,AL287,AL198,AL250,AL302,AL301,AL286)</f>
        <v>3989.2509999999997</v>
      </c>
      <c r="AM329" s="80">
        <f>SUM(AM300,AM299,AM284:AM285,AM234,AM37:AM40,AM64,AM77,AM89,AM101,AM115,AM128,AM141,AM152,AM164,AM176,AM287,AM198,AM250,AM302,AM301,AM286)</f>
        <v>1843.9590000000001</v>
      </c>
      <c r="AN329" s="81">
        <f>SUM(AN300,AN299,AN284:AN285,AN234,AN37:AN40,AN64,AN77,AN89,AN101,AN115,AN128,AN141,AN152,AN164,AN176,AN287,AN198,AN250,AN302,AN301,AN286)</f>
        <v>683.86500000000001</v>
      </c>
      <c r="AO329" s="78">
        <f>SUM(AR329,AP329)</f>
        <v>82.385000000000005</v>
      </c>
      <c r="AP329" s="79">
        <f>SUM(AP300,AP299,AP284:AP285,AP234,AP37:AP40,AP64,AP77,AP89,AP101,AP115,AP128,AP141,AP152,AP164,AP176,AP287,AP198,AP250,AP302,AP301,AP286)</f>
        <v>82.385000000000005</v>
      </c>
      <c r="AQ329" s="80">
        <f>SUM(AQ300,AQ299,AQ284:AQ285,AQ234,AQ37:AQ40,AQ64,AQ77,AQ89,AQ101,AQ115,AQ128,AQ141,AQ152,AQ164,AQ176,AQ287,AQ198,AQ250,AQ302,AQ301,AQ286)</f>
        <v>35.353000000000002</v>
      </c>
      <c r="AR329" s="81">
        <f>SUM(AR300,AR299,AR284:AR285,AR234,AR37:AR40,AR64,AR77,AR89,AR101,AR115,AR128,AR141,AR152,AR164,AR176,AR287,AR198,AR250,AR302,AR301,AR286)</f>
        <v>0</v>
      </c>
      <c r="AS329" s="78">
        <f>SUM(AV329,AT329)</f>
        <v>4755.5009999999993</v>
      </c>
      <c r="AT329" s="79">
        <f>SUM(AT300,AT299,AT284:AT285,AT234,AT37:AT40,AT64,AT77,AT89,AT101,AT115,AT128,AT141,AT152,AT164,AT176,AT287,AT198,AT250,AT302,AT301,AT286)</f>
        <v>4071.6359999999995</v>
      </c>
      <c r="AU329" s="80">
        <f>SUM(AU300,AU299,AU284:AU285,AU234,AU37:AU40,AU64,AU77,AU89,AU101,AU115,AU128,AU141,AU152,AU164,AU176,AU287,AU198,AU250,AU302,AU301,AU286)</f>
        <v>1879.3120000000001</v>
      </c>
      <c r="AV329" s="81">
        <f>SUM(AV300,AV299,AV284:AV285,AV234,AV37:AV40,AV64,AV77,AV89,AV101,AV115,AV128,AV141,AV152,AV164,AV176,AV287,AV198,AV250,AV302,AV301,AV286)</f>
        <v>683.86500000000001</v>
      </c>
      <c r="AW329" s="78">
        <f t="shared" si="423"/>
        <v>200.232</v>
      </c>
      <c r="AX329" s="79">
        <f>SUM(AX300,AX299,AX284:AX285,AX234,AX37:AX40,AX64,AX77,AX89,AX101,AX115,AX128,AX141,AX152,AX164,AX176,AX287,AX198,AX250,AX302,AX301,AX286)</f>
        <v>200.232</v>
      </c>
      <c r="AY329" s="80">
        <f>SUM(AY300,AY299,AY284:AY285,AY234,AY37:AY40,AY64,AY77,AY89,AY101,AY115,AY128,AY141,AY152,AY164,AY176,AY287,AY198,AY250,AY302,AY301,AY286)</f>
        <v>46.97</v>
      </c>
      <c r="AZ329" s="81">
        <f>SUM(AZ300,AZ299,AZ284:AZ285,AZ234,AZ37:AZ40,AZ64,AZ77,AZ89,AZ101,AZ115,AZ128,AZ141,AZ152,AZ164,AZ176,AZ287,AZ198,AZ250,AZ302,AZ301,AZ286)</f>
        <v>0</v>
      </c>
      <c r="BA329" s="78">
        <f>SUM(BD329,BB329)</f>
        <v>4955.7330000000002</v>
      </c>
      <c r="BB329" s="79">
        <f>SUM(BB300,BB299,BB284:BB285,BB234,BB37:BB40,BB64,BB77,BB89,BB101,BB115,BB128,BB141,BB152,BB164,BB176,BB287,BB198,BB250,BB302,BB301,BB286)</f>
        <v>4271.8680000000004</v>
      </c>
      <c r="BC329" s="80">
        <f>SUM(BC300,BC299,BC284:BC285,BC234,BC37:BC40,BC64,BC77,BC89,BC101,BC115,BC128,BC141,BC152,BC164,BC176,BC287,BC198,BC250,BC302,BC301,BC286)</f>
        <v>1926.2820000000002</v>
      </c>
      <c r="BD329" s="81">
        <f>SUM(BD300,BD299,BD284:BD285,BD234,BD37:BD40,BD64,BD77,BD89,BD101,BD115,BD128,BD141,BD152,BD164,BD176,BD287,BD198,BD250,BD302,BD301,BD286)</f>
        <v>683.86500000000001</v>
      </c>
      <c r="BE329" s="78">
        <f t="shared" si="450"/>
        <v>40.805999999999997</v>
      </c>
      <c r="BF329" s="79">
        <f>SUM(BF300,BF299,BF284:BF285,BF234,BF37:BF40,BF64,BF77,BF89,BF101,BF115,BF128,BF141,BF152,BF164,BF176,BF287,BF198,BF250,BF302,BF301,BF286)</f>
        <v>35.238</v>
      </c>
      <c r="BG329" s="80">
        <f>SUM(BG300,BG299,BG284:BG285,BG234,BG37:BG40,BG64,BG77,BG89,BG101,BG115,BG128,BG141,BG152,BG164,BG176,BG287,BG198,BG250,BG302,BG301,BG286)</f>
        <v>12.943</v>
      </c>
      <c r="BH329" s="81">
        <f>SUM(BH300,BH299,BH284:BH285,BH234,BH37:BH40,BH64,BH77,BH89,BH101,BH115,BH128,BH141,BH152,BH164,BH176,BH287,BH198,BH250,BH302,BH301,BH286)</f>
        <v>5.5679999999999996</v>
      </c>
      <c r="BI329" s="78">
        <f>SUM(BL329,BJ329)</f>
        <v>4996.5389999999989</v>
      </c>
      <c r="BJ329" s="79">
        <f>SUM(BJ300,BJ299,BJ284:BJ285,BJ234,BJ37:BJ40,BJ64,BJ77,BJ89,BJ101,BJ115,BJ128,BJ141,BJ152,BJ164,BJ176,BJ287,BJ198,BJ250,BJ302,BJ301,BJ286)</f>
        <v>4307.1059999999989</v>
      </c>
      <c r="BK329" s="80">
        <f>SUM(BK300,BK299,BK284:BK285,BK234,BK37:BK40,BK64,BK77,BK89,BK101,BK115,BK128,BK141,BK152,BK164,BK176,BK287,BK198,BK250,BK302,BK301,BK286)</f>
        <v>1939.2250000000004</v>
      </c>
      <c r="BL329" s="81">
        <f>SUM(BL300,BL299,BL284:BL285,BL234,BL37:BL40,BL64,BL77,BL89,BL101,BL115,BL128,BL141,BL152,BL164,BL176,BL287,BL198,BL250,BL302,BL301,BL286)</f>
        <v>689.43299999999999</v>
      </c>
    </row>
    <row r="330" spans="1:64" ht="12.9" x14ac:dyDescent="0.35">
      <c r="A330" s="18"/>
      <c r="B330" s="54" t="s">
        <v>45</v>
      </c>
      <c r="C330" s="249">
        <v>7</v>
      </c>
      <c r="D330" s="250"/>
      <c r="E330" s="78">
        <f t="shared" ref="E330:E331" si="452">SUM(H330,F330)</f>
        <v>257.46100000000001</v>
      </c>
      <c r="F330" s="79">
        <f>SUM(F41:F45,F288,F303,F290,F199,F130,F223,F165,F66,F79,F91,F103,F117,F131,F143,F154,F167,F178,F187,F200,F225,F236,F251,F261,F274,F289,F305,F304,F273,F260,F235,F224,F213,F177,F166,F153,F142,F129,F116,F102,F90,F78,F65)</f>
        <v>231.46100000000001</v>
      </c>
      <c r="G330" s="80">
        <f>SUM(G41:G45,G288,G303,G290,G199,G130,G223,G165,G66,G79,G91,G103,G117,G131,G143,G154,G167,G178,G187,G200,G225,G236,G251,G261,G274,G289,G305,G304,G273,G260,G235,G224,G213,G177,G166,G153,G142,G129,G116,G102,G90,G78,G65)</f>
        <v>2.117</v>
      </c>
      <c r="H330" s="81">
        <f>SUM(H41:H45,H288,H303,H290,H199,H130,H223,H165,H66,H79,H91,H103,H117,H131,H143,H154,H167,H178,H187,H200,H225,H236,H251,H261,H274,H289,H305,H304,H273,H260,H235,H224,H213,H177,H166,H153,H142,H129,H116,H102,H90,H78,H65)</f>
        <v>26</v>
      </c>
      <c r="I330" s="78">
        <f t="shared" ref="I330:I331" si="453">SUM(L330,J330)</f>
        <v>0</v>
      </c>
      <c r="J330" s="79">
        <f>SUM(J41:J45,J288,J303,J290,J199,J130,J223,J165,J66,J79,J91,J103,J117,J131,J143,J154,J167,J178,J187,J200,J225,J236,J251,J261,J274,J289,J305,J304,J273,J260,J235,J224,J213,J177,J166,J153,J142,J129,J116,J102,J90,J78,J65)</f>
        <v>0</v>
      </c>
      <c r="K330" s="80">
        <f>SUM(K41:K45,K288,K303,K290,K199,K130,K223,K165,K66,K79,K91,K103,K117,K131,K143,K154,K167,K178,K187,K200,K225,K236,K251,K261,K274,K289,K305,K304,K273,K260,K235,K224,K213,K177,K166,K153,K142,K129,K116,K102,K90,K78,K65)</f>
        <v>0</v>
      </c>
      <c r="L330" s="81">
        <f>SUM(L41:L45,L288,L303,L290,L199,L130,L223,L165,L66,L79,L91,L103,L117,L131,L143,L154,L167,L178,L187,L200,L225,L236,L251,L261,L274,L289,L305,L304,L273,L260,L235,L224,L213,L177,L166,L153,L142,L129,L116,L102,L90,L78,L65)</f>
        <v>0</v>
      </c>
      <c r="M330" s="78">
        <f t="shared" ref="M330:M331" si="454">SUM(P330,N330)</f>
        <v>257.46100000000001</v>
      </c>
      <c r="N330" s="79">
        <f>SUM(N41:N45,N288,N303,N290,N199,N130,N223,N165,N66,N79,N91,N103,N117,N131,N143,N154,N167,N178,N187,N200,N225,N236,N251,N261,N274,N289,N305,N304,N273,N260,N235,N224,N213,N177,N166,N153,N142,N129,N116,N102,N90,N78,N65)</f>
        <v>231.46100000000001</v>
      </c>
      <c r="O330" s="80">
        <f>SUM(O41:O45,O288,O303,O290,O199,O130,O223,O165,O66,O79,O91,O103,O117,O131,O143,O154,O167,O178,O187,O200,O225,O236,O251,O261,O274,O289,O305,O304,O273,O260,O235,O224,O213,O177,O166,O153,O142,O129,O116,O102,O90,O78,O65)</f>
        <v>2.117</v>
      </c>
      <c r="P330" s="81">
        <f>SUM(P41:P45,P288,P303,P290,P199,P130,P223,P165,P66,P79,P91,P103,P117,P131,P143,P154,P167,P178,P187,P200,P225,P236,P251,P261,P274,P289,P305,P304,P273,P260,P235,P224,P213,P177,P166,P153,P142,P129,P116,P102,P90,P78,P65)</f>
        <v>26</v>
      </c>
      <c r="Q330" s="78">
        <f t="shared" ref="Q330:Q331" si="455">SUM(T330,R330)</f>
        <v>5.5600000000000005</v>
      </c>
      <c r="R330" s="79">
        <f>SUM(R41:R45,R288,R303,R290,R199,R130,R223,R165,R66,R79,R91,R103,R117,R131,R143,R154,R167,R178,R187,R200,R225,R236,R251,R261,R274,R289,R305,R304,R273,R260,R235,R224,R213,R177,R166,R153,R142,R129,R116,R102,R90,R78,R65)</f>
        <v>5.5600000000000005</v>
      </c>
      <c r="S330" s="80">
        <f>SUM(S41:S45,S288,S303,S290,S199,S130,S223,S165,S66,S79,S91,S103,S117,S131,S143,S154,S167,S178,S187,S200,S225,S236,S251,S261,S274,S289,S305,S304,S273,S260,S235,S224,S213,S177,S166,S153,S142,S129,S116,S102,S90,S78,S65)</f>
        <v>0</v>
      </c>
      <c r="T330" s="81">
        <f>SUM(T41:T45,T288,T303,T290,T199,T130,T223,T165,T66,T79,T91,T103,T117,T131,T143,T154,T167,T178,T187,T200,T225,T236,T251,T261,T274,T289,T305,T304,T273,T260,T235,T224,T213,T177,T166,T153,T142,T129,T116,T102,T90,T78,T65)</f>
        <v>0</v>
      </c>
      <c r="U330" s="78">
        <f t="shared" ref="U330:U331" si="456">SUM(X330,V330)</f>
        <v>263.02099999999996</v>
      </c>
      <c r="V330" s="79">
        <f>SUM(V41:V45,V288,V303,V290,V199,V130,V223,V165,V66,V79,V91,V103,V117,V131,V143,V154,V167,V178,V187,V200,V225,V236,V251,V261,V274,V289,V305,V304,V273,V260,V235,V224,V213,V177,V166,V153,V142,V129,V116,V102,V90,V78,V65)</f>
        <v>237.02099999999999</v>
      </c>
      <c r="W330" s="80">
        <f>SUM(W41:W45,W288,W303,W290,W199,W130,W223,W165,W66,W79,W91,W103,W117,W131,W143,W154,W167,W178,W187,W200,W225,W236,W251,W261,W274,W289,W305,W304,W273,W260,W235,W224,W213,W177,W166,W153,W142,W129,W116,W102,W90,W78,W65)</f>
        <v>2.117</v>
      </c>
      <c r="X330" s="81">
        <f>SUM(X41:X45,X288,X303,X290,X199,X130,X223,X165,X66,X79,X91,X103,X117,X131,X143,X154,X167,X178,X187,X200,X225,X236,X251,X261,X274,X289,X305,X304,X273,X260,X235,X224,X213,X177,X166,X153,X142,X129,X116,X102,X90,X78,X65)</f>
        <v>26</v>
      </c>
      <c r="Y330" s="78">
        <f t="shared" ref="Y330:Y331" si="457">SUM(AB330,Z330)</f>
        <v>14.01</v>
      </c>
      <c r="Z330" s="79">
        <f>SUM(Z41:Z45,Z288,Z303,Z290,Z199,Z130,Z223,Z165,Z66,Z79,Z91,Z103,Z117,Z131,Z143,Z154,Z167,Z178,Z187,Z200,Z225,Z236,Z251,Z261,Z274,Z289,Z305,Z304,Z273,Z260,Z235,Z224,Z213,Z177,Z166,Z153,Z142,Z129,Z116,Z102,Z90,Z78,Z65)</f>
        <v>14.01</v>
      </c>
      <c r="AA330" s="80">
        <f>SUM(AA41:AA45,AA288,AA303,AA290,AA199,AA130,AA223,AA165,AA66,AA79,AA91,AA103,AA117,AA131,AA143,AA154,AA167,AA178,AA187,AA200,AA225,AA236,AA251,AA261,AA274,AA289,AA305,AA304,AA273,AA260,AA235,AA224,AA213,AA177,AA166,AA153,AA142,AA129,AA116,AA102,AA90,AA78,AA65)</f>
        <v>0</v>
      </c>
      <c r="AB330" s="81">
        <f>SUM(AB41:AB45,AB288,AB303,AB290,AB199,AB130,AB223,AB165,AB66,AB79,AB91,AB103,AB117,AB131,AB143,AB154,AB167,AB178,AB187,AB200,AB225,AB236,AB251,AB261,AB274,AB289,AB305,AB304,AB273,AB260,AB235,AB224,AB213,AB177,AB166,AB153,AB142,AB129,AB116,AB102,AB90,AB78,AB65)</f>
        <v>0</v>
      </c>
      <c r="AC330" s="78">
        <f t="shared" ref="AC330:AC331" si="458">SUM(AF330,AD330)</f>
        <v>277.03099999999995</v>
      </c>
      <c r="AD330" s="79">
        <f>SUM(AD41:AD45,AD288,AD303,AD290,AD199,AD130,AD223,AD165,AD66,AD79,AD91,AD103,AD117,AD131,AD143,AD154,AD167,AD178,AD187,AD200,AD225,AD236,AD251,AD261,AD274,AD289,AD305,AD304,AD273,AD260,AD235,AD224,AD213,AD177,AD166,AD153,AD142,AD129,AD116,AD102,AD90,AD78,AD65)</f>
        <v>251.03099999999998</v>
      </c>
      <c r="AE330" s="80">
        <f>SUM(AE41:AE45,AE288,AE303,AE290,AE199,AE130,AE223,AE165,AE66,AE79,AE91,AE103,AE117,AE131,AE143,AE154,AE167,AE178,AE187,AE200,AE225,AE236,AE251,AE261,AE274,AE289,AE305,AE304,AE273,AE260,AE235,AE224,AE213,AE177,AE166,AE153,AE142,AE129,AE116,AE102,AE90,AE78,AE65)</f>
        <v>2.117</v>
      </c>
      <c r="AF330" s="81">
        <f>SUM(AF41:AF45,AF288,AF303,AF290,AF199,AF130,AF223,AF165,AF66,AF79,AF91,AF103,AF117,AF131,AF143,AF154,AF167,AF178,AF187,AF200,AF225,AF236,AF251,AF261,AF274,AF289,AF305,AF304,AF273,AF260,AF235,AF224,AF213,AF177,AF166,AF153,AF142,AF129,AF116,AF102,AF90,AF78,AF65)</f>
        <v>26</v>
      </c>
      <c r="AG330" s="78">
        <f t="shared" ref="AG330:AG331" si="459">SUM(AJ330,AH330)</f>
        <v>25.504000000000001</v>
      </c>
      <c r="AH330" s="79">
        <f>SUM(AH41:AH45,AH288,AH303,AH290,AH199,AH130,AH223,AH165,AH66,AH79,AH91,AH103,AH117,AH131,AH143,AH154,AH167,AH178,AH187,AH200,AH225,AH236,AH251,AH261,AH274,AH289,AH305,AH304,AH273,AH260,AH235,AH224,AH213,AH177,AH166,AH153,AH142,AH129,AH116,AH102,AH90,AH78,AH65)</f>
        <v>25.504000000000001</v>
      </c>
      <c r="AI330" s="80">
        <f>SUM(AI41:AI45,AI288,AI303,AI290,AI199,AI130,AI223,AI165,AI66,AI79,AI91,AI103,AI117,AI131,AI143,AI154,AI167,AI178,AI187,AI200,AI225,AI236,AI251,AI261,AI274,AI289,AI305,AI304,AI273,AI260,AI235,AI224,AI213,AI177,AI166,AI153,AI142,AI129,AI116,AI102,AI90,AI78,AI65)</f>
        <v>0</v>
      </c>
      <c r="AJ330" s="81">
        <f>SUM(AJ41:AJ45,AJ288,AJ303,AJ290,AJ199,AJ130,AJ223,AJ165,AJ66,AJ79,AJ91,AJ103,AJ117,AJ131,AJ143,AJ154,AJ167,AJ178,AJ187,AJ200,AJ225,AJ236,AJ251,AJ261,AJ274,AJ289,AJ305,AJ304,AJ273,AJ260,AJ235,AJ224,AJ213,AJ177,AJ166,AJ153,AJ142,AJ129,AJ116,AJ102,AJ90,AJ78,AJ65)</f>
        <v>0</v>
      </c>
      <c r="AK330" s="78">
        <f t="shared" ref="AK330:AK331" si="460">SUM(AN330,AL330)</f>
        <v>302.53500000000003</v>
      </c>
      <c r="AL330" s="79">
        <f>SUM(AL41:AL45,AL288,AL303,AL290,AL199,AL130,AL223,AL165,AL66,AL79,AL91,AL103,AL117,AL131,AL143,AL154,AL167,AL178,AL187,AL200,AL225,AL236,AL251,AL261,AL274,AL289,AL305,AL304,AL273,AL260,AL235,AL224,AL213,AL177,AL166,AL153,AL142,AL129,AL116,AL102,AL90,AL78,AL65)</f>
        <v>276.53500000000003</v>
      </c>
      <c r="AM330" s="80">
        <f>SUM(AM41:AM45,AM288,AM303,AM290,AM199,AM130,AM223,AM165,AM66,AM79,AM91,AM103,AM117,AM131,AM143,AM154,AM167,AM178,AM187,AM200,AM225,AM236,AM251,AM261,AM274,AM289,AM305,AM304,AM273,AM260,AM235,AM224,AM213,AM177,AM166,AM153,AM142,AM129,AM116,AM102,AM90,AM78,AM65)</f>
        <v>2.117</v>
      </c>
      <c r="AN330" s="81">
        <f>SUM(AN41:AN45,AN288,AN303,AN290,AN199,AN130,AN223,AN165,AN66,AN79,AN91,AN103,AN117,AN131,AN143,AN154,AN167,AN178,AN187,AN200,AN225,AN236,AN251,AN261,AN274,AN289,AN305,AN304,AN273,AN260,AN235,AN224,AN213,AN177,AN166,AN153,AN142,AN129,AN116,AN102,AN90,AN78,AN65)</f>
        <v>26</v>
      </c>
      <c r="AO330" s="78">
        <f t="shared" ref="AO330:AO331" si="461">SUM(AR330,AP330)</f>
        <v>4.1109999999999998</v>
      </c>
      <c r="AP330" s="79">
        <f>SUM(AP41:AP45,AP288,AP303,AP290,AP199,AP130,AP223,AP165,AP66,AP79,AP91,AP103,AP117,AP131,AP143,AP154,AP167,AP178,AP187,AP200,AP225,AP236,AP251,AP261,AP274,AP289,AP305,AP304,AP273,AP260,AP235,AP224,AP213,AP177,AP166,AP153,AP142,AP129,AP116,AP102,AP90,AP78,AP65)</f>
        <v>3.5469999999999997</v>
      </c>
      <c r="AQ330" s="80">
        <f>SUM(AQ41:AQ45,AQ288,AQ303,AQ290,AQ199,AQ130,AQ223,AQ165,AQ66,AQ79,AQ91,AQ103,AQ117,AQ131,AQ143,AQ154,AQ167,AQ178,AQ187,AQ200,AQ225,AQ236,AQ251,AQ261,AQ274,AQ289,AQ305,AQ304,AQ273,AQ260,AQ235,AQ224,AQ213,AQ177,AQ166,AQ153,AQ142,AQ129,AQ116,AQ102,AQ90,AQ78,AQ65)</f>
        <v>0</v>
      </c>
      <c r="AR330" s="81">
        <f>SUM(AR41:AR45,AR288,AR303,AR290,AR199,AR130,AR223,AR165,AR66,AR79,AR91,AR103,AR117,AR131,AR143,AR154,AR167,AR178,AR187,AR200,AR225,AR236,AR251,AR261,AR274,AR289,AR305,AR304,AR273,AR260,AR235,AR224,AR213,AR177,AR166,AR153,AR142,AR129,AR116,AR102,AR90,AR78,AR65)</f>
        <v>0.56399999999999995</v>
      </c>
      <c r="AS330" s="78">
        <f t="shared" ref="AS330:AS331" si="462">SUM(AV330,AT330)</f>
        <v>306.64600000000007</v>
      </c>
      <c r="AT330" s="79">
        <f>SUM(AT41:AT45,AT288,AT303,AT290,AT199,AT130,AT223,AT165,AT66,AT79,AT91,AT103,AT117,AT131,AT143,AT154,AT167,AT178,AT187,AT200,AT225,AT236,AT251,AT261,AT274,AT289,AT305,AT304,AT273,AT260,AT235,AT224,AT213,AT177,AT166,AT153,AT142,AT129,AT116,AT102,AT90,AT78,AT65)</f>
        <v>280.08200000000005</v>
      </c>
      <c r="AU330" s="80">
        <f>SUM(AU41:AU45,AU288,AU303,AU290,AU199,AU130,AU223,AU165,AU66,AU79,AU91,AU103,AU117,AU131,AU143,AU154,AU167,AU178,AU187,AU200,AU225,AU236,AU251,AU261,AU274,AU289,AU305,AU304,AU273,AU260,AU235,AU224,AU213,AU177,AU166,AU153,AU142,AU129,AU116,AU102,AU90,AU78,AU65)</f>
        <v>2.117</v>
      </c>
      <c r="AV330" s="81">
        <f>SUM(AV41:AV45,AV288,AV303,AV290,AV199,AV130,AV223,AV165,AV66,AV79,AV91,AV103,AV117,AV131,AV143,AV154,AV167,AV178,AV187,AV200,AV225,AV236,AV251,AV261,AV274,AV289,AV305,AV304,AV273,AV260,AV235,AV224,AV213,AV177,AV166,AV153,AV142,AV129,AV116,AV102,AV90,AV78,AV65)</f>
        <v>26.564</v>
      </c>
      <c r="AW330" s="78">
        <f t="shared" ref="AW330" si="463">SUM(AZ330,AX330)</f>
        <v>264.27400000000006</v>
      </c>
      <c r="AX330" s="79">
        <f>SUM(AX41:AX45,AX288,AX303,AX290,AX199,AX130,AX223,AX165,AX66,AX79,AX91,AX103,AX117,AX131,AX143,AX154,AX167,AX178,AX187,AX200,AX225,AX236,AX251,AX261,AX274,AX289,AX305,AX304,AX273,AX260,AX235,AX224,AX213,AX177,AX166,AX153,AX142,AX129,AX116,AX102,AX90,AX78,AX65)</f>
        <v>273.27400000000006</v>
      </c>
      <c r="AY330" s="80">
        <f>SUM(AY41:AY45,AY288,AY303,AY290,AY199,AY130,AY223,AY165,AY66,AY79,AY91,AY103,AY117,AY131,AY143,AY154,AY167,AY178,AY187,AY200,AY225,AY236,AY251,AY261,AY274,AY289,AY305,AY304,AY273,AY260,AY235,AY224,AY213,AY177,AY166,AY153,AY142,AY129,AY116,AY102,AY90,AY78,AY65)</f>
        <v>3.766</v>
      </c>
      <c r="AZ330" s="81">
        <f>SUM(AZ41:AZ45,AZ288,AZ303,AZ290,AZ199,AZ130,AZ223,AZ165,AZ66,AZ79,AZ91,AZ103,AZ117,AZ131,AZ143,AZ154,AZ167,AZ178,AZ187,AZ200,AZ225,AZ236,AZ251,AZ261,AZ274,AZ289,AZ305,AZ304,AZ273,AZ260,AZ235,AZ224,AZ213,AZ177,AZ166,AZ153,AZ142,AZ129,AZ116,AZ102,AZ90,AZ78,AZ65)</f>
        <v>-9</v>
      </c>
      <c r="BA330" s="78">
        <f t="shared" ref="BA330" si="464">SUM(BD330,BB330)</f>
        <v>570.91999999999996</v>
      </c>
      <c r="BB330" s="79">
        <f>SUM(BB41:BB45,BB288,BB303,BB290,BB199,BB130,BB223,BB165,BB66,BB79,BB91,BB103,BB117,BB131,BB143,BB154,BB167,BB178,BB187,BB200,BB225,BB236,BB251,BB261,BB274,BB289,BB305,BB304,BB273,BB260,BB235,BB224,BB213,BB177,BB166,BB153,BB142,BB129,BB116,BB102,BB90,BB78,BB65)</f>
        <v>553.35599999999999</v>
      </c>
      <c r="BC330" s="80">
        <f>SUM(BC41:BC45,BC288,BC303,BC290,BC199,BC130,BC223,BC165,BC66,BC79,BC91,BC103,BC117,BC131,BC143,BC154,BC167,BC178,BC187,BC200,BC225,BC236,BC251,BC261,BC274,BC289,BC305,BC304,BC273,BC260,BC235,BC224,BC213,BC177,BC166,BC153,BC142,BC129,BC116,BC102,BC90,BC78,BC65)</f>
        <v>5.883</v>
      </c>
      <c r="BD330" s="81">
        <f>SUM(BD41:BD45,BD288,BD303,BD290,BD199,BD130,BD223,BD165,BD66,BD79,BD91,BD103,BD117,BD131,BD143,BD154,BD167,BD178,BD187,BD200,BD225,BD236,BD251,BD261,BD274,BD289,BD305,BD304,BD273,BD260,BD235,BD224,BD213,BD177,BD166,BD153,BD142,BD129,BD116,BD102,BD90,BD78,BD65)</f>
        <v>17.564</v>
      </c>
      <c r="BE330" s="78">
        <f t="shared" si="450"/>
        <v>155.459</v>
      </c>
      <c r="BF330" s="79">
        <f>SUM(BF41:BF45,BF288,BF303,BF290,BF199,BF130,BF223,BF165,BF66,BF79,BF91,BF103,BF117,BF131,BF143,BF154,BF167,BF178,BF187,BF200,BF225,BF236,BF251,BF261,BF274,BF289,BF305,BF304,BF273,BF260,BF235,BF224,BF213,BF177,BF166,BF153,BF142,BF129,BF116,BF102,BF90,BF78,BF65)</f>
        <v>154.65899999999999</v>
      </c>
      <c r="BG330" s="80">
        <f>SUM(BG41:BG45,BG288,BG303,BG290,BG199,BG130,BG223,BG165,BG66,BG79,BG91,BG103,BG117,BG131,BG143,BG154,BG167,BG178,BG187,BG200,BG225,BG236,BG251,BG261,BG274,BG289,BG305,BG304,BG273,BG260,BG235,BG224,BG213,BG177,BG166,BG153,BG142,BG129,BG116,BG102,BG90,BG78,BG65)</f>
        <v>0</v>
      </c>
      <c r="BH330" s="81">
        <f>SUM(BH41:BH45,BH288,BH303,BH290,BH199,BH130,BH223,BH165,BH66,BH79,BH91,BH103,BH117,BH131,BH143,BH154,BH167,BH178,BH187,BH200,BH225,BH236,BH251,BH261,BH274,BH289,BH305,BH304,BH273,BH260,BH235,BH224,BH213,BH177,BH166,BH153,BH142,BH129,BH116,BH102,BH90,BH78,BH65)</f>
        <v>0.8</v>
      </c>
      <c r="BI330" s="78">
        <f t="shared" ref="BI330" si="465">SUM(BL330,BJ330)</f>
        <v>726.37900000000002</v>
      </c>
      <c r="BJ330" s="79">
        <f>SUM(BJ41:BJ45,BJ288,BJ303,BJ290,BJ199,BJ130,BJ223,BJ165,BJ66,BJ79,BJ91,BJ103,BJ117,BJ131,BJ143,BJ154,BJ167,BJ178,BJ187,BJ200,BJ225,BJ236,BJ251,BJ261,BJ274,BJ289,BJ305,BJ304,BJ273,BJ260,BJ235,BJ224,BJ213,BJ177,BJ166,BJ153,BJ142,BJ129,BJ116,BJ102,BJ90,BJ78,BJ65)</f>
        <v>708.01499999999999</v>
      </c>
      <c r="BK330" s="80">
        <f>SUM(BK41:BK45,BK288,BK303,BK290,BK199,BK130,BK223,BK165,BK66,BK79,BK91,BK103,BK117,BK131,BK143,BK154,BK167,BK178,BK187,BK200,BK225,BK236,BK251,BK261,BK274,BK289,BK305,BK304,BK273,BK260,BK235,BK224,BK213,BK177,BK166,BK153,BK142,BK129,BK116,BK102,BK90,BK78,BK65)</f>
        <v>5.883</v>
      </c>
      <c r="BL330" s="81">
        <f>SUM(BL41:BL45,BL288,BL303,BL290,BL199,BL130,BL223,BL165,BL66,BL79,BL91,BL103,BL117,BL131,BL143,BL154,BL167,BL178,BL187,BL200,BL225,BL236,BL251,BL261,BL274,BL289,BL305,BL304,BL273,BL260,BL235,BL224,BL213,BL177,BL166,BL153,BL142,BL129,BL116,BL102,BL90,BL78,BL65)</f>
        <v>18.364000000000001</v>
      </c>
    </row>
    <row r="331" spans="1:64" ht="12.9" x14ac:dyDescent="0.35">
      <c r="A331" s="18"/>
      <c r="B331" s="54" t="s">
        <v>46</v>
      </c>
      <c r="C331" s="249">
        <v>8</v>
      </c>
      <c r="D331" s="250"/>
      <c r="E331" s="78">
        <f t="shared" si="452"/>
        <v>2792.6310000000003</v>
      </c>
      <c r="F331" s="79">
        <f>SUM(F46:F49,F291,F67:F68,F80,F92,F104,F105,F118,F133,F132,F144,F155,F156,F168,F179,F188,F201,F237,F252,F275,F306,F307,F214)</f>
        <v>2643.5460000000003</v>
      </c>
      <c r="G331" s="80">
        <f>SUM(G46:G49,G291,G67,G80,G92,G104,G105,G118,G133,G132,G144,G155,G156,G168,G179,G188,G201,G237,G252,G275,G306,G307)</f>
        <v>989.66</v>
      </c>
      <c r="H331" s="81">
        <f>SUM(H46:H49,H291,H67,H80,H92,H104,H105,H118,H133,H132,H144,H155,H156,H168,H179,H188,H201,H237,H252,H275,H306,H307)</f>
        <v>149.08499999999998</v>
      </c>
      <c r="I331" s="78">
        <f t="shared" si="453"/>
        <v>0</v>
      </c>
      <c r="J331" s="79">
        <f>SUM(J46:J49,J291,J67:J68,J80,J92,J104,J105,J118,J133,J132,J144,J155,J156,J168,J179,J188,J201,J237,J252,J275,J306,J307,J214)</f>
        <v>0</v>
      </c>
      <c r="K331" s="80">
        <f>SUM(K46:K49,K291,K67,K80,K92,K104,K105,K118,K133,K132,K144,K155,K156,K168,K179,K188,K201,K237,K252,K275,K306,K307)</f>
        <v>0</v>
      </c>
      <c r="L331" s="81">
        <f>SUM(L46:L49,L291,L67,L80,L92,L104,L105,L118,L133,L132,L144,L155,L156,L168,L179,L188,L201,L237,L252,L275,L306,L307)</f>
        <v>0</v>
      </c>
      <c r="M331" s="78">
        <f t="shared" si="454"/>
        <v>2792.6310000000003</v>
      </c>
      <c r="N331" s="79">
        <f>SUM(N46:N49,N291,N67:N68,N80,N92,N104,N105,N118,N133,N132,N144,N155,N156,N168,N179,N188,N201,N237,N252,N275,N306,N307,N214)</f>
        <v>2643.5460000000003</v>
      </c>
      <c r="O331" s="80">
        <f>SUM(O46:O49,O291,O67,O80,O92,O104,O105,O118,O133,O132,O144,O155,O156,O168,O179,O188,O201,O237,O252,O275,O306,O307)</f>
        <v>989.66</v>
      </c>
      <c r="P331" s="81">
        <f>SUM(P46:P49,P291,P67,P80,P92,P104,P105,P118,P133,P132,P144,P155,P156,P168,P179,P188,P201,P237,P252,P275,P306,P307)</f>
        <v>149.08499999999998</v>
      </c>
      <c r="Q331" s="78">
        <f t="shared" si="455"/>
        <v>0</v>
      </c>
      <c r="R331" s="79">
        <f>SUM(R46:R49,R291,R67:R68,R80,R92,R104,R105,R118,R133,R132,R144,R155,R156,R168,R179,R188,R201,R237,R252,R275,R306,R307,R214)</f>
        <v>0</v>
      </c>
      <c r="S331" s="80">
        <f>SUM(S46:S49,S291,S67,S80,S92,S104,S105,S118,S133,S132,S144,S155,S156,S168,S179,S188,S201,S237,S252,S275,S306,S307)</f>
        <v>0</v>
      </c>
      <c r="T331" s="81">
        <f>SUM(T46:T49,T291,T67,T80,T92,T104,T105,T118,T133,T132,T144,T155,T156,T168,T179,T188,T201,T237,T252,T275,T306,T307)</f>
        <v>0</v>
      </c>
      <c r="U331" s="78">
        <f t="shared" si="456"/>
        <v>2792.6310000000003</v>
      </c>
      <c r="V331" s="79">
        <f>SUM(V46:V49,V291,V67:V68,V80,V92,V104,V105,V118,V133,V132,V144,V155,V156,V168,V179,V188,V201,V237,V252,V275,V306,V307,V214)</f>
        <v>2643.5460000000003</v>
      </c>
      <c r="W331" s="80">
        <f>SUM(W46:W49,W291,W67,W80,W92,W104,W105,W118,W133,W132,W144,W155,W156,W168,W179,W188,W201,W237,W252,W275,W306,W307)</f>
        <v>989.66</v>
      </c>
      <c r="X331" s="81">
        <f>SUM(X46:X49,X291,X67,X80,X92,X104,X105,X118,X133,X132,X144,X155,X156,X168,X179,X188,X201,X237,X252,X275,X306,X307)</f>
        <v>149.08499999999998</v>
      </c>
      <c r="Y331" s="78">
        <f t="shared" si="457"/>
        <v>0</v>
      </c>
      <c r="Z331" s="79">
        <f>SUM(Z46:Z49,Z291,Z67:Z68,Z80,Z92,Z104,Z105,Z118,Z133,Z132,Z144,Z155,Z156,Z168,Z179,Z188,Z201,Z237,Z252,Z275,Z306,Z307,Z214)</f>
        <v>15.801</v>
      </c>
      <c r="AA331" s="80">
        <f>SUM(AA46:AA49,AA291,AA67,AA80,AA92,AA104,AA105,AA118,AA133,AA132,AA144,AA155,AA156,AA168,AA179,AA188,AA201,AA237,AA252,AA275,AA306,AA307)</f>
        <v>-2.4990000000000001</v>
      </c>
      <c r="AB331" s="81">
        <f>SUM(AB46:AB49,AB291,AB67,AB80,AB92,AB104,AB105,AB118,AB133,AB132,AB144,AB155,AB156,AB168,AB179,AB188,AB201,AB237,AB252,AB275,AB306,AB307)</f>
        <v>-15.801</v>
      </c>
      <c r="AC331" s="78">
        <f t="shared" si="458"/>
        <v>2792.6310000000003</v>
      </c>
      <c r="AD331" s="79">
        <f>SUM(AD46:AD49,AD291,AD67:AD68,AD80,AD92,AD104,AD105,AD118,AD133,AD132,AD144,AD155,AD156,AD168,AD179,AD188,AD201,AD237,AD252,AD275,AD306,AD307,AD214)</f>
        <v>2659.3470000000002</v>
      </c>
      <c r="AE331" s="80">
        <f>SUM(AE46:AE49,AE291,AE67,AE80,AE92,AE104,AE105,AE118,AE133,AE132,AE144,AE155,AE156,AE168,AE179,AE188,AE201,AE237,AE252,AE275,AE306,AE307)</f>
        <v>987.16099999999994</v>
      </c>
      <c r="AF331" s="81">
        <f>SUM(AF46:AF49,AF291,AF67,AF80,AF92,AF104,AF105,AF118,AF133,AF132,AF144,AF155,AF156,AF168,AF179,AF188,AF201,AF237,AF252,AF275,AF306,AF307)</f>
        <v>133.28399999999999</v>
      </c>
      <c r="AG331" s="78">
        <f t="shared" si="459"/>
        <v>0</v>
      </c>
      <c r="AH331" s="79">
        <f>SUM(AH46:AH49,AH291,AH67:AH68,AH80,AH92,AH104,AH105,AH118,AH133,AH132,AH144,AH155,AH156,AH168,AH179,AH188,AH201,AH237,AH252,AH275,AH306,AH307,AH214)</f>
        <v>0</v>
      </c>
      <c r="AI331" s="80">
        <f>SUM(AI46:AI49,AI291,AI67,AI80,AI92,AI104,AI105,AI118,AI133,AI132,AI144,AI155,AI156,AI168,AI179,AI188,AI201,AI237,AI252,AI275,AI306,AI307)</f>
        <v>0</v>
      </c>
      <c r="AJ331" s="81">
        <f>SUM(AJ46:AJ49,AJ291,AJ67,AJ80,AJ92,AJ104,AJ105,AJ118,AJ133,AJ132,AJ144,AJ155,AJ156,AJ168,AJ179,AJ188,AJ201,AJ237,AJ252,AJ275,AJ306,AJ307)</f>
        <v>0</v>
      </c>
      <c r="AK331" s="78">
        <f t="shared" si="460"/>
        <v>2792.6310000000003</v>
      </c>
      <c r="AL331" s="79">
        <f>SUM(AL46:AL49,AL291,AL67:AL68,AL80,AL92,AL104,AL105,AL118,AL133,AL132,AL144,AL155,AL156,AL168,AL179,AL188,AL201,AL237,AL252,AL275,AL306,AL307,AL214)</f>
        <v>2659.3470000000002</v>
      </c>
      <c r="AM331" s="80">
        <f>SUM(AM46:AM49,AM291,AM67,AM80,AM92,AM104,AM105,AM118,AM133,AM132,AM144,AM155,AM156,AM168,AM179,AM188,AM201,AM237,AM252,AM275,AM306,AM307)</f>
        <v>987.16099999999994</v>
      </c>
      <c r="AN331" s="81">
        <f>SUM(AN46:AN49,AN291,AN67,AN80,AN92,AN104,AN105,AN118,AN133,AN132,AN144,AN155,AN156,AN168,AN179,AN188,AN201,AN237,AN252,AN275,AN306,AN307)</f>
        <v>133.28399999999999</v>
      </c>
      <c r="AO331" s="78">
        <f t="shared" si="461"/>
        <v>0</v>
      </c>
      <c r="AP331" s="79">
        <f>SUM(AP46:AP49,AP291,AP67:AP68,AP80,AP92,AP104,AP105,AP118,AP133,AP132,AP144,AP155,AP156,AP168,AP179,AP188,AP201,AP237,AP252,AP275,AP306,AP307,AP214)</f>
        <v>0</v>
      </c>
      <c r="AQ331" s="80">
        <f>SUM(AQ46:AQ49,AQ291,AQ67,AQ80,AQ92,AQ104,AQ105,AQ118,AQ133,AQ132,AQ144,AQ155,AQ156,AQ168,AQ179,AQ188,AQ201,AQ237,AQ252,AQ275,AQ306,AQ307)</f>
        <v>0</v>
      </c>
      <c r="AR331" s="81">
        <f>SUM(AR46:AR49,AR291,AR67,AR80,AR92,AR104,AR105,AR118,AR133,AR132,AR144,AR155,AR156,AR168,AR179,AR188,AR201,AR237,AR252,AR275,AR306,AR307)</f>
        <v>0</v>
      </c>
      <c r="AS331" s="78">
        <f t="shared" si="462"/>
        <v>2792.6310000000003</v>
      </c>
      <c r="AT331" s="79">
        <f>SUM(AT46:AT49,AT291,AT67:AT68,AT80,AT92,AT104,AT105,AT118,AT133,AT132,AT144,AT155,AT156,AT168,AT179,AT188,AT201,AT237,AT252,AT275,AT306,AT307,AT214)</f>
        <v>2659.3470000000002</v>
      </c>
      <c r="AU331" s="80">
        <f>SUM(AU46:AU49,AU291,AU67,AU80,AU92,AU104,AU105,AU118,AU133,AU132,AU144,AU155,AU156,AU168,AU179,AU188,AU201,AU237,AU252,AU275,AU306,AU307)</f>
        <v>987.16099999999994</v>
      </c>
      <c r="AV331" s="81">
        <f>SUM(AV46:AV49,AV291,AV67,AV80,AV92,AV104,AV105,AV118,AV133,AV132,AV144,AV155,AV156,AV168,AV179,AV188,AV201,AV237,AV252,AV275,AV306,AV307)</f>
        <v>133.28399999999999</v>
      </c>
      <c r="AW331" s="78">
        <f>SUM(AZ331,AX331)</f>
        <v>26.978000000000002</v>
      </c>
      <c r="AX331" s="79">
        <f>SUM(AX46:AX49,AX291,AX67:AX68,AX80,AX92,AX104,AX105,AX118,AX133,AX132,AX144,AX155,AX156,AX168,AX179,AX188,AX201,AX237,AX252,AX275,AX306,AX307,AX214,AX262)</f>
        <v>12.778</v>
      </c>
      <c r="AY331" s="80">
        <f t="shared" ref="AY331:AZ331" si="466">SUM(AY46:AY49,AY291,AY67:AY68,AY80,AY92,AY104,AY105,AY118,AY133,AY132,AY144,AY155,AY156,AY168,AY179,AY188,AY201,AY237,AY252,AY275,AY306,AY307,AY214,AY262)</f>
        <v>0</v>
      </c>
      <c r="AZ331" s="81">
        <f t="shared" si="466"/>
        <v>14.2</v>
      </c>
      <c r="BA331" s="78">
        <f>SUM(BD331,BB331)</f>
        <v>2819.6090000000004</v>
      </c>
      <c r="BB331" s="79">
        <f>SUM(BB46:BB49,BB291,BB67:BB68,BB80,BB92,BB104,BB105,BB118,BB133,BB132,BB144,BB155,BB156,BB168,BB179,BB188,BB201,BB237,BB252,BB275,BB306,BB307,BB214,BB262)</f>
        <v>2672.1250000000005</v>
      </c>
      <c r="BC331" s="80">
        <f t="shared" ref="BC331:BD331" si="467">SUM(BC46:BC49,BC291,BC67:BC68,BC80,BC92,BC104,BC105,BC118,BC133,BC132,BC144,BC155,BC156,BC168,BC179,BC188,BC201,BC237,BC252,BC275,BC306,BC307,BC214,BC262)</f>
        <v>987.16099999999994</v>
      </c>
      <c r="BD331" s="81">
        <f t="shared" si="467"/>
        <v>147.48399999999998</v>
      </c>
      <c r="BE331" s="78">
        <f>SUM(BH331,BF331)</f>
        <v>0</v>
      </c>
      <c r="BF331" s="79">
        <f>SUM(BF46:BF49,BF291,BF67:BF68,BF80,BF92,BF104,BF105,BF118,BF133,BF132,BF144,BF155,BF156,BF168,BF179,BF188,BF201,BF237,BF252,BF275,BF306,BF307,BF214,BF262)</f>
        <v>0</v>
      </c>
      <c r="BG331" s="80">
        <f t="shared" ref="BG331:BH331" si="468">SUM(BG46:BG49,BG291,BG67:BG68,BG80,BG92,BG104,BG105,BG118,BG133,BG132,BG144,BG155,BG156,BG168,BG179,BG188,BG201,BG237,BG252,BG275,BG306,BG307,BG214,BG262)</f>
        <v>0</v>
      </c>
      <c r="BH331" s="81">
        <f t="shared" si="468"/>
        <v>0</v>
      </c>
      <c r="BI331" s="78">
        <f>SUM(BL331,BJ331)</f>
        <v>2819.6090000000004</v>
      </c>
      <c r="BJ331" s="79">
        <f>SUM(BJ46:BJ49,BJ291,BJ67:BJ68,BJ80,BJ92,BJ104,BJ105,BJ118,BJ133,BJ132,BJ144,BJ155,BJ156,BJ168,BJ179,BJ188,BJ201,BJ237,BJ252,BJ275,BJ306,BJ307,BJ214,BJ262)</f>
        <v>2672.1250000000005</v>
      </c>
      <c r="BK331" s="80">
        <f t="shared" ref="BK331:BL331" si="469">SUM(BK46:BK49,BK291,BK67:BK68,BK80,BK92,BK104,BK105,BK118,BK133,BK132,BK144,BK155,BK156,BK168,BK179,BK188,BK201,BK237,BK252,BK275,BK306,BK307,BK214,BK262)</f>
        <v>987.16099999999994</v>
      </c>
      <c r="BL331" s="81">
        <f t="shared" si="469"/>
        <v>147.48399999999998</v>
      </c>
    </row>
    <row r="332" spans="1:64" ht="12.9" x14ac:dyDescent="0.35">
      <c r="A332" s="18"/>
      <c r="B332" s="54" t="s">
        <v>47</v>
      </c>
      <c r="C332" s="249">
        <v>9</v>
      </c>
      <c r="D332" s="250"/>
      <c r="E332" s="78">
        <f>SUM(H332,F332)</f>
        <v>3686.982</v>
      </c>
      <c r="F332" s="79">
        <f>SUM(F50:F54,F238,F202,F239,F203,F292)</f>
        <v>1089.5339999999999</v>
      </c>
      <c r="G332" s="80">
        <f>SUM(G50:G54,G238,G202,G239,G203,G292)</f>
        <v>315.7</v>
      </c>
      <c r="H332" s="81">
        <f>SUM(H50:H54,H238,H202,H239)</f>
        <v>2597.4480000000003</v>
      </c>
      <c r="I332" s="78">
        <f>SUM(L332,J332)</f>
        <v>42</v>
      </c>
      <c r="J332" s="79">
        <f>SUM(J50:J54,J238,J202,J239,J203,J292)</f>
        <v>42</v>
      </c>
      <c r="K332" s="80">
        <f>SUM(K50:K54,K238,K202,K239,K203,K292)</f>
        <v>0</v>
      </c>
      <c r="L332" s="81">
        <f>SUM(L50:L54,L238,L202,L239)</f>
        <v>0</v>
      </c>
      <c r="M332" s="78">
        <f>SUM(P332,N332)</f>
        <v>3728.982</v>
      </c>
      <c r="N332" s="79">
        <f>SUM(N50:N54,N238,N202,N239,N203,N292)</f>
        <v>1131.5339999999999</v>
      </c>
      <c r="O332" s="80">
        <f>SUM(O50:O54,O238,O202,O239,O203,O292)</f>
        <v>315.7</v>
      </c>
      <c r="P332" s="81">
        <f>SUM(P50:P54,P238,P202,P239)</f>
        <v>2597.4480000000003</v>
      </c>
      <c r="Q332" s="78">
        <f>SUM(T332,R332)</f>
        <v>180.739</v>
      </c>
      <c r="R332" s="79">
        <f>SUM(R50:R54,R238,R202,R239,R203,R292)</f>
        <v>0</v>
      </c>
      <c r="S332" s="80">
        <f>SUM(S50:S54,S238,S202,S239,S203,S292)</f>
        <v>0</v>
      </c>
      <c r="T332" s="81">
        <f>SUM(T50:T54,T238,T202,T239)</f>
        <v>180.739</v>
      </c>
      <c r="U332" s="78">
        <f>SUM(X332,V332)</f>
        <v>3909.7209999999995</v>
      </c>
      <c r="V332" s="79">
        <f>SUM(V50:V54,V238,V202,V239,V203,V292)</f>
        <v>1131.5339999999999</v>
      </c>
      <c r="W332" s="80">
        <f>SUM(W50:W54,W238,W202,W239,W203,W292)</f>
        <v>315.7</v>
      </c>
      <c r="X332" s="81">
        <f>SUM(X50:X54,X238,X202,X239)</f>
        <v>2778.1869999999999</v>
      </c>
      <c r="Y332" s="78">
        <f>SUM(AB332,Z332)</f>
        <v>22.446999999999999</v>
      </c>
      <c r="Z332" s="79">
        <f>SUM(Z50:Z54,Z238,Z202,Z239,Z203,Z292)</f>
        <v>8.2100000000000009</v>
      </c>
      <c r="AA332" s="80">
        <f>SUM(AA50:AA54,AA238,AA202,AA239,AA203,AA292)</f>
        <v>0</v>
      </c>
      <c r="AB332" s="81">
        <f>SUM(AB50:AB54,AB238,AB202,AB239)</f>
        <v>14.236999999999998</v>
      </c>
      <c r="AC332" s="78">
        <f>SUM(AF332,AD332)</f>
        <v>3932.1679999999997</v>
      </c>
      <c r="AD332" s="79">
        <f>SUM(AD50:AD54,AD238,AD202,AD239,AD203,AD292)</f>
        <v>1139.7439999999999</v>
      </c>
      <c r="AE332" s="80">
        <f>SUM(AE50:AE54,AE238,AE202,AE239,AE203,AE292)</f>
        <v>315.7</v>
      </c>
      <c r="AF332" s="81">
        <f>SUM(AF50:AF54,AF238,AF202,AF239)</f>
        <v>2792.424</v>
      </c>
      <c r="AG332" s="78">
        <f>SUM(AJ332,AH332)</f>
        <v>0</v>
      </c>
      <c r="AH332" s="79">
        <f>SUM(AH50:AH54,AH238,AH202,AH239,AH203,AH292)</f>
        <v>0</v>
      </c>
      <c r="AI332" s="80">
        <f>SUM(AI50:AI54,AI238,AI202,AI239,AI203,AI292)</f>
        <v>0</v>
      </c>
      <c r="AJ332" s="81">
        <f>SUM(AJ50:AJ54,AJ238,AJ202,AJ239)</f>
        <v>0</v>
      </c>
      <c r="AK332" s="78">
        <f>SUM(AN332,AL332)</f>
        <v>3932.1679999999997</v>
      </c>
      <c r="AL332" s="79">
        <f>SUM(AL50:AL54,AL238,AL202,AL239,AL203,AL292)</f>
        <v>1139.7439999999999</v>
      </c>
      <c r="AM332" s="80">
        <f>SUM(AM50:AM54,AM238,AM202,AM239,AM203,AM292)</f>
        <v>315.7</v>
      </c>
      <c r="AN332" s="81">
        <f>SUM(AN50:AN54,AN238,AN202,AN239)</f>
        <v>2792.424</v>
      </c>
      <c r="AO332" s="78">
        <f>SUM(AR332,AP332)</f>
        <v>11.038999999999998</v>
      </c>
      <c r="AP332" s="79">
        <f>SUM(AP50:AP54,AP238,AP202,AP239,AP203,AP292)</f>
        <v>21.038999999999998</v>
      </c>
      <c r="AQ332" s="80">
        <f>SUM(AQ50:AQ54,AQ238,AQ202,AQ239,AQ203,AQ292)</f>
        <v>-2.52</v>
      </c>
      <c r="AR332" s="81">
        <f>SUM(AR50:AR54,AR238,AR202,AR239)</f>
        <v>-10</v>
      </c>
      <c r="AS332" s="78">
        <f>SUM(AV332,AT332)</f>
        <v>3943.2069999999999</v>
      </c>
      <c r="AT332" s="79">
        <f>SUM(AT50:AT54,AT238,AT202,AT239,AT203,AT292)</f>
        <v>1160.7829999999999</v>
      </c>
      <c r="AU332" s="80">
        <f>SUM(AU50:AU54,AU238,AU202,AU239,AU203,AU292)</f>
        <v>313.18</v>
      </c>
      <c r="AV332" s="81">
        <f>SUM(AV50:AV54,AV238,AV202,AV239)</f>
        <v>2782.424</v>
      </c>
      <c r="AW332" s="78">
        <f>SUM(AZ332,AX332)</f>
        <v>-42.8</v>
      </c>
      <c r="AX332" s="79">
        <f>SUM(AX50:AX54,AX238,AX202,AX239,AX203,AX292)</f>
        <v>-38.799999999999997</v>
      </c>
      <c r="AY332" s="80">
        <f>SUM(AY50:AY54,AY238,AY202,AY239,AY203,AY292)</f>
        <v>0</v>
      </c>
      <c r="AZ332" s="81">
        <f>SUM(AZ50:AZ54,AZ238,AZ202,AZ239)</f>
        <v>-4</v>
      </c>
      <c r="BA332" s="78">
        <f>SUM(BD332,BB332)</f>
        <v>3900.4069999999997</v>
      </c>
      <c r="BB332" s="79">
        <f>SUM(BB50:BB54,BB238,BB202,BB239,BB203,BB292)</f>
        <v>1121.9829999999997</v>
      </c>
      <c r="BC332" s="80">
        <f>SUM(BC50:BC54,BC238,BC202,BC239,BC203,BC292)</f>
        <v>313.18</v>
      </c>
      <c r="BD332" s="81">
        <f>SUM(BD50:BD54,BD238,BD202,BD239)</f>
        <v>2778.424</v>
      </c>
      <c r="BE332" s="78">
        <f>SUM(BH332,BF332)</f>
        <v>66.820000000000007</v>
      </c>
      <c r="BF332" s="79">
        <f>SUM(BF50:BF54,BF238,BF202,BF239,BF203,BF292)</f>
        <v>2.3739999999999997</v>
      </c>
      <c r="BG332" s="80">
        <f>SUM(BG50:BG54,BG238,BG202,BG239,BG203,BG292)</f>
        <v>0</v>
      </c>
      <c r="BH332" s="81">
        <f>SUM(BH50:BH54,BH238,BH202,BH239)</f>
        <v>64.446000000000012</v>
      </c>
      <c r="BI332" s="78">
        <f>SUM(BL332,BJ332)</f>
        <v>3967.2269999999999</v>
      </c>
      <c r="BJ332" s="79">
        <f>SUM(BJ50:BJ54,BJ238,BJ202,BJ239,BJ203,BJ292)</f>
        <v>1124.3569999999997</v>
      </c>
      <c r="BK332" s="80">
        <f>SUM(BK50:BK54,BK238,BK202,BK239,BK203,BK292)</f>
        <v>313.18</v>
      </c>
      <c r="BL332" s="81">
        <f>SUM(BL50:BL54,BL238,BL202,BL239)</f>
        <v>2842.87</v>
      </c>
    </row>
    <row r="333" spans="1:64" ht="13.3" thickBot="1" x14ac:dyDescent="0.4">
      <c r="A333" s="22"/>
      <c r="B333" s="56" t="s">
        <v>48</v>
      </c>
      <c r="C333" s="260">
        <v>10</v>
      </c>
      <c r="D333" s="261"/>
      <c r="E333" s="99">
        <f>SUM(H333,F333)</f>
        <v>4280.6469999999999</v>
      </c>
      <c r="F333" s="100">
        <f>SUM(F253,F169,F145,F276,F240,F55:F57,F69,F82,F119,F134,F107,F93,F278,F293,F294,F277,F308,F180,F204,F189,F157,F205,F263,F215)</f>
        <v>1261.9189999999999</v>
      </c>
      <c r="G333" s="101">
        <f>SUM(G253,G169,G145,G276,G240,G55:G57,G69,G82,G119,G134,G107,G93,G278,G293,G294,G277,G308,G180,G204,G189,G157,G205,G263,G215)</f>
        <v>37.770000000000003</v>
      </c>
      <c r="H333" s="102">
        <f>SUM(H253,H169,H145,H276,H240,H55:H57,H69,H82,H119,H134,H107,H93,H278,H293,H294,H277,H308,H180,H204,H189,H157,H205,H263,H215)</f>
        <v>3018.7280000000001</v>
      </c>
      <c r="I333" s="99">
        <f>SUM(L333,J333)</f>
        <v>-12.310000000000002</v>
      </c>
      <c r="J333" s="100">
        <f>SUM(J253,J169,J145,J276,J240,J55:J57,J69,J82,J119,J134,J107,J93,J278,J293,J294,J277,J308,J180,J204,J189,J157,J205,J263,J215)</f>
        <v>-0.60000000000000098</v>
      </c>
      <c r="K333" s="101">
        <f>SUM(K253,K169,K145,K276,K240,K55:K57,K69,K82,K119,K134,K107,K93,K278,K293,K294,K277,K308,K180,K204,K189,K157,K205,K263,K215)</f>
        <v>5.0279999999999996</v>
      </c>
      <c r="L333" s="102">
        <f>SUM(L253,L169,L145,L276,L240,L55:L57,L69,L82,L119,L134,L107,L93,L278,L293,L294,L277,L308,L180,L204,L189,L157,L205,L263,L215)</f>
        <v>-11.71</v>
      </c>
      <c r="M333" s="99">
        <f>SUM(P333,N333)</f>
        <v>4268.3370000000004</v>
      </c>
      <c r="N333" s="100">
        <f>SUM(N253,N169,N145,N276,N240,N55:N57,N69,N82,N119,N134,N107,N93,N278,N293,N294,N277,N308,N180,N204,N189,N157,N205,N263,N215)</f>
        <v>1261.3190000000002</v>
      </c>
      <c r="O333" s="101">
        <f>SUM(O253,O169,O145,O276,O240,O55:O57,O69,O82,O119,O134,O107,O93,O278,O293,O294,O277,O308,O180,O204,O189,O157,O205,O263,O215)</f>
        <v>42.798000000000002</v>
      </c>
      <c r="P333" s="102">
        <f>SUM(P253,P169,P145,P276,P240,P55:P57,P69,P82,P119,P134,P107,P93,P278,P293,P294,P277,P308,P180,P204,P189,P157,P205,P263,P215)</f>
        <v>3007.018</v>
      </c>
      <c r="Q333" s="99">
        <f>SUM(T333,R333)</f>
        <v>654.077</v>
      </c>
      <c r="R333" s="100">
        <f>SUM(R253,R169,R145,R276,R240,R55:R57,R69,R82,R119,R134,R107,R93,R278,R293,R294,R277,R308,R180,R204,R189,R157,R205,R263,R215,R264,R226,R216)</f>
        <v>627.87699999999995</v>
      </c>
      <c r="S333" s="101">
        <f>SUM(S253,S169,S145,S276,S240,S55:S57,S69,S82,S119,S134,S107,S93,S278,S293,S294,S277,S308,S180,S204,S189,S157,S205,S263,S215,S264,S226,S216)</f>
        <v>0</v>
      </c>
      <c r="T333" s="102">
        <f>SUM(T253,T169,T145,T276,T240,T55:T57,T69,T82,T119,T134,T107,T93,T278,T293,T294,T277,T308,T180,T204,T189,T157,T205,T263,T215,T264,T226,T216)</f>
        <v>26.2</v>
      </c>
      <c r="U333" s="99">
        <f>SUM(X333,V333)</f>
        <v>4922.4139999999998</v>
      </c>
      <c r="V333" s="100">
        <f>SUM(V253,V169,V145,V276,V240,V55:V57,V69,V82,V119,V134,V107,V93,V278,V293,V294,V277,V308,V180,V204,V189,V157,V205,V263,V215,V264,V226,V216)</f>
        <v>1889.1959999999999</v>
      </c>
      <c r="W333" s="101">
        <f>SUM(W253,W169,W145,W276,W240,W55:W57,W69,W82,W119,W134,W107,W93,W278,W293,W294,W277,W308,W180,W204,W189,W157,W205,W263,W215,W264,W226,W216)</f>
        <v>42.798000000000002</v>
      </c>
      <c r="X333" s="102">
        <f>SUM(X253,X169,X145,X276,X240,X55:X57,X69,X82,X119,X134,X107,X93,X278,X293,X294,X277,X308,X180,X204,X189,X157,X205,X263,X215,X264,X226,X216)</f>
        <v>3033.2179999999998</v>
      </c>
      <c r="Y333" s="99">
        <f>SUM(AB333,Z333)</f>
        <v>142.833</v>
      </c>
      <c r="Z333" s="100">
        <f>SUM(Z253,Z169,Z145,Z276,Z240,Z55:Z57,Z69,Z82,Z119,Z134,Z107,Z93,Z278,Z293,Z294,Z277,Z308,Z180,Z204,Z189,Z157,Z205,Z263,Z215,Z264,Z226,Z216,Z181)</f>
        <v>4.5540000000000056</v>
      </c>
      <c r="AA333" s="101">
        <f t="shared" ref="AA333:AB333" si="470">SUM(AA253,AA169,AA145,AA276,AA240,AA55:AA57,AA69,AA82,AA119,AA134,AA107,AA93,AA278,AA293,AA294,AA277,AA308,AA180,AA204,AA189,AA157,AA205,AA263,AA215,AA264,AA226,AA216,AA181)</f>
        <v>0</v>
      </c>
      <c r="AB333" s="102">
        <f t="shared" si="470"/>
        <v>138.279</v>
      </c>
      <c r="AC333" s="99">
        <f>SUM(AF333,AD333)</f>
        <v>5065.2470000000003</v>
      </c>
      <c r="AD333" s="100">
        <f>SUM(AD253,AD169,AD145,AD276,AD240,AD55:AD57,AD69,AD82,AD119,AD134,AD107,AD93,AD278,AD293,AD294,AD277,AD308,AD180,AD204,AD189,AD157,AD205,AD263,AD215,AD264,AD226,AD216,AD181)</f>
        <v>1893.7499999999998</v>
      </c>
      <c r="AE333" s="101">
        <f t="shared" ref="AE333:AF333" si="471">SUM(AE253,AE169,AE145,AE276,AE240,AE55:AE57,AE69,AE82,AE119,AE134,AE107,AE93,AE278,AE293,AE294,AE277,AE308,AE180,AE204,AE189,AE157,AE205,AE263,AE215,AE264,AE226,AE216,AE181)</f>
        <v>42.798000000000002</v>
      </c>
      <c r="AF333" s="102">
        <f t="shared" si="471"/>
        <v>3171.4970000000003</v>
      </c>
      <c r="AG333" s="99">
        <f>SUM(AJ333,AH333)</f>
        <v>238.274</v>
      </c>
      <c r="AH333" s="100">
        <f>SUM(AH253,AH169,AH145,AH276,AH240,AH55:AH57,AH69,AH82,AH119,AH134,AH107,AH93,AH278,AH293,AH294,AH277,AH308,AH180,AH204,AH189,AH157,AH205,AH263,AH215,AH264,AH226,AH216,AH181,AH120)</f>
        <v>6.2169999999999996</v>
      </c>
      <c r="AI333" s="101">
        <f t="shared" ref="AI333:AJ333" si="472">SUM(AI253,AI169,AI145,AI276,AI240,AI55:AI57,AI69,AI82,AI119,AI134,AI107,AI93,AI278,AI293,AI294,AI277,AI308,AI180,AI204,AI189,AI157,AI205,AI263,AI215,AI264,AI226,AI216,AI181)</f>
        <v>0</v>
      </c>
      <c r="AJ333" s="102">
        <f t="shared" si="472"/>
        <v>232.05699999999999</v>
      </c>
      <c r="AK333" s="99">
        <f>SUM(AN333,AL333)</f>
        <v>5303.5209999999997</v>
      </c>
      <c r="AL333" s="100">
        <f>SUM(AL253,AL169,AL145,AL276,AL240,AL55:AL57,AL69,AL82,AL119,AL134,AL107,AL93,AL278,AL293,AL294,AL277,AL308,AL180,AL204,AL189,AL157,AL205,AL263,AL215,AL264,AL226,AL216,AL181,AL120)</f>
        <v>1899.9669999999999</v>
      </c>
      <c r="AM333" s="101">
        <f t="shared" ref="AM333:AN333" si="473">SUM(AM253,AM169,AM145,AM276,AM240,AM55:AM57,AM69,AM82,AM119,AM134,AM107,AM93,AM278,AM293,AM294,AM277,AM308,AM180,AM204,AM189,AM157,AM205,AM263,AM215,AM264,AM226,AM216,AM181)</f>
        <v>42.798000000000002</v>
      </c>
      <c r="AN333" s="102">
        <f t="shared" si="473"/>
        <v>3403.5540000000001</v>
      </c>
      <c r="AO333" s="99">
        <f>SUM(AR333,AP333)</f>
        <v>90.781000000000006</v>
      </c>
      <c r="AP333" s="100">
        <f>SUM(AP253,AP169,AP145,AP276,AP240,AP55:AP57,AP69,AP82,AP119,AP134,AP107,AP93,AP278,AP293,AP294,AP277,AP308,AP180,AP204,AP189,AP157,AP205,AP263,AP215,AP264,AP226,AP216,AP181,AP120)</f>
        <v>49.819000000000003</v>
      </c>
      <c r="AQ333" s="101">
        <f t="shared" ref="AQ333:AR333" si="474">SUM(AQ253,AQ169,AQ145,AQ276,AQ240,AQ55:AQ57,AQ69,AQ82,AQ119,AQ134,AQ107,AQ93,AQ278,AQ293,AQ294,AQ277,AQ308,AQ180,AQ204,AQ189,AQ157,AQ205,AQ263,AQ215,AQ264,AQ226,AQ216,AQ181)</f>
        <v>5.45</v>
      </c>
      <c r="AR333" s="102">
        <f t="shared" si="474"/>
        <v>40.961999999999996</v>
      </c>
      <c r="AS333" s="99">
        <f>SUM(AV333,AT333)</f>
        <v>5394.3019999999997</v>
      </c>
      <c r="AT333" s="100">
        <f>SUM(AT253,AT169,AT145,AT276,AT240,AT55:AT57,AT69,AT82,AT119,AT134,AT107,AT93,AT278,AT293,AT294,AT277,AT308,AT180,AT204,AT189,AT157,AT205,AT263,AT215,AT264,AT226,AT216,AT181,AT120)</f>
        <v>1949.7860000000001</v>
      </c>
      <c r="AU333" s="101">
        <f t="shared" ref="AU333:AV333" si="475">SUM(AU253,AU169,AU145,AU276,AU240,AU55:AU57,AU69,AU82,AU119,AU134,AU107,AU93,AU278,AU293,AU294,AU277,AU308,AU180,AU204,AU189,AU157,AU205,AU263,AU215,AU264,AU226,AU216,AU181)</f>
        <v>48.248000000000005</v>
      </c>
      <c r="AV333" s="102">
        <f t="shared" si="475"/>
        <v>3444.5160000000001</v>
      </c>
      <c r="AW333" s="99">
        <f>SUM(AZ333,AX333)</f>
        <v>927.07600000000002</v>
      </c>
      <c r="AX333" s="100">
        <f>SUM(AX253,AX169,AX145,AX276,AX240,AX55:AX57,AX69,AX82,AX119,AX134,AX107,AX93,AX278,AX293,AX294,AX277,AX308,AX180,AX204,AX189,AX157,AX205,AX263,AX215,AX264,AX226,AX216,AX181,AX120,AX106,AX81)</f>
        <v>-182.239</v>
      </c>
      <c r="AY333" s="101">
        <f t="shared" ref="AY333:AZ333" si="476">SUM(AY253,AY169,AY145,AY276,AY240,AY55:AY57,AY69,AY82,AY119,AY134,AY107,AY93,AY278,AY293,AY294,AY277,AY308,AY180,AY204,AY189,AY157,AY205,AY263,AY215,AY264,AY226,AY216,AY181,AY120,AY106,AY81)</f>
        <v>1.143</v>
      </c>
      <c r="AZ333" s="102">
        <f t="shared" si="476"/>
        <v>1109.3150000000001</v>
      </c>
      <c r="BA333" s="99">
        <f>SUM(BD333,BB333)</f>
        <v>6321.3780000000006</v>
      </c>
      <c r="BB333" s="100">
        <f>SUM(BB253,BB169,BB145,BB276,BB240,BB55:BB57,BB69,BB82,BB119,BB134,BB107,BB93,BB278,BB293,BB294,BB277,BB308,BB180,BB204,BB189,BB157,BB205,BB263,BB215,BB264,BB226,BB216,BB181,BB120,BB106,BB81)</f>
        <v>1767.5470000000003</v>
      </c>
      <c r="BC333" s="101">
        <f t="shared" ref="BC333:BD333" si="477">SUM(BC253,BC169,BC145,BC276,BC240,BC55:BC57,BC69,BC82,BC119,BC134,BC107,BC93,BC278,BC293,BC294,BC277,BC308,BC180,BC204,BC189,BC157,BC205,BC263,BC215,BC264,BC226,BC216,BC181,BC120,BC106,BC81)</f>
        <v>49.391000000000005</v>
      </c>
      <c r="BD333" s="102">
        <f t="shared" si="477"/>
        <v>4553.8310000000001</v>
      </c>
      <c r="BE333" s="99">
        <f>SUM(BH333,BF333)</f>
        <v>245.399</v>
      </c>
      <c r="BF333" s="100">
        <f>SUM(BF253,BF169,BF145,BF276,BF240,BF55:BF57,BF69,BF82,BF119,BF134,BF107,BF93,BF278,BF293,BF294,BF277,BF308,BF180,BF204,BF189,BF157,BF205,BF263,BF215,BF264,BF226,BF216,BF181,BF120,BF106,BF81)</f>
        <v>64.11</v>
      </c>
      <c r="BG333" s="101">
        <f t="shared" ref="BG333:BH333" si="478">SUM(BG253,BG169,BG145,BG276,BG240,BG55:BG57,BG69,BG82,BG119,BG134,BG107,BG93,BG278,BG293,BG294,BG277,BG308,BG180,BG204,BG189,BG157,BG205,BG263,BG215,BG264,BG226,BG216,BG181,BG120,BG106,BG81)</f>
        <v>0</v>
      </c>
      <c r="BH333" s="102">
        <f t="shared" si="478"/>
        <v>181.28899999999999</v>
      </c>
      <c r="BI333" s="99">
        <f>SUM(BL333,BJ333)</f>
        <v>6566.777</v>
      </c>
      <c r="BJ333" s="100">
        <f>SUM(BJ253,BJ169,BJ145,BJ276,BJ240,BJ55:BJ57,BJ69,BJ82,BJ119,BJ134,BJ107,BJ93,BJ278,BJ293,BJ294,BJ277,BJ308,BJ180,BJ204,BJ189,BJ157,BJ205,BJ263,BJ215,BJ264,BJ226,BJ216,BJ181,BJ120,BJ106,BJ81)</f>
        <v>1831.6569999999999</v>
      </c>
      <c r="BK333" s="101">
        <f t="shared" ref="BK333:BL333" si="479">SUM(BK253,BK169,BK145,BK276,BK240,BK55:BK57,BK69,BK82,BK119,BK134,BK107,BK93,BK278,BK293,BK294,BK277,BK308,BK180,BK204,BK189,BK157,BK205,BK263,BK215,BK264,BK226,BK216,BK181,BK120,BK106,BK81)</f>
        <v>49.391000000000005</v>
      </c>
      <c r="BL333" s="102">
        <f t="shared" si="479"/>
        <v>4735.12</v>
      </c>
    </row>
    <row r="334" spans="1:64" ht="12.9" x14ac:dyDescent="0.35">
      <c r="A334" s="21"/>
      <c r="B334" s="66" t="s">
        <v>2</v>
      </c>
      <c r="C334" s="253"/>
      <c r="D334" s="254"/>
      <c r="E334" s="91"/>
      <c r="F334" s="92"/>
      <c r="G334" s="93"/>
      <c r="H334" s="94"/>
      <c r="I334" s="91"/>
      <c r="J334" s="92"/>
      <c r="K334" s="93"/>
      <c r="L334" s="94"/>
      <c r="M334" s="91"/>
      <c r="N334" s="92"/>
      <c r="O334" s="93"/>
      <c r="P334" s="94"/>
      <c r="Q334" s="91"/>
      <c r="R334" s="92"/>
      <c r="S334" s="93"/>
      <c r="T334" s="94"/>
      <c r="U334" s="91"/>
      <c r="V334" s="92"/>
      <c r="W334" s="93"/>
      <c r="X334" s="94"/>
      <c r="Y334" s="91"/>
      <c r="Z334" s="92"/>
      <c r="AA334" s="93"/>
      <c r="AB334" s="94"/>
      <c r="AC334" s="91"/>
      <c r="AD334" s="92"/>
      <c r="AE334" s="93"/>
      <c r="AF334" s="94"/>
      <c r="AG334" s="91"/>
      <c r="AH334" s="92"/>
      <c r="AI334" s="93"/>
      <c r="AJ334" s="94"/>
      <c r="AK334" s="91"/>
      <c r="AL334" s="92"/>
      <c r="AM334" s="93"/>
      <c r="AN334" s="94"/>
      <c r="AO334" s="91"/>
      <c r="AP334" s="92"/>
      <c r="AQ334" s="93"/>
      <c r="AR334" s="94"/>
      <c r="AS334" s="91"/>
      <c r="AT334" s="92"/>
      <c r="AU334" s="93"/>
      <c r="AV334" s="94"/>
      <c r="AW334" s="91"/>
      <c r="AX334" s="92"/>
      <c r="AY334" s="93"/>
      <c r="AZ334" s="94"/>
      <c r="BA334" s="91"/>
      <c r="BB334" s="92"/>
      <c r="BC334" s="93"/>
      <c r="BD334" s="94"/>
      <c r="BE334" s="91"/>
      <c r="BF334" s="92"/>
      <c r="BG334" s="93"/>
      <c r="BH334" s="94"/>
      <c r="BI334" s="91"/>
      <c r="BJ334" s="92"/>
      <c r="BK334" s="93"/>
      <c r="BL334" s="94"/>
    </row>
    <row r="335" spans="1:64" ht="12.9" x14ac:dyDescent="0.35">
      <c r="A335" s="11"/>
      <c r="B335" s="29" t="s">
        <v>138</v>
      </c>
      <c r="C335" s="77"/>
      <c r="D335" s="59"/>
      <c r="E335" s="78">
        <f>F335+H335</f>
        <v>5952.3649999999998</v>
      </c>
      <c r="F335" s="79">
        <f>2067.723-4+70</f>
        <v>2133.723</v>
      </c>
      <c r="G335" s="80">
        <f>468.271-0.7</f>
        <v>467.57100000000003</v>
      </c>
      <c r="H335" s="81">
        <f>3884.642+4-70</f>
        <v>3818.6419999999998</v>
      </c>
      <c r="I335" s="78">
        <f>J335+L335</f>
        <v>0</v>
      </c>
      <c r="J335" s="79">
        <f>-4.7-4.259</f>
        <v>-8.9589999999999996</v>
      </c>
      <c r="K335" s="80"/>
      <c r="L335" s="81">
        <f>4.7+4.259</f>
        <v>8.9589999999999996</v>
      </c>
      <c r="M335" s="78">
        <f>N335+P335</f>
        <v>5952.3649999999998</v>
      </c>
      <c r="N335" s="79">
        <f t="shared" ref="N335:P337" si="480">F335+J335</f>
        <v>2124.7640000000001</v>
      </c>
      <c r="O335" s="80">
        <f t="shared" si="480"/>
        <v>467.57100000000003</v>
      </c>
      <c r="P335" s="81">
        <f t="shared" si="480"/>
        <v>3827.6009999999997</v>
      </c>
      <c r="Q335" s="78">
        <f>R335+T335</f>
        <v>0</v>
      </c>
      <c r="R335" s="79">
        <v>8.52</v>
      </c>
      <c r="S335" s="80"/>
      <c r="T335" s="81">
        <v>-8.52</v>
      </c>
      <c r="U335" s="78">
        <f>V335+X335</f>
        <v>5952.3649999999998</v>
      </c>
      <c r="V335" s="79">
        <f t="shared" ref="V335:V337" si="481">N335+R335</f>
        <v>2133.2840000000001</v>
      </c>
      <c r="W335" s="80">
        <f t="shared" ref="W335:W337" si="482">O335+S335</f>
        <v>467.57100000000003</v>
      </c>
      <c r="X335" s="81">
        <f t="shared" ref="X335:X337" si="483">P335+T335</f>
        <v>3819.0809999999997</v>
      </c>
      <c r="Y335" s="78">
        <f>Z335+AB335</f>
        <v>0</v>
      </c>
      <c r="Z335" s="79">
        <f>3+6+13.801</f>
        <v>22.801000000000002</v>
      </c>
      <c r="AA335" s="80"/>
      <c r="AB335" s="81">
        <f>-3-6-13.801</f>
        <v>-22.801000000000002</v>
      </c>
      <c r="AC335" s="78">
        <f>AD335+AF335</f>
        <v>5952.3649999999998</v>
      </c>
      <c r="AD335" s="79">
        <f t="shared" ref="AD335:AD337" si="484">V335+Z335</f>
        <v>2156.085</v>
      </c>
      <c r="AE335" s="80">
        <f t="shared" ref="AE335:AE337" si="485">W335+AA335</f>
        <v>467.57100000000003</v>
      </c>
      <c r="AF335" s="81">
        <f t="shared" ref="AF335:AF337" si="486">X335+AB335</f>
        <v>3796.2799999999997</v>
      </c>
      <c r="AG335" s="78">
        <f>AH335+AJ335</f>
        <v>0</v>
      </c>
      <c r="AH335" s="79">
        <v>6.2169999999999996</v>
      </c>
      <c r="AI335" s="80"/>
      <c r="AJ335" s="81">
        <v>-6.2169999999999996</v>
      </c>
      <c r="AK335" s="78">
        <f>AL335+AN335</f>
        <v>5952.3649999999998</v>
      </c>
      <c r="AL335" s="79">
        <f t="shared" ref="AL335:AL337" si="487">AD335+AH335</f>
        <v>2162.3020000000001</v>
      </c>
      <c r="AM335" s="80">
        <f t="shared" ref="AM335:AM337" si="488">AE335+AI335</f>
        <v>467.57100000000003</v>
      </c>
      <c r="AN335" s="81">
        <f t="shared" ref="AN335:AN337" si="489">AF335+AJ335</f>
        <v>3790.0629999999996</v>
      </c>
      <c r="AO335" s="78">
        <f>AP335+AR335</f>
        <v>0</v>
      </c>
      <c r="AP335" s="79">
        <f>-8.91+13.756</f>
        <v>4.8460000000000001</v>
      </c>
      <c r="AQ335" s="80">
        <f>-10+1.43</f>
        <v>-8.57</v>
      </c>
      <c r="AR335" s="81">
        <f>8.91-13.756</f>
        <v>-4.8460000000000001</v>
      </c>
      <c r="AS335" s="78">
        <f>AT335+AV335</f>
        <v>5952.3649999999998</v>
      </c>
      <c r="AT335" s="79">
        <f t="shared" ref="AT335:AT337" si="490">AL335+AP335</f>
        <v>2167.1480000000001</v>
      </c>
      <c r="AU335" s="80">
        <f t="shared" ref="AU335:AU337" si="491">AM335+AQ335</f>
        <v>459.00100000000003</v>
      </c>
      <c r="AV335" s="81">
        <f t="shared" ref="AV335:AV337" si="492">AN335+AR335</f>
        <v>3785.2169999999996</v>
      </c>
      <c r="AW335" s="78">
        <f>AX335+AZ335</f>
        <v>0</v>
      </c>
      <c r="AX335" s="79">
        <v>-64.706999999999994</v>
      </c>
      <c r="AY335" s="80">
        <v>-0.82499999999999996</v>
      </c>
      <c r="AZ335" s="81">
        <v>64.706999999999994</v>
      </c>
      <c r="BA335" s="78">
        <f>BB335+BD335</f>
        <v>5952.3649999999998</v>
      </c>
      <c r="BB335" s="79">
        <f t="shared" ref="BB335:BB337" si="493">AT335+AX335</f>
        <v>2102.4410000000003</v>
      </c>
      <c r="BC335" s="80">
        <f t="shared" ref="BC335:BC337" si="494">AU335+AY335</f>
        <v>458.17600000000004</v>
      </c>
      <c r="BD335" s="81">
        <f t="shared" ref="BD335:BD337" si="495">AV335+AZ335</f>
        <v>3849.9239999999995</v>
      </c>
      <c r="BE335" s="78">
        <f>BF335+BH335</f>
        <v>0</v>
      </c>
      <c r="BF335" s="79">
        <v>15.167999999999999</v>
      </c>
      <c r="BG335" s="80">
        <v>-0.43</v>
      </c>
      <c r="BH335" s="81">
        <v>-15.167999999999999</v>
      </c>
      <c r="BI335" s="78">
        <f>BJ335+BL335</f>
        <v>5952.3649999999998</v>
      </c>
      <c r="BJ335" s="79">
        <f t="shared" ref="BJ335:BJ337" si="496">BB335+BF335</f>
        <v>2117.6090000000004</v>
      </c>
      <c r="BK335" s="80">
        <f t="shared" ref="BK335:BK337" si="497">BC335+BG335</f>
        <v>457.74600000000004</v>
      </c>
      <c r="BL335" s="81">
        <f t="shared" ref="BL335:BL337" si="498">BD335+BH335</f>
        <v>3834.7559999999994</v>
      </c>
    </row>
    <row r="336" spans="1:64" ht="12.9" x14ac:dyDescent="0.35">
      <c r="A336" s="11"/>
      <c r="B336" s="54" t="s">
        <v>211</v>
      </c>
      <c r="C336" s="103"/>
      <c r="D336" s="104"/>
      <c r="E336" s="105">
        <f>F336+H336</f>
        <v>395.75</v>
      </c>
      <c r="F336" s="130">
        <v>9.8699999999999992</v>
      </c>
      <c r="G336" s="106"/>
      <c r="H336" s="115">
        <v>385.88</v>
      </c>
      <c r="I336" s="105">
        <f>J336+L336</f>
        <v>0</v>
      </c>
      <c r="J336" s="130"/>
      <c r="K336" s="106"/>
      <c r="L336" s="115"/>
      <c r="M336" s="105">
        <f>N336+P336</f>
        <v>395.75</v>
      </c>
      <c r="N336" s="130">
        <f t="shared" si="480"/>
        <v>9.8699999999999992</v>
      </c>
      <c r="O336" s="106">
        <f t="shared" si="480"/>
        <v>0</v>
      </c>
      <c r="P336" s="115">
        <f t="shared" si="480"/>
        <v>385.88</v>
      </c>
      <c r="Q336" s="105">
        <f>R336+T336</f>
        <v>0</v>
      </c>
      <c r="R336" s="130"/>
      <c r="S336" s="106"/>
      <c r="T336" s="115"/>
      <c r="U336" s="105">
        <f>V336+X336</f>
        <v>395.75</v>
      </c>
      <c r="V336" s="130">
        <f t="shared" si="481"/>
        <v>9.8699999999999992</v>
      </c>
      <c r="W336" s="106">
        <f t="shared" si="482"/>
        <v>0</v>
      </c>
      <c r="X336" s="115">
        <f t="shared" si="483"/>
        <v>385.88</v>
      </c>
      <c r="Y336" s="105">
        <f>Z336+AB336</f>
        <v>0</v>
      </c>
      <c r="Z336" s="130"/>
      <c r="AA336" s="106"/>
      <c r="AB336" s="115"/>
      <c r="AC336" s="105">
        <f>AD336+AF336</f>
        <v>395.75</v>
      </c>
      <c r="AD336" s="130">
        <f t="shared" si="484"/>
        <v>9.8699999999999992</v>
      </c>
      <c r="AE336" s="106">
        <f t="shared" si="485"/>
        <v>0</v>
      </c>
      <c r="AF336" s="115">
        <f t="shared" si="486"/>
        <v>385.88</v>
      </c>
      <c r="AG336" s="105">
        <f>AH336+AJ336</f>
        <v>0</v>
      </c>
      <c r="AH336" s="130"/>
      <c r="AI336" s="106"/>
      <c r="AJ336" s="115"/>
      <c r="AK336" s="105">
        <f>AL336+AN336</f>
        <v>395.75</v>
      </c>
      <c r="AL336" s="130">
        <f t="shared" si="487"/>
        <v>9.8699999999999992</v>
      </c>
      <c r="AM336" s="106">
        <f t="shared" si="488"/>
        <v>0</v>
      </c>
      <c r="AN336" s="115">
        <f t="shared" si="489"/>
        <v>385.88</v>
      </c>
      <c r="AO336" s="105">
        <f>AP336+AR336</f>
        <v>0</v>
      </c>
      <c r="AP336" s="130"/>
      <c r="AQ336" s="106"/>
      <c r="AR336" s="115"/>
      <c r="AS336" s="105">
        <f>AT336+AV336</f>
        <v>395.75</v>
      </c>
      <c r="AT336" s="130">
        <f t="shared" si="490"/>
        <v>9.8699999999999992</v>
      </c>
      <c r="AU336" s="106">
        <f t="shared" si="491"/>
        <v>0</v>
      </c>
      <c r="AV336" s="115">
        <f t="shared" si="492"/>
        <v>385.88</v>
      </c>
      <c r="AW336" s="105">
        <f>AX336+AZ336</f>
        <v>0</v>
      </c>
      <c r="AX336" s="130"/>
      <c r="AY336" s="106"/>
      <c r="AZ336" s="115"/>
      <c r="BA336" s="105">
        <f>BB336+BD336</f>
        <v>395.75</v>
      </c>
      <c r="BB336" s="130">
        <f t="shared" si="493"/>
        <v>9.8699999999999992</v>
      </c>
      <c r="BC336" s="106">
        <f t="shared" si="494"/>
        <v>0</v>
      </c>
      <c r="BD336" s="115">
        <f t="shared" si="495"/>
        <v>385.88</v>
      </c>
      <c r="BE336" s="105">
        <f>BF336+BH336</f>
        <v>0</v>
      </c>
      <c r="BF336" s="130"/>
      <c r="BG336" s="106"/>
      <c r="BH336" s="115"/>
      <c r="BI336" s="105">
        <f>BJ336+BL336</f>
        <v>395.75</v>
      </c>
      <c r="BJ336" s="130">
        <f t="shared" si="496"/>
        <v>9.8699999999999992</v>
      </c>
      <c r="BK336" s="106">
        <f t="shared" si="497"/>
        <v>0</v>
      </c>
      <c r="BL336" s="115">
        <f t="shared" si="498"/>
        <v>385.88</v>
      </c>
    </row>
    <row r="337" spans="1:64" ht="13.3" thickBot="1" x14ac:dyDescent="0.4">
      <c r="A337" s="22"/>
      <c r="B337" s="107" t="s">
        <v>210</v>
      </c>
      <c r="C337" s="108"/>
      <c r="D337" s="109"/>
      <c r="E337" s="110">
        <f>F337+H337</f>
        <v>9.6869999999999994</v>
      </c>
      <c r="F337" s="111">
        <v>9.6869999999999994</v>
      </c>
      <c r="G337" s="112"/>
      <c r="H337" s="113"/>
      <c r="I337" s="110">
        <f>J337+L337</f>
        <v>0</v>
      </c>
      <c r="J337" s="111"/>
      <c r="K337" s="112"/>
      <c r="L337" s="113"/>
      <c r="M337" s="110">
        <f>N337+P337</f>
        <v>9.6869999999999994</v>
      </c>
      <c r="N337" s="111">
        <f t="shared" si="480"/>
        <v>9.6869999999999994</v>
      </c>
      <c r="O337" s="112">
        <f t="shared" si="480"/>
        <v>0</v>
      </c>
      <c r="P337" s="113">
        <f t="shared" si="480"/>
        <v>0</v>
      </c>
      <c r="Q337" s="110">
        <f>R337+T337</f>
        <v>0</v>
      </c>
      <c r="R337" s="111"/>
      <c r="S337" s="112"/>
      <c r="T337" s="113"/>
      <c r="U337" s="110">
        <f>V337+X337</f>
        <v>9.6869999999999994</v>
      </c>
      <c r="V337" s="111">
        <f t="shared" si="481"/>
        <v>9.6869999999999994</v>
      </c>
      <c r="W337" s="112">
        <f t="shared" si="482"/>
        <v>0</v>
      </c>
      <c r="X337" s="113">
        <f t="shared" si="483"/>
        <v>0</v>
      </c>
      <c r="Y337" s="110">
        <f>Z337+AB337</f>
        <v>0</v>
      </c>
      <c r="Z337" s="111"/>
      <c r="AA337" s="112"/>
      <c r="AB337" s="113"/>
      <c r="AC337" s="110">
        <f>AD337+AF337</f>
        <v>9.6869999999999994</v>
      </c>
      <c r="AD337" s="111">
        <f t="shared" si="484"/>
        <v>9.6869999999999994</v>
      </c>
      <c r="AE337" s="112">
        <f t="shared" si="485"/>
        <v>0</v>
      </c>
      <c r="AF337" s="113">
        <f t="shared" si="486"/>
        <v>0</v>
      </c>
      <c r="AG337" s="110">
        <f>AH337+AJ337</f>
        <v>0</v>
      </c>
      <c r="AH337" s="111"/>
      <c r="AI337" s="112"/>
      <c r="AJ337" s="113"/>
      <c r="AK337" s="110">
        <f>AL337+AN337</f>
        <v>9.6869999999999994</v>
      </c>
      <c r="AL337" s="111">
        <f t="shared" si="487"/>
        <v>9.6869999999999994</v>
      </c>
      <c r="AM337" s="112">
        <f t="shared" si="488"/>
        <v>0</v>
      </c>
      <c r="AN337" s="113">
        <f t="shared" si="489"/>
        <v>0</v>
      </c>
      <c r="AO337" s="110">
        <f>AP337+AR337</f>
        <v>0</v>
      </c>
      <c r="AP337" s="111"/>
      <c r="AQ337" s="112"/>
      <c r="AR337" s="113"/>
      <c r="AS337" s="110">
        <f>AT337+AV337</f>
        <v>9.6869999999999994</v>
      </c>
      <c r="AT337" s="111">
        <f t="shared" si="490"/>
        <v>9.6869999999999994</v>
      </c>
      <c r="AU337" s="112">
        <f t="shared" si="491"/>
        <v>0</v>
      </c>
      <c r="AV337" s="113">
        <f t="shared" si="492"/>
        <v>0</v>
      </c>
      <c r="AW337" s="110">
        <f>AX337+AZ337</f>
        <v>0</v>
      </c>
      <c r="AX337" s="111"/>
      <c r="AY337" s="112"/>
      <c r="AZ337" s="113"/>
      <c r="BA337" s="110">
        <f>BB337+BD337</f>
        <v>9.6869999999999994</v>
      </c>
      <c r="BB337" s="111">
        <f t="shared" si="493"/>
        <v>9.6869999999999994</v>
      </c>
      <c r="BC337" s="112">
        <f t="shared" si="494"/>
        <v>0</v>
      </c>
      <c r="BD337" s="113">
        <f t="shared" si="495"/>
        <v>0</v>
      </c>
      <c r="BE337" s="110">
        <f>BF337+BH337</f>
        <v>0</v>
      </c>
      <c r="BF337" s="111"/>
      <c r="BG337" s="112"/>
      <c r="BH337" s="113"/>
      <c r="BI337" s="110">
        <f>BJ337+BL337</f>
        <v>9.6869999999999994</v>
      </c>
      <c r="BJ337" s="111">
        <f t="shared" si="496"/>
        <v>9.6869999999999994</v>
      </c>
      <c r="BK337" s="112">
        <f t="shared" si="497"/>
        <v>0</v>
      </c>
      <c r="BL337" s="113">
        <f t="shared" si="498"/>
        <v>0</v>
      </c>
    </row>
    <row r="341" spans="1:64" x14ac:dyDescent="0.3">
      <c r="AH341" s="166"/>
      <c r="AP341" s="166"/>
      <c r="AX341" s="166"/>
      <c r="BF341" s="166"/>
    </row>
  </sheetData>
  <mergeCells count="255">
    <mergeCell ref="A8:BL8"/>
    <mergeCell ref="BE10:BH10"/>
    <mergeCell ref="BI10:BL10"/>
    <mergeCell ref="BE11:BE14"/>
    <mergeCell ref="BF11:BH11"/>
    <mergeCell ref="BI11:BI14"/>
    <mergeCell ref="BJ11:BL11"/>
    <mergeCell ref="BF12:BG12"/>
    <mergeCell ref="BH12:BH14"/>
    <mergeCell ref="BJ12:BK12"/>
    <mergeCell ref="BL12:BL14"/>
    <mergeCell ref="BF13:BF14"/>
    <mergeCell ref="BG13:BG14"/>
    <mergeCell ref="BJ13:BJ14"/>
    <mergeCell ref="BK13:BK14"/>
    <mergeCell ref="Q10:T10"/>
    <mergeCell ref="U10:X10"/>
    <mergeCell ref="Q11:Q14"/>
    <mergeCell ref="R11:T11"/>
    <mergeCell ref="U11:U14"/>
    <mergeCell ref="V11:X11"/>
    <mergeCell ref="R12:S12"/>
    <mergeCell ref="T12:T14"/>
    <mergeCell ref="V12:W12"/>
    <mergeCell ref="A81:A82"/>
    <mergeCell ref="B81:B82"/>
    <mergeCell ref="A33:A34"/>
    <mergeCell ref="B33:B34"/>
    <mergeCell ref="AW10:AZ10"/>
    <mergeCell ref="BA10:BD10"/>
    <mergeCell ref="AW11:AW14"/>
    <mergeCell ref="AX11:AZ11"/>
    <mergeCell ref="BA11:BA14"/>
    <mergeCell ref="BB11:BD11"/>
    <mergeCell ref="AX12:AY12"/>
    <mergeCell ref="AZ12:AZ14"/>
    <mergeCell ref="BB12:BC12"/>
    <mergeCell ref="BD12:BD14"/>
    <mergeCell ref="AX13:AX14"/>
    <mergeCell ref="AY13:AY14"/>
    <mergeCell ref="BB13:BB14"/>
    <mergeCell ref="BC13:BC14"/>
    <mergeCell ref="D11:D14"/>
    <mergeCell ref="E11:E14"/>
    <mergeCell ref="F11:H11"/>
    <mergeCell ref="F12:G12"/>
    <mergeCell ref="H12:H14"/>
    <mergeCell ref="F13:F14"/>
    <mergeCell ref="B311:B312"/>
    <mergeCell ref="A311:A312"/>
    <mergeCell ref="A21:A24"/>
    <mergeCell ref="B21:B24"/>
    <mergeCell ref="A25:A28"/>
    <mergeCell ref="B25:B28"/>
    <mergeCell ref="A29:A32"/>
    <mergeCell ref="B29:B32"/>
    <mergeCell ref="A11:A14"/>
    <mergeCell ref="B11:B14"/>
    <mergeCell ref="A78:A79"/>
    <mergeCell ref="B78:B79"/>
    <mergeCell ref="A86:A88"/>
    <mergeCell ref="B86:B88"/>
    <mergeCell ref="A90:A91"/>
    <mergeCell ref="B90:B91"/>
    <mergeCell ref="A65:A66"/>
    <mergeCell ref="B65:B66"/>
    <mergeCell ref="A67:A68"/>
    <mergeCell ref="B67:B68"/>
    <mergeCell ref="A73:A76"/>
    <mergeCell ref="B73:B76"/>
    <mergeCell ref="A50:A54"/>
    <mergeCell ref="B50:B54"/>
    <mergeCell ref="A55:A57"/>
    <mergeCell ref="B55:B57"/>
    <mergeCell ref="A61:A63"/>
    <mergeCell ref="B61:B63"/>
    <mergeCell ref="A37:A40"/>
    <mergeCell ref="B37:B40"/>
    <mergeCell ref="A41:A45"/>
    <mergeCell ref="B41:B45"/>
    <mergeCell ref="A46:A49"/>
    <mergeCell ref="B46:B49"/>
    <mergeCell ref="A129:A131"/>
    <mergeCell ref="B129:B131"/>
    <mergeCell ref="A97:A100"/>
    <mergeCell ref="B97:B100"/>
    <mergeCell ref="A102:A103"/>
    <mergeCell ref="B102:B103"/>
    <mergeCell ref="B104:B105"/>
    <mergeCell ref="A111:A114"/>
    <mergeCell ref="B111:B114"/>
    <mergeCell ref="B124:B127"/>
    <mergeCell ref="A124:A127"/>
    <mergeCell ref="B119:B120"/>
    <mergeCell ref="A119:A120"/>
    <mergeCell ref="B106:B107"/>
    <mergeCell ref="A106:A107"/>
    <mergeCell ref="A116:A117"/>
    <mergeCell ref="B116:B117"/>
    <mergeCell ref="A149:A151"/>
    <mergeCell ref="B149:B151"/>
    <mergeCell ref="A153:A154"/>
    <mergeCell ref="B153:B154"/>
    <mergeCell ref="B155:B156"/>
    <mergeCell ref="A161:A163"/>
    <mergeCell ref="B161:B163"/>
    <mergeCell ref="A132:A133"/>
    <mergeCell ref="B132:B133"/>
    <mergeCell ref="A138:A140"/>
    <mergeCell ref="B138:B140"/>
    <mergeCell ref="A142:A143"/>
    <mergeCell ref="B142:B143"/>
    <mergeCell ref="A183:A186"/>
    <mergeCell ref="B183:B186"/>
    <mergeCell ref="A193:A196"/>
    <mergeCell ref="B193:B196"/>
    <mergeCell ref="A199:A200"/>
    <mergeCell ref="B199:B200"/>
    <mergeCell ref="A166:A167"/>
    <mergeCell ref="B166:B167"/>
    <mergeCell ref="A173:A175"/>
    <mergeCell ref="B173:B175"/>
    <mergeCell ref="A177:A178"/>
    <mergeCell ref="B177:B178"/>
    <mergeCell ref="B180:B181"/>
    <mergeCell ref="A180:A181"/>
    <mergeCell ref="A202:A203"/>
    <mergeCell ref="B202:B203"/>
    <mergeCell ref="A204:A205"/>
    <mergeCell ref="B204:B205"/>
    <mergeCell ref="A209:A212"/>
    <mergeCell ref="B209:B212"/>
    <mergeCell ref="B215:B216"/>
    <mergeCell ref="A215:A216"/>
    <mergeCell ref="A220:A221"/>
    <mergeCell ref="A238:A239"/>
    <mergeCell ref="B238:B239"/>
    <mergeCell ref="A245:A247"/>
    <mergeCell ref="B245:B247"/>
    <mergeCell ref="A258:A259"/>
    <mergeCell ref="B258:B259"/>
    <mergeCell ref="B263:B264"/>
    <mergeCell ref="A263:A264"/>
    <mergeCell ref="B220:B222"/>
    <mergeCell ref="A224:A225"/>
    <mergeCell ref="B224:B225"/>
    <mergeCell ref="A235:A236"/>
    <mergeCell ref="B235:B236"/>
    <mergeCell ref="A273:A274"/>
    <mergeCell ref="B273:B274"/>
    <mergeCell ref="A276:A278"/>
    <mergeCell ref="B276:B278"/>
    <mergeCell ref="A282:A283"/>
    <mergeCell ref="B282:B283"/>
    <mergeCell ref="A260:A261"/>
    <mergeCell ref="B260:B261"/>
    <mergeCell ref="A268:A269"/>
    <mergeCell ref="B268:B269"/>
    <mergeCell ref="A270:A272"/>
    <mergeCell ref="B270:B272"/>
    <mergeCell ref="C331:D331"/>
    <mergeCell ref="C332:D332"/>
    <mergeCell ref="C333:D333"/>
    <mergeCell ref="C334:D334"/>
    <mergeCell ref="C322:D322"/>
    <mergeCell ref="C324:D324"/>
    <mergeCell ref="C325:D325"/>
    <mergeCell ref="C326:D326"/>
    <mergeCell ref="C327:D327"/>
    <mergeCell ref="C328:D328"/>
    <mergeCell ref="C329:D329"/>
    <mergeCell ref="C330:D330"/>
    <mergeCell ref="A299:A302"/>
    <mergeCell ref="B299:B302"/>
    <mergeCell ref="A304:A305"/>
    <mergeCell ref="B304:B305"/>
    <mergeCell ref="A306:A307"/>
    <mergeCell ref="B306:B307"/>
    <mergeCell ref="A284:A287"/>
    <mergeCell ref="B284:B287"/>
    <mergeCell ref="A288:A290"/>
    <mergeCell ref="B288:B290"/>
    <mergeCell ref="A293:A294"/>
    <mergeCell ref="B293:B294"/>
    <mergeCell ref="C317:D317"/>
    <mergeCell ref="C318:D318"/>
    <mergeCell ref="C319:D319"/>
    <mergeCell ref="C320:D320"/>
    <mergeCell ref="C321:D321"/>
    <mergeCell ref="C11:C14"/>
    <mergeCell ref="E10:H10"/>
    <mergeCell ref="I10:L10"/>
    <mergeCell ref="M10:P10"/>
    <mergeCell ref="M11:M14"/>
    <mergeCell ref="N11:P11"/>
    <mergeCell ref="N12:O12"/>
    <mergeCell ref="P12:P14"/>
    <mergeCell ref="N13:N14"/>
    <mergeCell ref="O13:O14"/>
    <mergeCell ref="I11:I14"/>
    <mergeCell ref="J11:L11"/>
    <mergeCell ref="J12:K12"/>
    <mergeCell ref="L12:L14"/>
    <mergeCell ref="J13:J14"/>
    <mergeCell ref="K13:K14"/>
    <mergeCell ref="G13:G14"/>
    <mergeCell ref="X12:X14"/>
    <mergeCell ref="R13:R14"/>
    <mergeCell ref="S13:S14"/>
    <mergeCell ref="V13:V14"/>
    <mergeCell ref="W13:W14"/>
    <mergeCell ref="AJ12:AJ14"/>
    <mergeCell ref="AL12:AM12"/>
    <mergeCell ref="AN12:AN14"/>
    <mergeCell ref="AH13:AH14"/>
    <mergeCell ref="AI13:AI14"/>
    <mergeCell ref="AL13:AL14"/>
    <mergeCell ref="AM13:AM14"/>
    <mergeCell ref="AC10:AF10"/>
    <mergeCell ref="Y11:Y14"/>
    <mergeCell ref="Z11:AB11"/>
    <mergeCell ref="AC11:AC14"/>
    <mergeCell ref="AD11:AF11"/>
    <mergeCell ref="Z12:AA12"/>
    <mergeCell ref="AB12:AB14"/>
    <mergeCell ref="AD12:AE12"/>
    <mergeCell ref="AF12:AF14"/>
    <mergeCell ref="Z13:Z14"/>
    <mergeCell ref="AA13:AA14"/>
    <mergeCell ref="AD13:AD14"/>
    <mergeCell ref="AE13:AE14"/>
    <mergeCell ref="B35:B36"/>
    <mergeCell ref="A35:A36"/>
    <mergeCell ref="AO10:AR10"/>
    <mergeCell ref="AS10:AV10"/>
    <mergeCell ref="AO11:AO14"/>
    <mergeCell ref="AP11:AR11"/>
    <mergeCell ref="AS11:AS14"/>
    <mergeCell ref="AT11:AV11"/>
    <mergeCell ref="AP12:AQ12"/>
    <mergeCell ref="AR12:AR14"/>
    <mergeCell ref="AT12:AU12"/>
    <mergeCell ref="AV12:AV14"/>
    <mergeCell ref="AP13:AP14"/>
    <mergeCell ref="AQ13:AQ14"/>
    <mergeCell ref="AT13:AT14"/>
    <mergeCell ref="AU13:AU14"/>
    <mergeCell ref="AG10:AJ10"/>
    <mergeCell ref="AK10:AN10"/>
    <mergeCell ref="AG11:AG14"/>
    <mergeCell ref="AH11:AJ11"/>
    <mergeCell ref="AK11:AK14"/>
    <mergeCell ref="AL11:AN11"/>
    <mergeCell ref="AH12:AI12"/>
    <mergeCell ref="Y10:AB10"/>
  </mergeCells>
  <conditionalFormatting sqref="E16:BL337">
    <cfRule type="cellIs" dxfId="0" priority="1" stopIfTrue="1" operator="equal">
      <formula>0</formula>
    </cfRule>
  </conditionalFormatting>
  <pageMargins left="0.31496062992125984" right="0.31496062992125984" top="0.35433070866141736" bottom="0.35433070866141736" header="0.31496062992125984" footer="0.31496062992125984"/>
  <pageSetup paperSize="9" scale="74" fitToHeight="0" orientation="landscape" r:id="rId1"/>
  <ignoredErrors>
    <ignoredError sqref="S325:T325 S324:T324 R318:T319 S317:T317 R321:T321 S320:T320 R323:T323 S322:T322 Z318:AB319 Z321:AB323 Z326:AB332 AA324:AB324 Z334:AB334 AB317 Z317:AA317 AH317:AJ319 AI333:AJ333 AH321:AJ332 AP317:AR317 AX318:AZ319 AX321:AZ326 AX328:AZ329 AX332:AZ332 AX317:AY317 AX330:AZ330 AX331:AZ331 AZ317 AY58:AZ70 BF317:BH319 BF295:BH295 BF321:BH321 BF320 BH320 BF323:BH326 BF328:BH333 BG19" formulaRange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2</vt:i4>
      </vt:variant>
    </vt:vector>
  </HeadingPairs>
  <TitlesOfParts>
    <vt:vector size="2" baseType="lpstr">
      <vt:lpstr>2025-2027 projektas</vt:lpstr>
      <vt:lpstr>pakeitimai</vt:lpstr>
    </vt:vector>
  </TitlesOfParts>
  <Company>Visagino savivaldybės administracija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Olesia Saratova</dc:creator>
  <cp:lastModifiedBy>Bendras6</cp:lastModifiedBy>
  <cp:lastPrinted>2025-01-28T15:22:26Z</cp:lastPrinted>
  <dcterms:created xsi:type="dcterms:W3CDTF">2004-01-21T14:05:06Z</dcterms:created>
  <dcterms:modified xsi:type="dcterms:W3CDTF">2025-01-29T10:13:53Z</dcterms:modified>
</cp:coreProperties>
</file>